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hidePivotFieldList="1"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15" windowWidth="14400" windowHeight="13005" activeTab="1"/>
  </bookViews>
  <sheets>
    <sheet name="Info" sheetId="1" r:id="rId1"/>
    <sheet name="Data Summary" sheetId="2" r:id="rId2"/>
    <sheet name="PS" sheetId="3" r:id="rId3"/>
    <sheet name="Reference Source Info" sheetId="4" r:id="rId4"/>
    <sheet name="DQI" sheetId="5" r:id="rId5"/>
    <sheet name="Species Data" sheetId="33" r:id="rId6"/>
    <sheet name="Well_Head" sheetId="13" r:id="rId7"/>
    <sheet name="Separator" sheetId="34" r:id="rId8"/>
    <sheet name="Compressor" sheetId="35" r:id="rId9"/>
    <sheet name="Tank" sheetId="36" r:id="rId10"/>
    <sheet name="Dehydration_Tank" sheetId="38" r:id="rId11"/>
    <sheet name="Assumptions" sheetId="8" r:id="rId12"/>
    <sheet name="Chart" sheetId="28" r:id="rId13"/>
  </sheets>
  <definedNames>
    <definedName name="_xlnm._FilterDatabase" localSheetId="8" hidden="1">Compressor!$I$1:$I$140</definedName>
    <definedName name="_xlnm._FilterDatabase" localSheetId="10" hidden="1">Dehydration_Tank!$I$1:$I$63</definedName>
    <definedName name="_xlnm._FilterDatabase" localSheetId="7" hidden="1">Separator!$I$1:$I$699</definedName>
    <definedName name="_xlnm._FilterDatabase" localSheetId="9" hidden="1">Tank!$A$9:$AS$685</definedName>
    <definedName name="_xlnm._FilterDatabase" localSheetId="6" hidden="1">Well_Head!$I$1:$I$699</definedName>
  </definedNames>
  <calcPr calcId="171027" calcMode="manual"/>
</workbook>
</file>

<file path=xl/calcChain.xml><?xml version="1.0" encoding="utf-8"?>
<calcChain xmlns="http://schemas.openxmlformats.org/spreadsheetml/2006/main">
  <c r="G170" i="2" l="1"/>
  <c r="G163" i="2"/>
  <c r="G164" i="2"/>
  <c r="G165" i="2"/>
  <c r="G166" i="2"/>
  <c r="G167" i="2"/>
  <c r="G168" i="2"/>
  <c r="G169" i="2"/>
  <c r="G171" i="2"/>
  <c r="B9" i="36" l="1"/>
  <c r="B9" i="13"/>
  <c r="M5" i="3"/>
  <c r="H5" i="3"/>
  <c r="E5" i="3"/>
  <c r="M4" i="3"/>
  <c r="H4" i="3"/>
  <c r="E4" i="3"/>
  <c r="K5" i="3"/>
  <c r="J5" i="3"/>
  <c r="D5" i="3"/>
  <c r="K4" i="3"/>
  <c r="J4" i="3"/>
  <c r="D4" i="3"/>
  <c r="C7" i="3"/>
  <c r="I5" i="5" l="1"/>
  <c r="I171" i="2" l="1"/>
  <c r="I170" i="2"/>
  <c r="I168" i="2"/>
  <c r="I167" i="2"/>
  <c r="I166" i="2"/>
  <c r="I165" i="2"/>
  <c r="I164" i="2"/>
  <c r="I163" i="2"/>
  <c r="G162" i="2"/>
  <c r="G161" i="2"/>
  <c r="I161" i="2" s="1"/>
  <c r="I162" i="2"/>
  <c r="I169" i="2"/>
  <c r="A59" i="33"/>
  <c r="A62" i="33"/>
  <c r="A63" i="33"/>
  <c r="A64" i="33"/>
  <c r="A65" i="33"/>
  <c r="A66" i="33"/>
  <c r="A67" i="33"/>
  <c r="A68" i="33"/>
  <c r="A69" i="33"/>
  <c r="A70" i="33"/>
  <c r="A71" i="33"/>
  <c r="A78" i="33"/>
  <c r="A79" i="33"/>
  <c r="A80" i="33"/>
  <c r="A81" i="33"/>
  <c r="E31" i="2"/>
  <c r="E32" i="2"/>
  <c r="E33" i="2"/>
  <c r="E34" i="2"/>
  <c r="E35" i="2"/>
  <c r="E37" i="2"/>
  <c r="B45" i="2"/>
  <c r="B44" i="2"/>
  <c r="B43" i="2"/>
  <c r="B42" i="2"/>
  <c r="B41" i="2"/>
  <c r="B40" i="2"/>
  <c r="B39" i="2"/>
  <c r="B38" i="2"/>
  <c r="B37" i="2"/>
  <c r="B36" i="2"/>
  <c r="B35" i="2"/>
  <c r="B34" i="2"/>
  <c r="B33" i="2"/>
  <c r="B32" i="2"/>
  <c r="B31" i="2"/>
  <c r="B30" i="2"/>
  <c r="B29" i="2"/>
  <c r="B28" i="2"/>
  <c r="B27" i="2"/>
  <c r="B26" i="2"/>
  <c r="B25" i="2"/>
  <c r="B24" i="2"/>
  <c r="C79" i="3"/>
  <c r="C78" i="3"/>
  <c r="C77" i="3"/>
  <c r="C76" i="3"/>
  <c r="C75" i="3"/>
  <c r="C74" i="3"/>
  <c r="C73" i="3"/>
  <c r="C72" i="3"/>
  <c r="C71" i="3"/>
  <c r="C70" i="3"/>
  <c r="C69" i="3"/>
  <c r="A12" i="13"/>
  <c r="B9" i="38"/>
  <c r="B10" i="38" s="1"/>
  <c r="B46" i="38" s="1"/>
  <c r="A12" i="38"/>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B10" i="36"/>
  <c r="A12" i="36"/>
  <c r="B9" i="35"/>
  <c r="B10" i="35" s="1"/>
  <c r="A12" i="35"/>
  <c r="B9" i="34"/>
  <c r="B10" i="34" s="1"/>
  <c r="A12" i="34"/>
  <c r="J451" i="34"/>
  <c r="J451" i="13"/>
  <c r="B155" i="2"/>
  <c r="B23" i="2"/>
  <c r="A8" i="33"/>
  <c r="A10" i="33"/>
  <c r="A11" i="33"/>
  <c r="A26" i="33"/>
  <c r="A33" i="33"/>
  <c r="A42" i="33"/>
  <c r="A5" i="33"/>
  <c r="A6" i="33" s="1"/>
  <c r="D6" i="3"/>
  <c r="C6" i="3" s="1"/>
  <c r="I8" i="5"/>
  <c r="N5" i="2" s="1"/>
  <c r="K7" i="5"/>
  <c r="J7" i="5"/>
  <c r="I7" i="5"/>
  <c r="K6" i="5"/>
  <c r="J6" i="5"/>
  <c r="I6" i="5"/>
  <c r="K5" i="5"/>
  <c r="J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G11" i="2"/>
  <c r="D4" i="1"/>
  <c r="D3" i="1"/>
  <c r="C30" i="1" s="1"/>
  <c r="B12" i="34" l="1"/>
  <c r="B49" i="34"/>
  <c r="B116" i="34"/>
  <c r="B198" i="34"/>
  <c r="B291" i="34"/>
  <c r="D291" i="34" s="1"/>
  <c r="E291" i="34" s="1"/>
  <c r="F291" i="34" s="1"/>
  <c r="G291" i="34" s="1"/>
  <c r="H291" i="34" s="1"/>
  <c r="I291" i="34" s="1"/>
  <c r="J291" i="34" s="1"/>
  <c r="K291" i="34" s="1"/>
  <c r="B354" i="34"/>
  <c r="B437" i="34"/>
  <c r="B195" i="34"/>
  <c r="D195" i="34" s="1"/>
  <c r="E195" i="34" s="1"/>
  <c r="F195" i="34" s="1"/>
  <c r="G195" i="34" s="1"/>
  <c r="H195" i="34" s="1"/>
  <c r="I195" i="34" s="1"/>
  <c r="J195" i="34" s="1"/>
  <c r="K195" i="34" s="1"/>
  <c r="B434" i="34"/>
  <c r="B52" i="34"/>
  <c r="B133" i="34"/>
  <c r="B200" i="34"/>
  <c r="A200" i="34" s="1"/>
  <c r="B294" i="34"/>
  <c r="B375" i="34"/>
  <c r="C375" i="34" s="1"/>
  <c r="B438" i="34"/>
  <c r="A438" i="34" s="1"/>
  <c r="B32" i="34"/>
  <c r="B69" i="34"/>
  <c r="B137" i="34"/>
  <c r="B227" i="34"/>
  <c r="D227" i="34" s="1"/>
  <c r="E227" i="34" s="1"/>
  <c r="F227" i="34" s="1"/>
  <c r="G227" i="34" s="1"/>
  <c r="H227" i="34" s="1"/>
  <c r="I227" i="34" s="1"/>
  <c r="J227" i="34" s="1"/>
  <c r="K227" i="34" s="1"/>
  <c r="B295" i="34"/>
  <c r="C295" i="34" s="1"/>
  <c r="B382" i="34"/>
  <c r="A382" i="34" s="1"/>
  <c r="B264" i="34"/>
  <c r="A264" i="34" s="1"/>
  <c r="B73" i="34"/>
  <c r="B138" i="34"/>
  <c r="B230" i="34"/>
  <c r="B320" i="34"/>
  <c r="D320" i="34" s="1"/>
  <c r="E320" i="34" s="1"/>
  <c r="F320" i="34" s="1"/>
  <c r="G320" i="34" s="1"/>
  <c r="H320" i="34" s="1"/>
  <c r="I320" i="34" s="1"/>
  <c r="J320" i="34" s="1"/>
  <c r="K320" i="34" s="1"/>
  <c r="B383" i="34"/>
  <c r="A383" i="34" s="1"/>
  <c r="B74" i="34"/>
  <c r="B163" i="34"/>
  <c r="D163" i="34" s="1"/>
  <c r="E163" i="34" s="1"/>
  <c r="F163" i="34" s="1"/>
  <c r="G163" i="34" s="1"/>
  <c r="H163" i="34" s="1"/>
  <c r="I163" i="34" s="1"/>
  <c r="J163" i="34" s="1"/>
  <c r="K163" i="34" s="1"/>
  <c r="B232" i="34"/>
  <c r="A232" i="34" s="1"/>
  <c r="B323" i="34"/>
  <c r="D323" i="34" s="1"/>
  <c r="E323" i="34" s="1"/>
  <c r="F323" i="34" s="1"/>
  <c r="G323" i="34" s="1"/>
  <c r="H323" i="34" s="1"/>
  <c r="I323" i="34" s="1"/>
  <c r="J323" i="34" s="1"/>
  <c r="K323" i="34" s="1"/>
  <c r="B405" i="34"/>
  <c r="D405" i="34" s="1"/>
  <c r="E405" i="34" s="1"/>
  <c r="F405" i="34" s="1"/>
  <c r="G405" i="34" s="1"/>
  <c r="H405" i="34" s="1"/>
  <c r="I405" i="34" s="1"/>
  <c r="J405" i="34" s="1"/>
  <c r="K405" i="34" s="1"/>
  <c r="B93" i="34"/>
  <c r="B166" i="34"/>
  <c r="A166" i="34" s="1"/>
  <c r="B259" i="34"/>
  <c r="D259" i="34" s="1"/>
  <c r="E259" i="34" s="1"/>
  <c r="F259" i="34" s="1"/>
  <c r="G259" i="34" s="1"/>
  <c r="H259" i="34" s="1"/>
  <c r="I259" i="34" s="1"/>
  <c r="J259" i="34" s="1"/>
  <c r="K259" i="34" s="1"/>
  <c r="B325" i="34"/>
  <c r="D325" i="34" s="1"/>
  <c r="E325" i="34" s="1"/>
  <c r="F325" i="34" s="1"/>
  <c r="G325" i="34" s="1"/>
  <c r="H325" i="34" s="1"/>
  <c r="I325" i="34" s="1"/>
  <c r="J325" i="34" s="1"/>
  <c r="K325" i="34" s="1"/>
  <c r="B407" i="34"/>
  <c r="C407" i="34" s="1"/>
  <c r="B113" i="34"/>
  <c r="B352" i="34"/>
  <c r="B29" i="34"/>
  <c r="B96" i="34"/>
  <c r="B168" i="34"/>
  <c r="A168" i="34" s="1"/>
  <c r="B262" i="34"/>
  <c r="C262" i="34" s="1"/>
  <c r="B350" i="34"/>
  <c r="B408" i="34"/>
  <c r="A408" i="34" s="1"/>
  <c r="B34" i="38"/>
  <c r="D382" i="34"/>
  <c r="E382" i="34" s="1"/>
  <c r="F382" i="34" s="1"/>
  <c r="G382" i="34" s="1"/>
  <c r="H382" i="34" s="1"/>
  <c r="I382" i="34" s="1"/>
  <c r="J382" i="34" s="1"/>
  <c r="K382" i="34" s="1"/>
  <c r="D262" i="34"/>
  <c r="E262" i="34" s="1"/>
  <c r="F262" i="34" s="1"/>
  <c r="G262" i="34" s="1"/>
  <c r="H262" i="34" s="1"/>
  <c r="I262" i="34" s="1"/>
  <c r="J262" i="34" s="1"/>
  <c r="K262" i="34" s="1"/>
  <c r="C198" i="34"/>
  <c r="D198" i="34"/>
  <c r="E198" i="34" s="1"/>
  <c r="F198" i="34" s="1"/>
  <c r="G198" i="34" s="1"/>
  <c r="H198" i="34" s="1"/>
  <c r="I198" i="34" s="1"/>
  <c r="J198" i="34" s="1"/>
  <c r="K198" i="34" s="1"/>
  <c r="C166" i="34"/>
  <c r="D166" i="34"/>
  <c r="E166" i="34" s="1"/>
  <c r="F166" i="34" s="1"/>
  <c r="G166" i="34" s="1"/>
  <c r="H166" i="34" s="1"/>
  <c r="I166" i="34" s="1"/>
  <c r="J166" i="34" s="1"/>
  <c r="K166" i="34" s="1"/>
  <c r="A163" i="34"/>
  <c r="A227" i="34"/>
  <c r="A259" i="34"/>
  <c r="A291" i="34"/>
  <c r="B435" i="34"/>
  <c r="B406" i="34"/>
  <c r="B376" i="34"/>
  <c r="B351" i="34"/>
  <c r="B322" i="34"/>
  <c r="B293" i="34"/>
  <c r="B261" i="34"/>
  <c r="B229" i="34"/>
  <c r="B197" i="34"/>
  <c r="B165" i="34"/>
  <c r="B136" i="34"/>
  <c r="B114" i="34"/>
  <c r="B92" i="34"/>
  <c r="B72" i="34"/>
  <c r="B50" i="34"/>
  <c r="B28" i="34"/>
  <c r="C437" i="34"/>
  <c r="A437" i="34"/>
  <c r="B374" i="34"/>
  <c r="B402" i="34"/>
  <c r="B343" i="34"/>
  <c r="B288" i="34"/>
  <c r="B224" i="34"/>
  <c r="B430" i="34"/>
  <c r="B400" i="34"/>
  <c r="B371" i="34"/>
  <c r="B342" i="34"/>
  <c r="B312" i="34"/>
  <c r="B287" i="34"/>
  <c r="B255" i="34"/>
  <c r="B223" i="34"/>
  <c r="B191" i="34"/>
  <c r="B158" i="34"/>
  <c r="B130" i="34"/>
  <c r="B108" i="34"/>
  <c r="B88" i="34"/>
  <c r="B66" i="34"/>
  <c r="B44" i="34"/>
  <c r="B24" i="34"/>
  <c r="C352" i="34"/>
  <c r="C259" i="34"/>
  <c r="D408" i="34"/>
  <c r="E408" i="34" s="1"/>
  <c r="F408" i="34" s="1"/>
  <c r="G408" i="34" s="1"/>
  <c r="H408" i="34" s="1"/>
  <c r="I408" i="34" s="1"/>
  <c r="J408" i="34" s="1"/>
  <c r="K408" i="34" s="1"/>
  <c r="C230" i="34"/>
  <c r="D230" i="34"/>
  <c r="E230" i="34" s="1"/>
  <c r="F230" i="34" s="1"/>
  <c r="G230" i="34" s="1"/>
  <c r="H230" i="34" s="1"/>
  <c r="I230" i="34" s="1"/>
  <c r="J230" i="34" s="1"/>
  <c r="K230" i="34" s="1"/>
  <c r="B432" i="34"/>
  <c r="B226" i="34"/>
  <c r="B132" i="34"/>
  <c r="B68" i="34"/>
  <c r="A198" i="34"/>
  <c r="B431" i="34"/>
  <c r="B373" i="34"/>
  <c r="B318" i="34"/>
  <c r="B256" i="34"/>
  <c r="B192" i="34"/>
  <c r="B160" i="34"/>
  <c r="B109" i="34"/>
  <c r="B89" i="34"/>
  <c r="B45" i="34"/>
  <c r="B25" i="34"/>
  <c r="B424" i="34"/>
  <c r="B399" i="34"/>
  <c r="B370" i="34"/>
  <c r="B341" i="34"/>
  <c r="B311" i="34"/>
  <c r="B286" i="34"/>
  <c r="B254" i="34"/>
  <c r="B222" i="34"/>
  <c r="B190" i="34"/>
  <c r="B152" i="34"/>
  <c r="B129" i="34"/>
  <c r="B85" i="34"/>
  <c r="B65" i="34"/>
  <c r="B21" i="34"/>
  <c r="C294" i="34"/>
  <c r="D294" i="34"/>
  <c r="E294" i="34" s="1"/>
  <c r="F294" i="34" s="1"/>
  <c r="G294" i="34" s="1"/>
  <c r="H294" i="34" s="1"/>
  <c r="I294" i="34" s="1"/>
  <c r="J294" i="34" s="1"/>
  <c r="K294" i="34" s="1"/>
  <c r="D350" i="34"/>
  <c r="E350" i="34" s="1"/>
  <c r="F350" i="34" s="1"/>
  <c r="G350" i="34" s="1"/>
  <c r="H350" i="34" s="1"/>
  <c r="I350" i="34" s="1"/>
  <c r="J350" i="34" s="1"/>
  <c r="K350" i="34" s="1"/>
  <c r="C350" i="34"/>
  <c r="A294" i="34"/>
  <c r="B319" i="34"/>
  <c r="B90" i="34"/>
  <c r="D407" i="34"/>
  <c r="E407" i="34" s="1"/>
  <c r="F407" i="34" s="1"/>
  <c r="G407" i="34" s="1"/>
  <c r="H407" i="34" s="1"/>
  <c r="I407" i="34" s="1"/>
  <c r="J407" i="34" s="1"/>
  <c r="K407" i="34" s="1"/>
  <c r="B423" i="34"/>
  <c r="B398" i="34"/>
  <c r="B339" i="34"/>
  <c r="B310" i="34"/>
  <c r="B280" i="34"/>
  <c r="B248" i="34"/>
  <c r="B216" i="34"/>
  <c r="B184" i="34"/>
  <c r="B150" i="34"/>
  <c r="B106" i="34"/>
  <c r="B42" i="34"/>
  <c r="C163" i="34"/>
  <c r="A320" i="34"/>
  <c r="B422" i="34"/>
  <c r="B392" i="34"/>
  <c r="B367" i="34"/>
  <c r="B338" i="34"/>
  <c r="B309" i="34"/>
  <c r="B278" i="34"/>
  <c r="B246" i="34"/>
  <c r="B214" i="34"/>
  <c r="B182" i="34"/>
  <c r="B149" i="34"/>
  <c r="B125" i="34"/>
  <c r="B105" i="34"/>
  <c r="B61" i="34"/>
  <c r="B41" i="34"/>
  <c r="B42" i="38"/>
  <c r="D295" i="34"/>
  <c r="E295" i="34" s="1"/>
  <c r="F295" i="34" s="1"/>
  <c r="G295" i="34" s="1"/>
  <c r="H295" i="34" s="1"/>
  <c r="I295" i="34" s="1"/>
  <c r="J295" i="34" s="1"/>
  <c r="K295" i="34" s="1"/>
  <c r="B258" i="34"/>
  <c r="B162" i="34"/>
  <c r="B26" i="34"/>
  <c r="B450" i="34"/>
  <c r="B421" i="34"/>
  <c r="B391" i="34"/>
  <c r="B366" i="34"/>
  <c r="B336" i="34"/>
  <c r="B307" i="34"/>
  <c r="B277" i="34"/>
  <c r="B245" i="34"/>
  <c r="B213" i="34"/>
  <c r="B181" i="34"/>
  <c r="B146" i="34"/>
  <c r="B124" i="34"/>
  <c r="B104" i="34"/>
  <c r="B82" i="34"/>
  <c r="B60" i="34"/>
  <c r="B40" i="34"/>
  <c r="B18" i="34"/>
  <c r="C323" i="34"/>
  <c r="D375" i="34"/>
  <c r="E375" i="34" s="1"/>
  <c r="F375" i="34" s="1"/>
  <c r="G375" i="34" s="1"/>
  <c r="H375" i="34" s="1"/>
  <c r="I375" i="34" s="1"/>
  <c r="J375" i="34" s="1"/>
  <c r="K375" i="34" s="1"/>
  <c r="A262" i="34"/>
  <c r="B128" i="34"/>
  <c r="A323" i="34"/>
  <c r="B448" i="34"/>
  <c r="B419" i="34"/>
  <c r="B390" i="34"/>
  <c r="B360" i="34"/>
  <c r="B335" i="34"/>
  <c r="B306" i="34"/>
  <c r="B275" i="34"/>
  <c r="B243" i="34"/>
  <c r="B211" i="34"/>
  <c r="B179" i="34"/>
  <c r="B145" i="34"/>
  <c r="B101" i="34"/>
  <c r="B81" i="34"/>
  <c r="B37" i="34"/>
  <c r="B17" i="34"/>
  <c r="B63" i="38"/>
  <c r="B30" i="38"/>
  <c r="B26" i="38"/>
  <c r="B22" i="38"/>
  <c r="B18" i="38"/>
  <c r="B14" i="38"/>
  <c r="B62" i="38"/>
  <c r="B58" i="38"/>
  <c r="B54" i="38"/>
  <c r="B50" i="38"/>
  <c r="B38" i="38"/>
  <c r="B403" i="34"/>
  <c r="B112" i="34"/>
  <c r="B64" i="34"/>
  <c r="B447" i="34"/>
  <c r="B418" i="34"/>
  <c r="B389" i="34"/>
  <c r="B359" i="34"/>
  <c r="B334" i="34"/>
  <c r="B304" i="34"/>
  <c r="B274" i="34"/>
  <c r="B242" i="34"/>
  <c r="B210" i="34"/>
  <c r="B178" i="34"/>
  <c r="B144" i="34"/>
  <c r="B122" i="34"/>
  <c r="B100" i="34"/>
  <c r="B80" i="34"/>
  <c r="B58" i="34"/>
  <c r="B36" i="34"/>
  <c r="B16" i="34"/>
  <c r="C320" i="34"/>
  <c r="C227" i="34"/>
  <c r="D434" i="34"/>
  <c r="E434" i="34" s="1"/>
  <c r="F434" i="34" s="1"/>
  <c r="G434" i="34" s="1"/>
  <c r="H434" i="34" s="1"/>
  <c r="I434" i="34" s="1"/>
  <c r="J434" i="34" s="1"/>
  <c r="K434" i="34" s="1"/>
  <c r="A434" i="34"/>
  <c r="C434" i="34"/>
  <c r="B344" i="34"/>
  <c r="B48" i="34"/>
  <c r="A230" i="34"/>
  <c r="B446" i="34"/>
  <c r="B416" i="34"/>
  <c r="B387" i="34"/>
  <c r="B358" i="34"/>
  <c r="B328" i="34"/>
  <c r="B303" i="34"/>
  <c r="B272" i="34"/>
  <c r="B240" i="34"/>
  <c r="B208" i="34"/>
  <c r="B176" i="34"/>
  <c r="B141" i="34"/>
  <c r="B121" i="34"/>
  <c r="B77" i="34"/>
  <c r="B57" i="34"/>
  <c r="B13" i="34"/>
  <c r="A13" i="34" s="1"/>
  <c r="D383" i="34"/>
  <c r="E383" i="34" s="1"/>
  <c r="F383" i="34" s="1"/>
  <c r="G383" i="34" s="1"/>
  <c r="H383" i="34" s="1"/>
  <c r="I383" i="34" s="1"/>
  <c r="J383" i="34" s="1"/>
  <c r="K383" i="34" s="1"/>
  <c r="C383" i="34"/>
  <c r="B194" i="34"/>
  <c r="A295" i="34"/>
  <c r="B84" i="34"/>
  <c r="A350" i="34"/>
  <c r="B440" i="34"/>
  <c r="B415" i="34"/>
  <c r="B386" i="34"/>
  <c r="B357" i="34"/>
  <c r="B327" i="34"/>
  <c r="B302" i="34"/>
  <c r="B271" i="34"/>
  <c r="B239" i="34"/>
  <c r="B207" i="34"/>
  <c r="B175" i="34"/>
  <c r="B140" i="34"/>
  <c r="B120" i="34"/>
  <c r="B98" i="34"/>
  <c r="B76" i="34"/>
  <c r="B56" i="34"/>
  <c r="B34" i="34"/>
  <c r="B290" i="34"/>
  <c r="B368" i="34"/>
  <c r="B20" i="34"/>
  <c r="A375" i="34"/>
  <c r="B439" i="34"/>
  <c r="B414" i="34"/>
  <c r="B384" i="34"/>
  <c r="B355" i="34"/>
  <c r="B326" i="34"/>
  <c r="B296" i="34"/>
  <c r="B270" i="34"/>
  <c r="B238" i="34"/>
  <c r="B206" i="34"/>
  <c r="B174" i="34"/>
  <c r="B117" i="34"/>
  <c r="B97" i="34"/>
  <c r="B53" i="34"/>
  <c r="B33" i="34"/>
  <c r="D437" i="34"/>
  <c r="E437" i="34" s="1"/>
  <c r="F437" i="34" s="1"/>
  <c r="G437" i="34" s="1"/>
  <c r="H437" i="34" s="1"/>
  <c r="I437" i="34" s="1"/>
  <c r="J437" i="34" s="1"/>
  <c r="K437" i="34" s="1"/>
  <c r="C438" i="34"/>
  <c r="D438" i="34"/>
  <c r="E438" i="34" s="1"/>
  <c r="F438" i="34" s="1"/>
  <c r="G438" i="34" s="1"/>
  <c r="H438" i="34" s="1"/>
  <c r="I438" i="34" s="1"/>
  <c r="J438" i="34" s="1"/>
  <c r="K438" i="34" s="1"/>
  <c r="D354" i="34"/>
  <c r="E354" i="34" s="1"/>
  <c r="F354" i="34" s="1"/>
  <c r="G354" i="34" s="1"/>
  <c r="H354" i="34" s="1"/>
  <c r="I354" i="34" s="1"/>
  <c r="J354" i="34" s="1"/>
  <c r="K354" i="34" s="1"/>
  <c r="A354" i="34"/>
  <c r="C354" i="34"/>
  <c r="C325" i="34"/>
  <c r="A325" i="34"/>
  <c r="D264" i="34"/>
  <c r="E264" i="34" s="1"/>
  <c r="F264" i="34" s="1"/>
  <c r="G264" i="34" s="1"/>
  <c r="H264" i="34" s="1"/>
  <c r="I264" i="34" s="1"/>
  <c r="J264" i="34" s="1"/>
  <c r="K264" i="34" s="1"/>
  <c r="C264" i="34"/>
  <c r="D232" i="34"/>
  <c r="E232" i="34" s="1"/>
  <c r="F232" i="34" s="1"/>
  <c r="G232" i="34" s="1"/>
  <c r="H232" i="34" s="1"/>
  <c r="I232" i="34" s="1"/>
  <c r="J232" i="34" s="1"/>
  <c r="K232" i="34" s="1"/>
  <c r="C232" i="34"/>
  <c r="D200" i="34"/>
  <c r="E200" i="34" s="1"/>
  <c r="F200" i="34" s="1"/>
  <c r="G200" i="34" s="1"/>
  <c r="H200" i="34" s="1"/>
  <c r="I200" i="34" s="1"/>
  <c r="J200" i="34" s="1"/>
  <c r="K200" i="34" s="1"/>
  <c r="C200" i="34"/>
  <c r="D168" i="34"/>
  <c r="E168" i="34" s="1"/>
  <c r="F168" i="34" s="1"/>
  <c r="G168" i="34" s="1"/>
  <c r="H168" i="34" s="1"/>
  <c r="I168" i="34" s="1"/>
  <c r="J168" i="34" s="1"/>
  <c r="K168" i="34" s="1"/>
  <c r="C168" i="34"/>
  <c r="B153" i="34"/>
  <c r="B169" i="34"/>
  <c r="B185" i="34"/>
  <c r="B201" i="34"/>
  <c r="B217" i="34"/>
  <c r="B233" i="34"/>
  <c r="B249" i="34"/>
  <c r="B265" i="34"/>
  <c r="B281" i="34"/>
  <c r="B297" i="34"/>
  <c r="B313" i="34"/>
  <c r="B329" i="34"/>
  <c r="B345" i="34"/>
  <c r="B361" i="34"/>
  <c r="B377" i="34"/>
  <c r="B393" i="34"/>
  <c r="B409" i="34"/>
  <c r="B425" i="34"/>
  <c r="B441" i="34"/>
  <c r="B14" i="34"/>
  <c r="B22" i="34"/>
  <c r="B30" i="34"/>
  <c r="B38" i="34"/>
  <c r="B46" i="34"/>
  <c r="B54" i="34"/>
  <c r="B62" i="34"/>
  <c r="B70" i="34"/>
  <c r="B78" i="34"/>
  <c r="B86" i="34"/>
  <c r="B94" i="34"/>
  <c r="B102" i="34"/>
  <c r="B110" i="34"/>
  <c r="B118" i="34"/>
  <c r="B126" i="34"/>
  <c r="B134" i="34"/>
  <c r="B142" i="34"/>
  <c r="B154" i="34"/>
  <c r="B170" i="34"/>
  <c r="B186" i="34"/>
  <c r="B202" i="34"/>
  <c r="B218" i="34"/>
  <c r="B234" i="34"/>
  <c r="B250" i="34"/>
  <c r="B266" i="34"/>
  <c r="B282" i="34"/>
  <c r="B298" i="34"/>
  <c r="B314" i="34"/>
  <c r="B330" i="34"/>
  <c r="B346" i="34"/>
  <c r="B362" i="34"/>
  <c r="B378" i="34"/>
  <c r="B394" i="34"/>
  <c r="B410" i="34"/>
  <c r="B426" i="34"/>
  <c r="B442" i="34"/>
  <c r="B155" i="34"/>
  <c r="B171" i="34"/>
  <c r="B187" i="34"/>
  <c r="B203" i="34"/>
  <c r="B219" i="34"/>
  <c r="B235" i="34"/>
  <c r="B251" i="34"/>
  <c r="B267" i="34"/>
  <c r="B283" i="34"/>
  <c r="B299" i="34"/>
  <c r="B315" i="34"/>
  <c r="B331" i="34"/>
  <c r="B347" i="34"/>
  <c r="B363" i="34"/>
  <c r="B379" i="34"/>
  <c r="B395" i="34"/>
  <c r="B411" i="34"/>
  <c r="B427" i="34"/>
  <c r="B443" i="34"/>
  <c r="B15" i="34"/>
  <c r="B23" i="34"/>
  <c r="B31" i="34"/>
  <c r="B39" i="34"/>
  <c r="B47" i="34"/>
  <c r="B55" i="34"/>
  <c r="B63" i="34"/>
  <c r="B71" i="34"/>
  <c r="B79" i="34"/>
  <c r="B87" i="34"/>
  <c r="B95" i="34"/>
  <c r="B103" i="34"/>
  <c r="B111" i="34"/>
  <c r="B119" i="34"/>
  <c r="B127" i="34"/>
  <c r="B135" i="34"/>
  <c r="B143" i="34"/>
  <c r="B156" i="34"/>
  <c r="B172" i="34"/>
  <c r="B188" i="34"/>
  <c r="B204" i="34"/>
  <c r="B220" i="34"/>
  <c r="B236" i="34"/>
  <c r="B252" i="34"/>
  <c r="B268" i="34"/>
  <c r="B284" i="34"/>
  <c r="B300" i="34"/>
  <c r="B316" i="34"/>
  <c r="B332" i="34"/>
  <c r="B348" i="34"/>
  <c r="B364" i="34"/>
  <c r="B380" i="34"/>
  <c r="B396" i="34"/>
  <c r="B412" i="34"/>
  <c r="B428" i="34"/>
  <c r="B444" i="34"/>
  <c r="B157" i="34"/>
  <c r="B173" i="34"/>
  <c r="B189" i="34"/>
  <c r="B205" i="34"/>
  <c r="B221" i="34"/>
  <c r="B237" i="34"/>
  <c r="B253" i="34"/>
  <c r="B269" i="34"/>
  <c r="B285" i="34"/>
  <c r="B301" i="34"/>
  <c r="B317" i="34"/>
  <c r="B333" i="34"/>
  <c r="B349" i="34"/>
  <c r="B365" i="34"/>
  <c r="B381" i="34"/>
  <c r="B397" i="34"/>
  <c r="B413" i="34"/>
  <c r="B429" i="34"/>
  <c r="B445" i="34"/>
  <c r="B159" i="34"/>
  <c r="B161" i="34"/>
  <c r="B177" i="34"/>
  <c r="B193" i="34"/>
  <c r="B209" i="34"/>
  <c r="B225" i="34"/>
  <c r="B241" i="34"/>
  <c r="B257" i="34"/>
  <c r="B273" i="34"/>
  <c r="B289" i="34"/>
  <c r="B305" i="34"/>
  <c r="B321" i="34"/>
  <c r="B337" i="34"/>
  <c r="B353" i="34"/>
  <c r="B369" i="34"/>
  <c r="B385" i="34"/>
  <c r="B401" i="34"/>
  <c r="B417" i="34"/>
  <c r="B433" i="34"/>
  <c r="B449" i="34"/>
  <c r="B147" i="34"/>
  <c r="B19" i="34"/>
  <c r="B27" i="34"/>
  <c r="B35" i="34"/>
  <c r="B43" i="34"/>
  <c r="B51" i="34"/>
  <c r="B59" i="34"/>
  <c r="B67" i="34"/>
  <c r="B75" i="34"/>
  <c r="B83" i="34"/>
  <c r="B91" i="34"/>
  <c r="B99" i="34"/>
  <c r="B107" i="34"/>
  <c r="B115" i="34"/>
  <c r="B123" i="34"/>
  <c r="B131" i="34"/>
  <c r="B139" i="34"/>
  <c r="B148" i="34"/>
  <c r="B164" i="34"/>
  <c r="B180" i="34"/>
  <c r="B196" i="34"/>
  <c r="B212" i="34"/>
  <c r="B228" i="34"/>
  <c r="B244" i="34"/>
  <c r="B260" i="34"/>
  <c r="B276" i="34"/>
  <c r="B292" i="34"/>
  <c r="B308" i="34"/>
  <c r="B324" i="34"/>
  <c r="B340" i="34"/>
  <c r="B356" i="34"/>
  <c r="B372" i="34"/>
  <c r="B388" i="34"/>
  <c r="B404" i="34"/>
  <c r="B420" i="34"/>
  <c r="B436" i="34"/>
  <c r="B151" i="34"/>
  <c r="B167" i="34"/>
  <c r="B183" i="34"/>
  <c r="B199" i="34"/>
  <c r="B215" i="34"/>
  <c r="B231" i="34"/>
  <c r="B247" i="34"/>
  <c r="B263" i="34"/>
  <c r="B279" i="34"/>
  <c r="C291" i="34"/>
  <c r="B12" i="38"/>
  <c r="B16" i="38"/>
  <c r="B20" i="38"/>
  <c r="B24" i="38"/>
  <c r="B28" i="38"/>
  <c r="B32" i="38"/>
  <c r="B36" i="38"/>
  <c r="B40" i="38"/>
  <c r="B44" i="38"/>
  <c r="B48" i="38"/>
  <c r="B52" i="38"/>
  <c r="B56" i="38"/>
  <c r="B60" i="38"/>
  <c r="B13" i="38"/>
  <c r="A13" i="38" s="1"/>
  <c r="A14" i="38" s="1"/>
  <c r="B17" i="38"/>
  <c r="B21" i="38"/>
  <c r="B25" i="38"/>
  <c r="B29" i="38"/>
  <c r="B33" i="38"/>
  <c r="B37" i="38"/>
  <c r="B41" i="38"/>
  <c r="B45" i="38"/>
  <c r="B49" i="38"/>
  <c r="B53" i="38"/>
  <c r="B57" i="38"/>
  <c r="B61" i="38"/>
  <c r="B15" i="38"/>
  <c r="B19" i="38"/>
  <c r="B23" i="38"/>
  <c r="B27" i="38"/>
  <c r="B31" i="38"/>
  <c r="B35" i="38"/>
  <c r="B39" i="38"/>
  <c r="B43" i="38"/>
  <c r="B47" i="38"/>
  <c r="B51" i="38"/>
  <c r="B55" i="38"/>
  <c r="B59" i="38"/>
  <c r="B56" i="35"/>
  <c r="B52" i="35"/>
  <c r="B48" i="35"/>
  <c r="B44" i="35"/>
  <c r="B40" i="35"/>
  <c r="B36" i="35"/>
  <c r="B32" i="35"/>
  <c r="B28" i="35"/>
  <c r="B24" i="35"/>
  <c r="B20" i="35"/>
  <c r="B16" i="35"/>
  <c r="B55" i="35"/>
  <c r="B51" i="35"/>
  <c r="B47" i="35"/>
  <c r="B43" i="35"/>
  <c r="B39" i="35"/>
  <c r="B35" i="35"/>
  <c r="B31" i="35"/>
  <c r="B27" i="35"/>
  <c r="B23" i="35"/>
  <c r="B19" i="35"/>
  <c r="B15" i="35"/>
  <c r="B54" i="35"/>
  <c r="B50" i="35"/>
  <c r="B46" i="35"/>
  <c r="B42" i="35"/>
  <c r="B38" i="35"/>
  <c r="B34" i="35"/>
  <c r="B30" i="35"/>
  <c r="B26" i="35"/>
  <c r="B22" i="35"/>
  <c r="B18" i="35"/>
  <c r="B14" i="35"/>
  <c r="B12" i="35"/>
  <c r="B57" i="35"/>
  <c r="B53" i="35"/>
  <c r="B49" i="35"/>
  <c r="B45" i="35"/>
  <c r="B41" i="35"/>
  <c r="B37" i="35"/>
  <c r="B33" i="35"/>
  <c r="B29" i="35"/>
  <c r="B25" i="35"/>
  <c r="B21" i="35"/>
  <c r="B17" i="35"/>
  <c r="B13" i="35"/>
  <c r="A13" i="35" s="1"/>
  <c r="B10" i="13"/>
  <c r="A58" i="3"/>
  <c r="A7" i="33"/>
  <c r="B9" i="3" s="1"/>
  <c r="B384" i="36"/>
  <c r="B684" i="36"/>
  <c r="B685" i="36"/>
  <c r="B686" i="36"/>
  <c r="B689" i="36"/>
  <c r="B696" i="36"/>
  <c r="B699" i="36"/>
  <c r="B702" i="36"/>
  <c r="B705" i="36"/>
  <c r="B712" i="36"/>
  <c r="B698" i="36"/>
  <c r="B703" i="36"/>
  <c r="B709" i="36"/>
  <c r="B687" i="36"/>
  <c r="B691" i="36"/>
  <c r="B694" i="36"/>
  <c r="B708" i="36"/>
  <c r="B688" i="36"/>
  <c r="B704" i="36"/>
  <c r="B707" i="36"/>
  <c r="B683" i="36"/>
  <c r="B692" i="36"/>
  <c r="B695" i="36"/>
  <c r="B701" i="36"/>
  <c r="B706" i="36"/>
  <c r="B697" i="36"/>
  <c r="B710" i="36"/>
  <c r="B690" i="36"/>
  <c r="B693" i="36"/>
  <c r="B700" i="36"/>
  <c r="B711" i="36"/>
  <c r="B13" i="36"/>
  <c r="A13" i="36" s="1"/>
  <c r="B25" i="36"/>
  <c r="B37" i="36"/>
  <c r="B56" i="36"/>
  <c r="B104" i="36"/>
  <c r="B158" i="36"/>
  <c r="B222" i="36"/>
  <c r="B310" i="36"/>
  <c r="B14" i="36"/>
  <c r="B18" i="36"/>
  <c r="B22" i="36"/>
  <c r="B26" i="36"/>
  <c r="B30" i="36"/>
  <c r="B34" i="36"/>
  <c r="B38" i="36"/>
  <c r="B42" i="36"/>
  <c r="B46" i="36"/>
  <c r="B60" i="36"/>
  <c r="B76" i="36"/>
  <c r="B92" i="36"/>
  <c r="B108" i="36"/>
  <c r="B124" i="36"/>
  <c r="B142" i="36"/>
  <c r="B163" i="36"/>
  <c r="B184" i="36"/>
  <c r="B206" i="36"/>
  <c r="B227" i="36"/>
  <c r="B248" i="36"/>
  <c r="B270" i="36"/>
  <c r="B291" i="36"/>
  <c r="B320" i="36"/>
  <c r="B364" i="36"/>
  <c r="B17" i="36"/>
  <c r="B29" i="36"/>
  <c r="B41" i="36"/>
  <c r="B72" i="36"/>
  <c r="B120" i="36"/>
  <c r="B179" i="36"/>
  <c r="B243" i="36"/>
  <c r="B286" i="36"/>
  <c r="B12" i="36"/>
  <c r="B15" i="36"/>
  <c r="B19" i="36"/>
  <c r="B23" i="36"/>
  <c r="B27" i="36"/>
  <c r="B31" i="36"/>
  <c r="B35" i="36"/>
  <c r="B39" i="36"/>
  <c r="B43" i="36"/>
  <c r="B48" i="36"/>
  <c r="B64" i="36"/>
  <c r="B80" i="36"/>
  <c r="B96" i="36"/>
  <c r="B112" i="36"/>
  <c r="B128" i="36"/>
  <c r="B147" i="36"/>
  <c r="B168" i="36"/>
  <c r="B190" i="36"/>
  <c r="B211" i="36"/>
  <c r="B232" i="36"/>
  <c r="B254" i="36"/>
  <c r="B275" i="36"/>
  <c r="B296" i="36"/>
  <c r="B332" i="36"/>
  <c r="B374" i="36"/>
  <c r="B21" i="36"/>
  <c r="B33" i="36"/>
  <c r="B45" i="36"/>
  <c r="B88" i="36"/>
  <c r="B136" i="36"/>
  <c r="B200" i="36"/>
  <c r="B264" i="36"/>
  <c r="B352" i="36"/>
  <c r="B16" i="36"/>
  <c r="B20" i="36"/>
  <c r="B24" i="36"/>
  <c r="B28" i="36"/>
  <c r="B32" i="36"/>
  <c r="B36" i="36"/>
  <c r="B40" i="36"/>
  <c r="B44" i="36"/>
  <c r="B52" i="36"/>
  <c r="B68" i="36"/>
  <c r="B84" i="36"/>
  <c r="B100" i="36"/>
  <c r="B116" i="36"/>
  <c r="B132" i="36"/>
  <c r="B152" i="36"/>
  <c r="B174" i="36"/>
  <c r="B195" i="36"/>
  <c r="B216" i="36"/>
  <c r="B238" i="36"/>
  <c r="B259" i="36"/>
  <c r="B280" i="36"/>
  <c r="B302" i="36"/>
  <c r="B342" i="36"/>
  <c r="B485" i="36"/>
  <c r="B487" i="36"/>
  <c r="B489" i="36"/>
  <c r="B491" i="36"/>
  <c r="B493" i="36"/>
  <c r="B495" i="36"/>
  <c r="B497" i="36"/>
  <c r="B499" i="36"/>
  <c r="B501" i="36"/>
  <c r="B503" i="36"/>
  <c r="B505" i="36"/>
  <c r="B507" i="36"/>
  <c r="B509" i="36"/>
  <c r="B511" i="36"/>
  <c r="B513" i="36"/>
  <c r="B515" i="36"/>
  <c r="B517" i="36"/>
  <c r="B519" i="36"/>
  <c r="B521" i="36"/>
  <c r="B523" i="36"/>
  <c r="B525" i="36"/>
  <c r="B527" i="36"/>
  <c r="B529" i="36"/>
  <c r="B531" i="36"/>
  <c r="B533" i="36"/>
  <c r="B535" i="36"/>
  <c r="B537" i="36"/>
  <c r="B539" i="36"/>
  <c r="B541" i="36"/>
  <c r="B543" i="36"/>
  <c r="B545" i="36"/>
  <c r="B547" i="36"/>
  <c r="B549" i="36"/>
  <c r="B551" i="36"/>
  <c r="B553" i="36"/>
  <c r="B555" i="36"/>
  <c r="B557" i="36"/>
  <c r="B559" i="36"/>
  <c r="B561" i="36"/>
  <c r="B563" i="36"/>
  <c r="B565" i="36"/>
  <c r="B567" i="36"/>
  <c r="B569" i="36"/>
  <c r="B571" i="36"/>
  <c r="B573" i="36"/>
  <c r="B575" i="36"/>
  <c r="B577" i="36"/>
  <c r="B579" i="36"/>
  <c r="B581" i="36"/>
  <c r="B583" i="36"/>
  <c r="B585" i="36"/>
  <c r="B587" i="36"/>
  <c r="B589" i="36"/>
  <c r="B591" i="36"/>
  <c r="B593" i="36"/>
  <c r="B595" i="36"/>
  <c r="B597" i="36"/>
  <c r="B599" i="36"/>
  <c r="B601" i="36"/>
  <c r="B603" i="36"/>
  <c r="B605" i="36"/>
  <c r="B607" i="36"/>
  <c r="B609" i="36"/>
  <c r="B611" i="36"/>
  <c r="B613" i="36"/>
  <c r="B615" i="36"/>
  <c r="B617" i="36"/>
  <c r="B619" i="36"/>
  <c r="B621" i="36"/>
  <c r="B623" i="36"/>
  <c r="B625" i="36"/>
  <c r="B627" i="36"/>
  <c r="B629" i="36"/>
  <c r="B631" i="36"/>
  <c r="B633" i="36"/>
  <c r="B635" i="36"/>
  <c r="B637" i="36"/>
  <c r="B639" i="36"/>
  <c r="B641" i="36"/>
  <c r="B643" i="36"/>
  <c r="B645" i="36"/>
  <c r="B647" i="36"/>
  <c r="B649" i="36"/>
  <c r="B651" i="36"/>
  <c r="B486" i="36"/>
  <c r="B488" i="36"/>
  <c r="B490" i="36"/>
  <c r="B492" i="36"/>
  <c r="B494" i="36"/>
  <c r="B496" i="36"/>
  <c r="B498" i="36"/>
  <c r="B500" i="36"/>
  <c r="B502" i="36"/>
  <c r="B504" i="36"/>
  <c r="B506" i="36"/>
  <c r="B508" i="36"/>
  <c r="B510" i="36"/>
  <c r="B512" i="36"/>
  <c r="B514" i="36"/>
  <c r="B516" i="36"/>
  <c r="B518" i="36"/>
  <c r="B520" i="36"/>
  <c r="B522" i="36"/>
  <c r="B524" i="36"/>
  <c r="B526" i="36"/>
  <c r="B528" i="36"/>
  <c r="B530" i="36"/>
  <c r="B532" i="36"/>
  <c r="B534" i="36"/>
  <c r="B536" i="36"/>
  <c r="B538" i="36"/>
  <c r="B540" i="36"/>
  <c r="B542" i="36"/>
  <c r="B544" i="36"/>
  <c r="B546" i="36"/>
  <c r="B548" i="36"/>
  <c r="B550" i="36"/>
  <c r="B552" i="36"/>
  <c r="B554" i="36"/>
  <c r="B556" i="36"/>
  <c r="B558" i="36"/>
  <c r="B560" i="36"/>
  <c r="B562" i="36"/>
  <c r="B564" i="36"/>
  <c r="B566" i="36"/>
  <c r="B568" i="36"/>
  <c r="B570" i="36"/>
  <c r="B572" i="36"/>
  <c r="B574" i="36"/>
  <c r="B576" i="36"/>
  <c r="B578" i="36"/>
  <c r="B580" i="36"/>
  <c r="B582" i="36"/>
  <c r="B584" i="36"/>
  <c r="B586" i="36"/>
  <c r="B588" i="36"/>
  <c r="B590" i="36"/>
  <c r="B592" i="36"/>
  <c r="B594" i="36"/>
  <c r="B596" i="36"/>
  <c r="B598" i="36"/>
  <c r="B600" i="36"/>
  <c r="B602" i="36"/>
  <c r="B604" i="36"/>
  <c r="B606" i="36"/>
  <c r="B608" i="36"/>
  <c r="B610" i="36"/>
  <c r="B612" i="36"/>
  <c r="B614" i="36"/>
  <c r="B616" i="36"/>
  <c r="B618" i="36"/>
  <c r="B620" i="36"/>
  <c r="B622" i="36"/>
  <c r="B624" i="36"/>
  <c r="B626" i="36"/>
  <c r="B628" i="36"/>
  <c r="B630" i="36"/>
  <c r="B632" i="36"/>
  <c r="B634" i="36"/>
  <c r="B636" i="36"/>
  <c r="B638" i="36"/>
  <c r="B640" i="36"/>
  <c r="B642" i="36"/>
  <c r="B644" i="36"/>
  <c r="B646" i="36"/>
  <c r="B648" i="36"/>
  <c r="B650" i="36"/>
  <c r="B653" i="36"/>
  <c r="B655" i="36"/>
  <c r="B657" i="36"/>
  <c r="B659" i="36"/>
  <c r="B661" i="36"/>
  <c r="B663" i="36"/>
  <c r="B665" i="36"/>
  <c r="B667" i="36"/>
  <c r="B669" i="36"/>
  <c r="B671" i="36"/>
  <c r="B673" i="36"/>
  <c r="B675" i="36"/>
  <c r="B677" i="36"/>
  <c r="B679" i="36"/>
  <c r="B681" i="36"/>
  <c r="B459" i="36"/>
  <c r="B461" i="36"/>
  <c r="B463" i="36"/>
  <c r="B465" i="36"/>
  <c r="B467" i="36"/>
  <c r="B469" i="36"/>
  <c r="B471" i="36"/>
  <c r="B473" i="36"/>
  <c r="B475" i="36"/>
  <c r="B477" i="36"/>
  <c r="B479" i="36"/>
  <c r="B481" i="36"/>
  <c r="B483" i="36"/>
  <c r="B450" i="36"/>
  <c r="B446" i="36"/>
  <c r="B442" i="36"/>
  <c r="B438" i="36"/>
  <c r="B434" i="36"/>
  <c r="B430" i="36"/>
  <c r="B426" i="36"/>
  <c r="B422" i="36"/>
  <c r="B418" i="36"/>
  <c r="B414" i="36"/>
  <c r="B410" i="36"/>
  <c r="B406" i="36"/>
  <c r="B402" i="36"/>
  <c r="B398" i="36"/>
  <c r="B452" i="36"/>
  <c r="B454" i="36"/>
  <c r="B456" i="36"/>
  <c r="B393" i="36"/>
  <c r="B389" i="36"/>
  <c r="B385" i="36"/>
  <c r="B381" i="36"/>
  <c r="B377" i="36"/>
  <c r="B373" i="36"/>
  <c r="B369" i="36"/>
  <c r="B365" i="36"/>
  <c r="B361" i="36"/>
  <c r="B357" i="36"/>
  <c r="B353" i="36"/>
  <c r="B349" i="36"/>
  <c r="B345" i="36"/>
  <c r="B341" i="36"/>
  <c r="B337" i="36"/>
  <c r="B333" i="36"/>
  <c r="B329" i="36"/>
  <c r="B325" i="36"/>
  <c r="B321" i="36"/>
  <c r="B317" i="36"/>
  <c r="B313" i="36"/>
  <c r="B309" i="36"/>
  <c r="B305" i="36"/>
  <c r="B652" i="36"/>
  <c r="B654" i="36"/>
  <c r="B656" i="36"/>
  <c r="B658" i="36"/>
  <c r="B660" i="36"/>
  <c r="B662" i="36"/>
  <c r="B664" i="36"/>
  <c r="B666" i="36"/>
  <c r="B668" i="36"/>
  <c r="B670" i="36"/>
  <c r="B672" i="36"/>
  <c r="B674" i="36"/>
  <c r="B676" i="36"/>
  <c r="B678" i="36"/>
  <c r="B680" i="36"/>
  <c r="B682" i="36"/>
  <c r="B458" i="36"/>
  <c r="B460" i="36"/>
  <c r="B462" i="36"/>
  <c r="B464" i="36"/>
  <c r="B466" i="36"/>
  <c r="B468" i="36"/>
  <c r="B470" i="36"/>
  <c r="B472" i="36"/>
  <c r="B474" i="36"/>
  <c r="B476" i="36"/>
  <c r="B478" i="36"/>
  <c r="B480" i="36"/>
  <c r="B482" i="36"/>
  <c r="B484" i="36"/>
  <c r="B448" i="36"/>
  <c r="B444" i="36"/>
  <c r="B440" i="36"/>
  <c r="B436" i="36"/>
  <c r="B432" i="36"/>
  <c r="B428" i="36"/>
  <c r="B424" i="36"/>
  <c r="B420" i="36"/>
  <c r="B416" i="36"/>
  <c r="B412" i="36"/>
  <c r="B408" i="36"/>
  <c r="B404" i="36"/>
  <c r="B400" i="36"/>
  <c r="B396" i="36"/>
  <c r="B451" i="36"/>
  <c r="B453" i="36"/>
  <c r="B455" i="36"/>
  <c r="B457" i="36"/>
  <c r="B395" i="36"/>
  <c r="B391" i="36"/>
  <c r="B387" i="36"/>
  <c r="B383" i="36"/>
  <c r="B379" i="36"/>
  <c r="B375" i="36"/>
  <c r="B371" i="36"/>
  <c r="B367" i="36"/>
  <c r="B363" i="36"/>
  <c r="B359" i="36"/>
  <c r="B355" i="36"/>
  <c r="B351" i="36"/>
  <c r="B347" i="36"/>
  <c r="B343" i="36"/>
  <c r="B339" i="36"/>
  <c r="B335" i="36"/>
  <c r="B331" i="36"/>
  <c r="B327" i="36"/>
  <c r="B323" i="36"/>
  <c r="B319" i="36"/>
  <c r="B315" i="36"/>
  <c r="B311" i="36"/>
  <c r="B307" i="36"/>
  <c r="B449" i="36"/>
  <c r="B441" i="36"/>
  <c r="B433" i="36"/>
  <c r="B425" i="36"/>
  <c r="B417" i="36"/>
  <c r="B409" i="36"/>
  <c r="B401" i="36"/>
  <c r="B394" i="36"/>
  <c r="B386" i="36"/>
  <c r="B378" i="36"/>
  <c r="B370" i="36"/>
  <c r="B362" i="36"/>
  <c r="B354" i="36"/>
  <c r="B346" i="36"/>
  <c r="B338" i="36"/>
  <c r="B330" i="36"/>
  <c r="B322" i="36"/>
  <c r="B314" i="36"/>
  <c r="B306" i="36"/>
  <c r="B301" i="36"/>
  <c r="B297" i="36"/>
  <c r="B293" i="36"/>
  <c r="B289" i="36"/>
  <c r="B285" i="36"/>
  <c r="B281" i="36"/>
  <c r="B277" i="36"/>
  <c r="B273" i="36"/>
  <c r="B269" i="36"/>
  <c r="B265" i="36"/>
  <c r="B261" i="36"/>
  <c r="B257" i="36"/>
  <c r="B253" i="36"/>
  <c r="B249" i="36"/>
  <c r="B245" i="36"/>
  <c r="B241" i="36"/>
  <c r="B237" i="36"/>
  <c r="B233" i="36"/>
  <c r="B229" i="36"/>
  <c r="B225" i="36"/>
  <c r="B221" i="36"/>
  <c r="B217" i="36"/>
  <c r="B213" i="36"/>
  <c r="B209" i="36"/>
  <c r="B205" i="36"/>
  <c r="B201" i="36"/>
  <c r="B197" i="36"/>
  <c r="B193" i="36"/>
  <c r="B189" i="36"/>
  <c r="B185" i="36"/>
  <c r="B181" i="36"/>
  <c r="B177" i="36"/>
  <c r="B173" i="36"/>
  <c r="B169" i="36"/>
  <c r="B165" i="36"/>
  <c r="B161" i="36"/>
  <c r="B157" i="36"/>
  <c r="B153" i="36"/>
  <c r="B149" i="36"/>
  <c r="B145" i="36"/>
  <c r="B141" i="36"/>
  <c r="B137" i="36"/>
  <c r="B397" i="36"/>
  <c r="B407" i="36"/>
  <c r="B419" i="36"/>
  <c r="B429" i="36"/>
  <c r="B439" i="36"/>
  <c r="B49" i="36"/>
  <c r="B53" i="36"/>
  <c r="B57" i="36"/>
  <c r="B61" i="36"/>
  <c r="B65" i="36"/>
  <c r="B69" i="36"/>
  <c r="B73" i="36"/>
  <c r="B77" i="36"/>
  <c r="B81" i="36"/>
  <c r="B85" i="36"/>
  <c r="B89" i="36"/>
  <c r="B93" i="36"/>
  <c r="B97" i="36"/>
  <c r="B101" i="36"/>
  <c r="B105" i="36"/>
  <c r="B109" i="36"/>
  <c r="B113" i="36"/>
  <c r="B117" i="36"/>
  <c r="B121" i="36"/>
  <c r="B125" i="36"/>
  <c r="B129" i="36"/>
  <c r="B133" i="36"/>
  <c r="B138" i="36"/>
  <c r="B143" i="36"/>
  <c r="B148" i="36"/>
  <c r="B154" i="36"/>
  <c r="B159" i="36"/>
  <c r="B164" i="36"/>
  <c r="B170" i="36"/>
  <c r="B175" i="36"/>
  <c r="B180" i="36"/>
  <c r="B186" i="36"/>
  <c r="B191" i="36"/>
  <c r="B196" i="36"/>
  <c r="B202" i="36"/>
  <c r="B207" i="36"/>
  <c r="B212" i="36"/>
  <c r="B218" i="36"/>
  <c r="B223" i="36"/>
  <c r="B228" i="36"/>
  <c r="B234" i="36"/>
  <c r="B239" i="36"/>
  <c r="B244" i="36"/>
  <c r="B250" i="36"/>
  <c r="B255" i="36"/>
  <c r="B260" i="36"/>
  <c r="B266" i="36"/>
  <c r="B271" i="36"/>
  <c r="B276" i="36"/>
  <c r="B282" i="36"/>
  <c r="B287" i="36"/>
  <c r="B292" i="36"/>
  <c r="B298" i="36"/>
  <c r="B303" i="36"/>
  <c r="B312" i="36"/>
  <c r="B324" i="36"/>
  <c r="B334" i="36"/>
  <c r="B344" i="36"/>
  <c r="B356" i="36"/>
  <c r="B366" i="36"/>
  <c r="B376" i="36"/>
  <c r="B388" i="36"/>
  <c r="B399" i="36"/>
  <c r="B411" i="36"/>
  <c r="B421" i="36"/>
  <c r="B431" i="36"/>
  <c r="B443" i="36"/>
  <c r="B50" i="36"/>
  <c r="B54" i="36"/>
  <c r="B58" i="36"/>
  <c r="B62" i="36"/>
  <c r="B66" i="36"/>
  <c r="B70" i="36"/>
  <c r="B74" i="36"/>
  <c r="B78" i="36"/>
  <c r="B82" i="36"/>
  <c r="B86" i="36"/>
  <c r="B90" i="36"/>
  <c r="B94" i="36"/>
  <c r="B98" i="36"/>
  <c r="B102" i="36"/>
  <c r="B106" i="36"/>
  <c r="B110" i="36"/>
  <c r="B114" i="36"/>
  <c r="B118" i="36"/>
  <c r="B122" i="36"/>
  <c r="B126" i="36"/>
  <c r="B130" i="36"/>
  <c r="B134" i="36"/>
  <c r="B139" i="36"/>
  <c r="B144" i="36"/>
  <c r="B150" i="36"/>
  <c r="B155" i="36"/>
  <c r="B160" i="36"/>
  <c r="B166" i="36"/>
  <c r="B171" i="36"/>
  <c r="B176" i="36"/>
  <c r="B182" i="36"/>
  <c r="B187" i="36"/>
  <c r="B192" i="36"/>
  <c r="B198" i="36"/>
  <c r="B203" i="36"/>
  <c r="B208" i="36"/>
  <c r="B214" i="36"/>
  <c r="B219" i="36"/>
  <c r="B224" i="36"/>
  <c r="B230" i="36"/>
  <c r="B235" i="36"/>
  <c r="B240" i="36"/>
  <c r="B246" i="36"/>
  <c r="B251" i="36"/>
  <c r="B256" i="36"/>
  <c r="B262" i="36"/>
  <c r="B267" i="36"/>
  <c r="B272" i="36"/>
  <c r="B278" i="36"/>
  <c r="B283" i="36"/>
  <c r="B288" i="36"/>
  <c r="B294" i="36"/>
  <c r="B299" i="36"/>
  <c r="B304" i="36"/>
  <c r="B316" i="36"/>
  <c r="B326" i="36"/>
  <c r="B336" i="36"/>
  <c r="B348" i="36"/>
  <c r="B358" i="36"/>
  <c r="B368" i="36"/>
  <c r="B380" i="36"/>
  <c r="B390" i="36"/>
  <c r="B403" i="36"/>
  <c r="B413" i="36"/>
  <c r="B423" i="36"/>
  <c r="B435" i="36"/>
  <c r="B445" i="36"/>
  <c r="B47" i="36"/>
  <c r="B51" i="36"/>
  <c r="B55" i="36"/>
  <c r="B59" i="36"/>
  <c r="B63" i="36"/>
  <c r="B67" i="36"/>
  <c r="B71" i="36"/>
  <c r="B75" i="36"/>
  <c r="B79" i="36"/>
  <c r="B83" i="36"/>
  <c r="B87" i="36"/>
  <c r="B91" i="36"/>
  <c r="B95" i="36"/>
  <c r="B99" i="36"/>
  <c r="B103" i="36"/>
  <c r="B107" i="36"/>
  <c r="B111" i="36"/>
  <c r="B115" i="36"/>
  <c r="B119" i="36"/>
  <c r="B123" i="36"/>
  <c r="B127" i="36"/>
  <c r="B131" i="36"/>
  <c r="B135" i="36"/>
  <c r="B140" i="36"/>
  <c r="B146" i="36"/>
  <c r="B151" i="36"/>
  <c r="B156" i="36"/>
  <c r="B162" i="36"/>
  <c r="B167" i="36"/>
  <c r="B172" i="36"/>
  <c r="B178" i="36"/>
  <c r="B183" i="36"/>
  <c r="B188" i="36"/>
  <c r="B194" i="36"/>
  <c r="B199" i="36"/>
  <c r="B204" i="36"/>
  <c r="B210" i="36"/>
  <c r="B215" i="36"/>
  <c r="B220" i="36"/>
  <c r="B226" i="36"/>
  <c r="B231" i="36"/>
  <c r="B236" i="36"/>
  <c r="B242" i="36"/>
  <c r="B247" i="36"/>
  <c r="B252" i="36"/>
  <c r="B258" i="36"/>
  <c r="B263" i="36"/>
  <c r="B268" i="36"/>
  <c r="B274" i="36"/>
  <c r="B279" i="36"/>
  <c r="B284" i="36"/>
  <c r="B290" i="36"/>
  <c r="B295" i="36"/>
  <c r="B300" i="36"/>
  <c r="B308" i="36"/>
  <c r="B318" i="36"/>
  <c r="B328" i="36"/>
  <c r="B340" i="36"/>
  <c r="B350" i="36"/>
  <c r="B360" i="36"/>
  <c r="B372" i="36"/>
  <c r="B382" i="36"/>
  <c r="B392" i="36"/>
  <c r="B405" i="36"/>
  <c r="B415" i="36"/>
  <c r="B427" i="36"/>
  <c r="B437" i="36"/>
  <c r="B447" i="36"/>
  <c r="D12" i="38"/>
  <c r="D12" i="34"/>
  <c r="D13" i="38"/>
  <c r="D13" i="36"/>
  <c r="D13" i="34"/>
  <c r="D14" i="38"/>
  <c r="D12" i="36"/>
  <c r="D12" i="35"/>
  <c r="A407" i="34" l="1"/>
  <c r="D352" i="34"/>
  <c r="E352" i="34" s="1"/>
  <c r="F352" i="34" s="1"/>
  <c r="G352" i="34" s="1"/>
  <c r="H352" i="34" s="1"/>
  <c r="I352" i="34" s="1"/>
  <c r="J352" i="34" s="1"/>
  <c r="K352" i="34" s="1"/>
  <c r="A352" i="34"/>
  <c r="A405" i="34"/>
  <c r="C195" i="34"/>
  <c r="C405" i="34"/>
  <c r="A15" i="34"/>
  <c r="A14" i="34"/>
  <c r="C408" i="34"/>
  <c r="A195" i="34"/>
  <c r="C382" i="34"/>
  <c r="C167" i="34"/>
  <c r="A167" i="34"/>
  <c r="D167" i="34"/>
  <c r="E167" i="34" s="1"/>
  <c r="F167" i="34" s="1"/>
  <c r="G167" i="34" s="1"/>
  <c r="H167" i="34" s="1"/>
  <c r="I167" i="34" s="1"/>
  <c r="J167" i="34" s="1"/>
  <c r="K167" i="34" s="1"/>
  <c r="C212" i="34"/>
  <c r="A212" i="34"/>
  <c r="D212" i="34"/>
  <c r="E212" i="34" s="1"/>
  <c r="F212" i="34" s="1"/>
  <c r="G212" i="34" s="1"/>
  <c r="H212" i="34" s="1"/>
  <c r="I212" i="34" s="1"/>
  <c r="J212" i="34" s="1"/>
  <c r="K212" i="34" s="1"/>
  <c r="D289" i="34"/>
  <c r="E289" i="34" s="1"/>
  <c r="F289" i="34" s="1"/>
  <c r="G289" i="34" s="1"/>
  <c r="H289" i="34" s="1"/>
  <c r="I289" i="34" s="1"/>
  <c r="J289" i="34" s="1"/>
  <c r="K289" i="34" s="1"/>
  <c r="A289" i="34"/>
  <c r="C289" i="34"/>
  <c r="A349" i="34"/>
  <c r="D349" i="34"/>
  <c r="E349" i="34" s="1"/>
  <c r="F349" i="34" s="1"/>
  <c r="G349" i="34" s="1"/>
  <c r="H349" i="34" s="1"/>
  <c r="I349" i="34" s="1"/>
  <c r="J349" i="34" s="1"/>
  <c r="K349" i="34" s="1"/>
  <c r="C349" i="34"/>
  <c r="A396" i="34"/>
  <c r="D396" i="34"/>
  <c r="E396" i="34" s="1"/>
  <c r="F396" i="34" s="1"/>
  <c r="G396" i="34" s="1"/>
  <c r="H396" i="34" s="1"/>
  <c r="I396" i="34" s="1"/>
  <c r="J396" i="34" s="1"/>
  <c r="K396" i="34" s="1"/>
  <c r="C396" i="34"/>
  <c r="D203" i="34"/>
  <c r="E203" i="34" s="1"/>
  <c r="F203" i="34" s="1"/>
  <c r="G203" i="34" s="1"/>
  <c r="H203" i="34" s="1"/>
  <c r="I203" i="34" s="1"/>
  <c r="J203" i="34" s="1"/>
  <c r="K203" i="34" s="1"/>
  <c r="C203" i="34"/>
  <c r="A203" i="34"/>
  <c r="D250" i="34"/>
  <c r="E250" i="34" s="1"/>
  <c r="F250" i="34" s="1"/>
  <c r="G250" i="34" s="1"/>
  <c r="H250" i="34" s="1"/>
  <c r="I250" i="34" s="1"/>
  <c r="J250" i="34" s="1"/>
  <c r="K250" i="34" s="1"/>
  <c r="C250" i="34"/>
  <c r="A250" i="34"/>
  <c r="D313" i="34"/>
  <c r="E313" i="34" s="1"/>
  <c r="F313" i="34" s="1"/>
  <c r="G313" i="34" s="1"/>
  <c r="H313" i="34" s="1"/>
  <c r="I313" i="34" s="1"/>
  <c r="J313" i="34" s="1"/>
  <c r="K313" i="34" s="1"/>
  <c r="C313" i="34"/>
  <c r="A313" i="34"/>
  <c r="C357" i="34"/>
  <c r="A357" i="34"/>
  <c r="D357" i="34"/>
  <c r="E357" i="34" s="1"/>
  <c r="F357" i="34" s="1"/>
  <c r="G357" i="34" s="1"/>
  <c r="H357" i="34" s="1"/>
  <c r="I357" i="34" s="1"/>
  <c r="J357" i="34" s="1"/>
  <c r="K357" i="34" s="1"/>
  <c r="D208" i="34"/>
  <c r="E208" i="34" s="1"/>
  <c r="F208" i="34" s="1"/>
  <c r="G208" i="34" s="1"/>
  <c r="H208" i="34" s="1"/>
  <c r="I208" i="34" s="1"/>
  <c r="J208" i="34" s="1"/>
  <c r="K208" i="34" s="1"/>
  <c r="A208" i="34"/>
  <c r="C208" i="34"/>
  <c r="C389" i="34"/>
  <c r="A389" i="34"/>
  <c r="D389" i="34"/>
  <c r="E389" i="34" s="1"/>
  <c r="F389" i="34" s="1"/>
  <c r="G389" i="34" s="1"/>
  <c r="H389" i="34" s="1"/>
  <c r="I389" i="34" s="1"/>
  <c r="J389" i="34" s="1"/>
  <c r="K389" i="34" s="1"/>
  <c r="D307" i="34"/>
  <c r="E307" i="34" s="1"/>
  <c r="F307" i="34" s="1"/>
  <c r="G307" i="34" s="1"/>
  <c r="H307" i="34" s="1"/>
  <c r="I307" i="34" s="1"/>
  <c r="J307" i="34" s="1"/>
  <c r="K307" i="34" s="1"/>
  <c r="A307" i="34"/>
  <c r="C307" i="34"/>
  <c r="C182" i="34"/>
  <c r="D182" i="34"/>
  <c r="E182" i="34" s="1"/>
  <c r="F182" i="34" s="1"/>
  <c r="G182" i="34" s="1"/>
  <c r="H182" i="34" s="1"/>
  <c r="I182" i="34" s="1"/>
  <c r="J182" i="34" s="1"/>
  <c r="K182" i="34" s="1"/>
  <c r="A182" i="34"/>
  <c r="D248" i="34"/>
  <c r="E248" i="34" s="1"/>
  <c r="F248" i="34" s="1"/>
  <c r="G248" i="34" s="1"/>
  <c r="H248" i="34" s="1"/>
  <c r="I248" i="34" s="1"/>
  <c r="J248" i="34" s="1"/>
  <c r="K248" i="34" s="1"/>
  <c r="C248" i="34"/>
  <c r="A248" i="34"/>
  <c r="D312" i="34"/>
  <c r="E312" i="34" s="1"/>
  <c r="F312" i="34" s="1"/>
  <c r="G312" i="34" s="1"/>
  <c r="H312" i="34" s="1"/>
  <c r="I312" i="34" s="1"/>
  <c r="J312" i="34" s="1"/>
  <c r="K312" i="34" s="1"/>
  <c r="C312" i="34"/>
  <c r="A312" i="34"/>
  <c r="C151" i="34"/>
  <c r="D151" i="34"/>
  <c r="E151" i="34" s="1"/>
  <c r="F151" i="34" s="1"/>
  <c r="G151" i="34" s="1"/>
  <c r="H151" i="34" s="1"/>
  <c r="I151" i="34" s="1"/>
  <c r="J151" i="34" s="1"/>
  <c r="K151" i="34" s="1"/>
  <c r="A151" i="34"/>
  <c r="C196" i="34"/>
  <c r="D196" i="34"/>
  <c r="E196" i="34" s="1"/>
  <c r="F196" i="34" s="1"/>
  <c r="G196" i="34" s="1"/>
  <c r="H196" i="34" s="1"/>
  <c r="I196" i="34" s="1"/>
  <c r="J196" i="34" s="1"/>
  <c r="K196" i="34" s="1"/>
  <c r="A196" i="34"/>
  <c r="D273" i="34"/>
  <c r="E273" i="34" s="1"/>
  <c r="F273" i="34" s="1"/>
  <c r="G273" i="34" s="1"/>
  <c r="H273" i="34" s="1"/>
  <c r="I273" i="34" s="1"/>
  <c r="J273" i="34" s="1"/>
  <c r="K273" i="34" s="1"/>
  <c r="C273" i="34"/>
  <c r="A273" i="34"/>
  <c r="A333" i="34"/>
  <c r="D333" i="34"/>
  <c r="E333" i="34" s="1"/>
  <c r="F333" i="34" s="1"/>
  <c r="G333" i="34" s="1"/>
  <c r="H333" i="34" s="1"/>
  <c r="I333" i="34" s="1"/>
  <c r="J333" i="34" s="1"/>
  <c r="K333" i="34" s="1"/>
  <c r="C333" i="34"/>
  <c r="A380" i="34"/>
  <c r="D380" i="34"/>
  <c r="E380" i="34" s="1"/>
  <c r="F380" i="34" s="1"/>
  <c r="G380" i="34" s="1"/>
  <c r="H380" i="34" s="1"/>
  <c r="I380" i="34" s="1"/>
  <c r="J380" i="34" s="1"/>
  <c r="K380" i="34" s="1"/>
  <c r="C380" i="34"/>
  <c r="A443" i="34"/>
  <c r="D443" i="34"/>
  <c r="E443" i="34" s="1"/>
  <c r="F443" i="34" s="1"/>
  <c r="G443" i="34" s="1"/>
  <c r="H443" i="34" s="1"/>
  <c r="I443" i="34" s="1"/>
  <c r="J443" i="34" s="1"/>
  <c r="K443" i="34" s="1"/>
  <c r="C443" i="34"/>
  <c r="D187" i="34"/>
  <c r="E187" i="34" s="1"/>
  <c r="F187" i="34" s="1"/>
  <c r="G187" i="34" s="1"/>
  <c r="H187" i="34" s="1"/>
  <c r="I187" i="34" s="1"/>
  <c r="J187" i="34" s="1"/>
  <c r="K187" i="34" s="1"/>
  <c r="C187" i="34"/>
  <c r="A187" i="34"/>
  <c r="D234" i="34"/>
  <c r="E234" i="34" s="1"/>
  <c r="F234" i="34" s="1"/>
  <c r="G234" i="34" s="1"/>
  <c r="H234" i="34" s="1"/>
  <c r="I234" i="34" s="1"/>
  <c r="J234" i="34" s="1"/>
  <c r="K234" i="34" s="1"/>
  <c r="C234" i="34"/>
  <c r="A234" i="34"/>
  <c r="D297" i="34"/>
  <c r="E297" i="34" s="1"/>
  <c r="F297" i="34" s="1"/>
  <c r="G297" i="34" s="1"/>
  <c r="H297" i="34" s="1"/>
  <c r="I297" i="34" s="1"/>
  <c r="J297" i="34" s="1"/>
  <c r="K297" i="34" s="1"/>
  <c r="C297" i="34"/>
  <c r="A297" i="34"/>
  <c r="D368" i="34"/>
  <c r="E368" i="34" s="1"/>
  <c r="F368" i="34" s="1"/>
  <c r="G368" i="34" s="1"/>
  <c r="H368" i="34" s="1"/>
  <c r="I368" i="34" s="1"/>
  <c r="J368" i="34" s="1"/>
  <c r="K368" i="34" s="1"/>
  <c r="C368" i="34"/>
  <c r="A368" i="34"/>
  <c r="D386" i="34"/>
  <c r="E386" i="34" s="1"/>
  <c r="F386" i="34" s="1"/>
  <c r="G386" i="34" s="1"/>
  <c r="H386" i="34" s="1"/>
  <c r="I386" i="34" s="1"/>
  <c r="J386" i="34" s="1"/>
  <c r="K386" i="34" s="1"/>
  <c r="A386" i="34"/>
  <c r="C386" i="34"/>
  <c r="D240" i="34"/>
  <c r="E240" i="34" s="1"/>
  <c r="F240" i="34" s="1"/>
  <c r="G240" i="34" s="1"/>
  <c r="H240" i="34" s="1"/>
  <c r="I240" i="34" s="1"/>
  <c r="J240" i="34" s="1"/>
  <c r="K240" i="34" s="1"/>
  <c r="A240" i="34"/>
  <c r="C240" i="34"/>
  <c r="D418" i="34"/>
  <c r="E418" i="34" s="1"/>
  <c r="F418" i="34" s="1"/>
  <c r="G418" i="34" s="1"/>
  <c r="H418" i="34" s="1"/>
  <c r="I418" i="34" s="1"/>
  <c r="J418" i="34" s="1"/>
  <c r="K418" i="34" s="1"/>
  <c r="A418" i="34"/>
  <c r="C418" i="34"/>
  <c r="D336" i="34"/>
  <c r="E336" i="34" s="1"/>
  <c r="F336" i="34" s="1"/>
  <c r="G336" i="34" s="1"/>
  <c r="H336" i="34" s="1"/>
  <c r="I336" i="34" s="1"/>
  <c r="J336" i="34" s="1"/>
  <c r="K336" i="34" s="1"/>
  <c r="C336" i="34"/>
  <c r="A336" i="34"/>
  <c r="C214" i="34"/>
  <c r="D214" i="34"/>
  <c r="E214" i="34" s="1"/>
  <c r="F214" i="34" s="1"/>
  <c r="G214" i="34" s="1"/>
  <c r="H214" i="34" s="1"/>
  <c r="I214" i="34" s="1"/>
  <c r="J214" i="34" s="1"/>
  <c r="K214" i="34" s="1"/>
  <c r="A214" i="34"/>
  <c r="D280" i="34"/>
  <c r="E280" i="34" s="1"/>
  <c r="F280" i="34" s="1"/>
  <c r="G280" i="34" s="1"/>
  <c r="H280" i="34" s="1"/>
  <c r="I280" i="34" s="1"/>
  <c r="J280" i="34" s="1"/>
  <c r="K280" i="34" s="1"/>
  <c r="C280" i="34"/>
  <c r="A280" i="34"/>
  <c r="D160" i="34"/>
  <c r="E160" i="34" s="1"/>
  <c r="F160" i="34" s="1"/>
  <c r="G160" i="34" s="1"/>
  <c r="H160" i="34" s="1"/>
  <c r="I160" i="34" s="1"/>
  <c r="J160" i="34" s="1"/>
  <c r="K160" i="34" s="1"/>
  <c r="A160" i="34"/>
  <c r="C160" i="34"/>
  <c r="C342" i="34"/>
  <c r="D342" i="34"/>
  <c r="E342" i="34" s="1"/>
  <c r="F342" i="34" s="1"/>
  <c r="G342" i="34" s="1"/>
  <c r="H342" i="34" s="1"/>
  <c r="I342" i="34" s="1"/>
  <c r="J342" i="34" s="1"/>
  <c r="K342" i="34" s="1"/>
  <c r="A342" i="34"/>
  <c r="C436" i="34"/>
  <c r="D436" i="34"/>
  <c r="E436" i="34" s="1"/>
  <c r="F436" i="34" s="1"/>
  <c r="G436" i="34" s="1"/>
  <c r="H436" i="34" s="1"/>
  <c r="I436" i="34" s="1"/>
  <c r="J436" i="34" s="1"/>
  <c r="K436" i="34" s="1"/>
  <c r="A436" i="34"/>
  <c r="C180" i="34"/>
  <c r="D180" i="34"/>
  <c r="E180" i="34" s="1"/>
  <c r="F180" i="34" s="1"/>
  <c r="G180" i="34" s="1"/>
  <c r="H180" i="34" s="1"/>
  <c r="I180" i="34" s="1"/>
  <c r="J180" i="34" s="1"/>
  <c r="K180" i="34" s="1"/>
  <c r="A180" i="34"/>
  <c r="D257" i="34"/>
  <c r="E257" i="34" s="1"/>
  <c r="F257" i="34" s="1"/>
  <c r="G257" i="34" s="1"/>
  <c r="H257" i="34" s="1"/>
  <c r="I257" i="34" s="1"/>
  <c r="J257" i="34" s="1"/>
  <c r="K257" i="34" s="1"/>
  <c r="C257" i="34"/>
  <c r="A257" i="34"/>
  <c r="A317" i="34"/>
  <c r="D317" i="34"/>
  <c r="E317" i="34" s="1"/>
  <c r="F317" i="34" s="1"/>
  <c r="G317" i="34" s="1"/>
  <c r="H317" i="34" s="1"/>
  <c r="I317" i="34" s="1"/>
  <c r="J317" i="34" s="1"/>
  <c r="K317" i="34" s="1"/>
  <c r="C317" i="34"/>
  <c r="D364" i="34"/>
  <c r="E364" i="34" s="1"/>
  <c r="F364" i="34" s="1"/>
  <c r="G364" i="34" s="1"/>
  <c r="H364" i="34" s="1"/>
  <c r="I364" i="34" s="1"/>
  <c r="J364" i="34" s="1"/>
  <c r="K364" i="34" s="1"/>
  <c r="C364" i="34"/>
  <c r="A364" i="34"/>
  <c r="A427" i="34"/>
  <c r="D427" i="34"/>
  <c r="E427" i="34" s="1"/>
  <c r="F427" i="34" s="1"/>
  <c r="G427" i="34" s="1"/>
  <c r="H427" i="34" s="1"/>
  <c r="I427" i="34" s="1"/>
  <c r="J427" i="34" s="1"/>
  <c r="K427" i="34" s="1"/>
  <c r="C427" i="34"/>
  <c r="D171" i="34"/>
  <c r="E171" i="34" s="1"/>
  <c r="F171" i="34" s="1"/>
  <c r="G171" i="34" s="1"/>
  <c r="H171" i="34" s="1"/>
  <c r="I171" i="34" s="1"/>
  <c r="J171" i="34" s="1"/>
  <c r="K171" i="34" s="1"/>
  <c r="C171" i="34"/>
  <c r="A171" i="34"/>
  <c r="D218" i="34"/>
  <c r="E218" i="34" s="1"/>
  <c r="F218" i="34" s="1"/>
  <c r="G218" i="34" s="1"/>
  <c r="H218" i="34" s="1"/>
  <c r="I218" i="34" s="1"/>
  <c r="J218" i="34" s="1"/>
  <c r="K218" i="34" s="1"/>
  <c r="C218" i="34"/>
  <c r="A218" i="34"/>
  <c r="D281" i="34"/>
  <c r="E281" i="34" s="1"/>
  <c r="F281" i="34" s="1"/>
  <c r="G281" i="34" s="1"/>
  <c r="H281" i="34" s="1"/>
  <c r="I281" i="34" s="1"/>
  <c r="J281" i="34" s="1"/>
  <c r="K281" i="34" s="1"/>
  <c r="C281" i="34"/>
  <c r="A281" i="34"/>
  <c r="D290" i="34"/>
  <c r="E290" i="34" s="1"/>
  <c r="F290" i="34" s="1"/>
  <c r="G290" i="34" s="1"/>
  <c r="H290" i="34" s="1"/>
  <c r="I290" i="34" s="1"/>
  <c r="J290" i="34" s="1"/>
  <c r="K290" i="34" s="1"/>
  <c r="C290" i="34"/>
  <c r="A290" i="34"/>
  <c r="D415" i="34"/>
  <c r="E415" i="34" s="1"/>
  <c r="F415" i="34" s="1"/>
  <c r="G415" i="34" s="1"/>
  <c r="H415" i="34" s="1"/>
  <c r="I415" i="34" s="1"/>
  <c r="J415" i="34" s="1"/>
  <c r="K415" i="34" s="1"/>
  <c r="C415" i="34"/>
  <c r="A415" i="34"/>
  <c r="D272" i="34"/>
  <c r="E272" i="34" s="1"/>
  <c r="F272" i="34" s="1"/>
  <c r="G272" i="34" s="1"/>
  <c r="H272" i="34" s="1"/>
  <c r="I272" i="34" s="1"/>
  <c r="J272" i="34" s="1"/>
  <c r="K272" i="34" s="1"/>
  <c r="A272" i="34"/>
  <c r="C272" i="34"/>
  <c r="D447" i="34"/>
  <c r="E447" i="34" s="1"/>
  <c r="F447" i="34" s="1"/>
  <c r="G447" i="34" s="1"/>
  <c r="H447" i="34" s="1"/>
  <c r="I447" i="34" s="1"/>
  <c r="J447" i="34" s="1"/>
  <c r="K447" i="34" s="1"/>
  <c r="C447" i="34"/>
  <c r="A447" i="34"/>
  <c r="D366" i="34"/>
  <c r="E366" i="34" s="1"/>
  <c r="F366" i="34" s="1"/>
  <c r="G366" i="34" s="1"/>
  <c r="H366" i="34" s="1"/>
  <c r="I366" i="34" s="1"/>
  <c r="J366" i="34" s="1"/>
  <c r="K366" i="34" s="1"/>
  <c r="C366" i="34"/>
  <c r="A366" i="34"/>
  <c r="C246" i="34"/>
  <c r="D246" i="34"/>
  <c r="E246" i="34" s="1"/>
  <c r="F246" i="34" s="1"/>
  <c r="G246" i="34" s="1"/>
  <c r="H246" i="34" s="1"/>
  <c r="I246" i="34" s="1"/>
  <c r="J246" i="34" s="1"/>
  <c r="K246" i="34" s="1"/>
  <c r="A246" i="34"/>
  <c r="C310" i="34"/>
  <c r="D310" i="34"/>
  <c r="E310" i="34" s="1"/>
  <c r="F310" i="34" s="1"/>
  <c r="G310" i="34" s="1"/>
  <c r="H310" i="34" s="1"/>
  <c r="I310" i="34" s="1"/>
  <c r="J310" i="34" s="1"/>
  <c r="K310" i="34" s="1"/>
  <c r="A310" i="34"/>
  <c r="D192" i="34"/>
  <c r="E192" i="34" s="1"/>
  <c r="F192" i="34" s="1"/>
  <c r="G192" i="34" s="1"/>
  <c r="H192" i="34" s="1"/>
  <c r="I192" i="34" s="1"/>
  <c r="J192" i="34" s="1"/>
  <c r="K192" i="34" s="1"/>
  <c r="A192" i="34"/>
  <c r="C192" i="34"/>
  <c r="D371" i="34"/>
  <c r="E371" i="34" s="1"/>
  <c r="F371" i="34" s="1"/>
  <c r="G371" i="34" s="1"/>
  <c r="H371" i="34" s="1"/>
  <c r="I371" i="34" s="1"/>
  <c r="J371" i="34" s="1"/>
  <c r="K371" i="34" s="1"/>
  <c r="A371" i="34"/>
  <c r="C371" i="34"/>
  <c r="A301" i="34"/>
  <c r="D301" i="34"/>
  <c r="E301" i="34" s="1"/>
  <c r="F301" i="34" s="1"/>
  <c r="G301" i="34" s="1"/>
  <c r="H301" i="34" s="1"/>
  <c r="I301" i="34" s="1"/>
  <c r="J301" i="34" s="1"/>
  <c r="K301" i="34" s="1"/>
  <c r="C301" i="34"/>
  <c r="D332" i="34"/>
  <c r="E332" i="34" s="1"/>
  <c r="F332" i="34" s="1"/>
  <c r="G332" i="34" s="1"/>
  <c r="H332" i="34" s="1"/>
  <c r="I332" i="34" s="1"/>
  <c r="J332" i="34" s="1"/>
  <c r="K332" i="34" s="1"/>
  <c r="C332" i="34"/>
  <c r="A332" i="34"/>
  <c r="C165" i="34"/>
  <c r="A165" i="34"/>
  <c r="D165" i="34"/>
  <c r="E165" i="34" s="1"/>
  <c r="F165" i="34" s="1"/>
  <c r="G165" i="34" s="1"/>
  <c r="H165" i="34" s="1"/>
  <c r="I165" i="34" s="1"/>
  <c r="J165" i="34" s="1"/>
  <c r="K165" i="34" s="1"/>
  <c r="D209" i="34"/>
  <c r="E209" i="34" s="1"/>
  <c r="F209" i="34" s="1"/>
  <c r="G209" i="34" s="1"/>
  <c r="H209" i="34" s="1"/>
  <c r="I209" i="34" s="1"/>
  <c r="J209" i="34" s="1"/>
  <c r="K209" i="34" s="1"/>
  <c r="C209" i="34"/>
  <c r="A209" i="34"/>
  <c r="D233" i="34"/>
  <c r="E233" i="34" s="1"/>
  <c r="F233" i="34" s="1"/>
  <c r="G233" i="34" s="1"/>
  <c r="H233" i="34" s="1"/>
  <c r="I233" i="34" s="1"/>
  <c r="J233" i="34" s="1"/>
  <c r="K233" i="34" s="1"/>
  <c r="C233" i="34"/>
  <c r="A233" i="34"/>
  <c r="D224" i="34"/>
  <c r="E224" i="34" s="1"/>
  <c r="F224" i="34" s="1"/>
  <c r="G224" i="34" s="1"/>
  <c r="H224" i="34" s="1"/>
  <c r="I224" i="34" s="1"/>
  <c r="J224" i="34" s="1"/>
  <c r="K224" i="34" s="1"/>
  <c r="A224" i="34"/>
  <c r="C224" i="34"/>
  <c r="C372" i="34"/>
  <c r="A372" i="34"/>
  <c r="D372" i="34"/>
  <c r="E372" i="34" s="1"/>
  <c r="F372" i="34" s="1"/>
  <c r="G372" i="34" s="1"/>
  <c r="H372" i="34" s="1"/>
  <c r="I372" i="34" s="1"/>
  <c r="J372" i="34" s="1"/>
  <c r="K372" i="34" s="1"/>
  <c r="D449" i="34"/>
  <c r="E449" i="34" s="1"/>
  <c r="F449" i="34" s="1"/>
  <c r="G449" i="34" s="1"/>
  <c r="H449" i="34" s="1"/>
  <c r="I449" i="34" s="1"/>
  <c r="J449" i="34" s="1"/>
  <c r="K449" i="34" s="1"/>
  <c r="A449" i="34"/>
  <c r="C449" i="34"/>
  <c r="D193" i="34"/>
  <c r="E193" i="34" s="1"/>
  <c r="F193" i="34" s="1"/>
  <c r="G193" i="34" s="1"/>
  <c r="H193" i="34" s="1"/>
  <c r="I193" i="34" s="1"/>
  <c r="J193" i="34" s="1"/>
  <c r="K193" i="34" s="1"/>
  <c r="A193" i="34"/>
  <c r="C193" i="34"/>
  <c r="D253" i="34"/>
  <c r="E253" i="34" s="1"/>
  <c r="F253" i="34" s="1"/>
  <c r="G253" i="34" s="1"/>
  <c r="H253" i="34" s="1"/>
  <c r="I253" i="34" s="1"/>
  <c r="J253" i="34" s="1"/>
  <c r="K253" i="34" s="1"/>
  <c r="C253" i="34"/>
  <c r="A253" i="34"/>
  <c r="D300" i="34"/>
  <c r="E300" i="34" s="1"/>
  <c r="F300" i="34" s="1"/>
  <c r="G300" i="34" s="1"/>
  <c r="H300" i="34" s="1"/>
  <c r="I300" i="34" s="1"/>
  <c r="J300" i="34" s="1"/>
  <c r="K300" i="34" s="1"/>
  <c r="C300" i="34"/>
  <c r="A300" i="34"/>
  <c r="A363" i="34"/>
  <c r="D363" i="34"/>
  <c r="E363" i="34" s="1"/>
  <c r="F363" i="34" s="1"/>
  <c r="G363" i="34" s="1"/>
  <c r="H363" i="34" s="1"/>
  <c r="I363" i="34" s="1"/>
  <c r="J363" i="34" s="1"/>
  <c r="K363" i="34" s="1"/>
  <c r="C363" i="34"/>
  <c r="D410" i="34"/>
  <c r="E410" i="34" s="1"/>
  <c r="F410" i="34" s="1"/>
  <c r="G410" i="34" s="1"/>
  <c r="H410" i="34" s="1"/>
  <c r="I410" i="34" s="1"/>
  <c r="J410" i="34" s="1"/>
  <c r="K410" i="34" s="1"/>
  <c r="A410" i="34"/>
  <c r="C410" i="34"/>
  <c r="D154" i="34"/>
  <c r="E154" i="34" s="1"/>
  <c r="F154" i="34" s="1"/>
  <c r="G154" i="34" s="1"/>
  <c r="H154" i="34" s="1"/>
  <c r="I154" i="34" s="1"/>
  <c r="J154" i="34" s="1"/>
  <c r="K154" i="34" s="1"/>
  <c r="C154" i="34"/>
  <c r="A154" i="34"/>
  <c r="D217" i="34"/>
  <c r="E217" i="34" s="1"/>
  <c r="F217" i="34" s="1"/>
  <c r="G217" i="34" s="1"/>
  <c r="H217" i="34" s="1"/>
  <c r="I217" i="34" s="1"/>
  <c r="J217" i="34" s="1"/>
  <c r="K217" i="34" s="1"/>
  <c r="C217" i="34"/>
  <c r="A217" i="34"/>
  <c r="D206" i="34"/>
  <c r="E206" i="34" s="1"/>
  <c r="F206" i="34" s="1"/>
  <c r="G206" i="34" s="1"/>
  <c r="H206" i="34" s="1"/>
  <c r="I206" i="34" s="1"/>
  <c r="J206" i="34" s="1"/>
  <c r="K206" i="34" s="1"/>
  <c r="C206" i="34"/>
  <c r="A206" i="34"/>
  <c r="D387" i="34"/>
  <c r="E387" i="34" s="1"/>
  <c r="F387" i="34" s="1"/>
  <c r="G387" i="34" s="1"/>
  <c r="H387" i="34" s="1"/>
  <c r="I387" i="34" s="1"/>
  <c r="J387" i="34" s="1"/>
  <c r="K387" i="34" s="1"/>
  <c r="C387" i="34"/>
  <c r="A387" i="34"/>
  <c r="D179" i="34"/>
  <c r="E179" i="34" s="1"/>
  <c r="F179" i="34" s="1"/>
  <c r="G179" i="34" s="1"/>
  <c r="H179" i="34" s="1"/>
  <c r="I179" i="34" s="1"/>
  <c r="J179" i="34" s="1"/>
  <c r="K179" i="34" s="1"/>
  <c r="C179" i="34"/>
  <c r="A179" i="34"/>
  <c r="D367" i="34"/>
  <c r="E367" i="34" s="1"/>
  <c r="F367" i="34" s="1"/>
  <c r="G367" i="34" s="1"/>
  <c r="H367" i="34" s="1"/>
  <c r="I367" i="34" s="1"/>
  <c r="J367" i="34" s="1"/>
  <c r="K367" i="34" s="1"/>
  <c r="C367" i="34"/>
  <c r="A367" i="34"/>
  <c r="D254" i="34"/>
  <c r="E254" i="34" s="1"/>
  <c r="F254" i="34" s="1"/>
  <c r="G254" i="34" s="1"/>
  <c r="H254" i="34" s="1"/>
  <c r="I254" i="34" s="1"/>
  <c r="J254" i="34" s="1"/>
  <c r="K254" i="34" s="1"/>
  <c r="C254" i="34"/>
  <c r="A254" i="34"/>
  <c r="D431" i="34"/>
  <c r="E431" i="34" s="1"/>
  <c r="F431" i="34" s="1"/>
  <c r="G431" i="34" s="1"/>
  <c r="H431" i="34" s="1"/>
  <c r="I431" i="34" s="1"/>
  <c r="J431" i="34" s="1"/>
  <c r="K431" i="34" s="1"/>
  <c r="C431" i="34"/>
  <c r="A431" i="34"/>
  <c r="D288" i="34"/>
  <c r="E288" i="34" s="1"/>
  <c r="F288" i="34" s="1"/>
  <c r="G288" i="34" s="1"/>
  <c r="H288" i="34" s="1"/>
  <c r="I288" i="34" s="1"/>
  <c r="J288" i="34" s="1"/>
  <c r="K288" i="34" s="1"/>
  <c r="A288" i="34"/>
  <c r="C288" i="34"/>
  <c r="C229" i="34"/>
  <c r="A229" i="34"/>
  <c r="D229" i="34"/>
  <c r="E229" i="34" s="1"/>
  <c r="F229" i="34" s="1"/>
  <c r="G229" i="34" s="1"/>
  <c r="H229" i="34" s="1"/>
  <c r="I229" i="34" s="1"/>
  <c r="J229" i="34" s="1"/>
  <c r="K229" i="34" s="1"/>
  <c r="C164" i="34"/>
  <c r="D164" i="34"/>
  <c r="E164" i="34" s="1"/>
  <c r="F164" i="34" s="1"/>
  <c r="G164" i="34" s="1"/>
  <c r="H164" i="34" s="1"/>
  <c r="I164" i="34" s="1"/>
  <c r="J164" i="34" s="1"/>
  <c r="K164" i="34" s="1"/>
  <c r="A164" i="34"/>
  <c r="D155" i="34"/>
  <c r="E155" i="34" s="1"/>
  <c r="F155" i="34" s="1"/>
  <c r="G155" i="34" s="1"/>
  <c r="H155" i="34" s="1"/>
  <c r="I155" i="34" s="1"/>
  <c r="J155" i="34" s="1"/>
  <c r="K155" i="34" s="1"/>
  <c r="C155" i="34"/>
  <c r="A155" i="34"/>
  <c r="D225" i="34"/>
  <c r="E225" i="34" s="1"/>
  <c r="F225" i="34" s="1"/>
  <c r="G225" i="34" s="1"/>
  <c r="H225" i="34" s="1"/>
  <c r="I225" i="34" s="1"/>
  <c r="J225" i="34" s="1"/>
  <c r="K225" i="34" s="1"/>
  <c r="C225" i="34"/>
  <c r="A225" i="34"/>
  <c r="D430" i="34"/>
  <c r="E430" i="34" s="1"/>
  <c r="F430" i="34" s="1"/>
  <c r="G430" i="34" s="1"/>
  <c r="H430" i="34" s="1"/>
  <c r="I430" i="34" s="1"/>
  <c r="J430" i="34" s="1"/>
  <c r="K430" i="34" s="1"/>
  <c r="C430" i="34"/>
  <c r="A430" i="34"/>
  <c r="D269" i="34"/>
  <c r="E269" i="34" s="1"/>
  <c r="F269" i="34" s="1"/>
  <c r="G269" i="34" s="1"/>
  <c r="H269" i="34" s="1"/>
  <c r="I269" i="34" s="1"/>
  <c r="J269" i="34" s="1"/>
  <c r="K269" i="34" s="1"/>
  <c r="C269" i="34"/>
  <c r="A269" i="34"/>
  <c r="D450" i="34"/>
  <c r="E450" i="34" s="1"/>
  <c r="F450" i="34" s="1"/>
  <c r="G450" i="34" s="1"/>
  <c r="H450" i="34" s="1"/>
  <c r="I450" i="34" s="1"/>
  <c r="J450" i="34" s="1"/>
  <c r="K450" i="34" s="1"/>
  <c r="A450" i="34"/>
  <c r="C450" i="34"/>
  <c r="C356" i="34"/>
  <c r="D356" i="34"/>
  <c r="E356" i="34" s="1"/>
  <c r="F356" i="34" s="1"/>
  <c r="G356" i="34" s="1"/>
  <c r="H356" i="34" s="1"/>
  <c r="I356" i="34" s="1"/>
  <c r="J356" i="34" s="1"/>
  <c r="K356" i="34" s="1"/>
  <c r="A356" i="34"/>
  <c r="D433" i="34"/>
  <c r="E433" i="34" s="1"/>
  <c r="F433" i="34" s="1"/>
  <c r="G433" i="34" s="1"/>
  <c r="H433" i="34" s="1"/>
  <c r="I433" i="34" s="1"/>
  <c r="J433" i="34" s="1"/>
  <c r="K433" i="34" s="1"/>
  <c r="A433" i="34"/>
  <c r="C433" i="34"/>
  <c r="D177" i="34"/>
  <c r="E177" i="34" s="1"/>
  <c r="F177" i="34" s="1"/>
  <c r="G177" i="34" s="1"/>
  <c r="H177" i="34" s="1"/>
  <c r="I177" i="34" s="1"/>
  <c r="J177" i="34" s="1"/>
  <c r="K177" i="34" s="1"/>
  <c r="C177" i="34"/>
  <c r="A177" i="34"/>
  <c r="D237" i="34"/>
  <c r="E237" i="34" s="1"/>
  <c r="F237" i="34" s="1"/>
  <c r="G237" i="34" s="1"/>
  <c r="H237" i="34" s="1"/>
  <c r="I237" i="34" s="1"/>
  <c r="J237" i="34" s="1"/>
  <c r="K237" i="34" s="1"/>
  <c r="C237" i="34"/>
  <c r="A237" i="34"/>
  <c r="D284" i="34"/>
  <c r="E284" i="34" s="1"/>
  <c r="F284" i="34" s="1"/>
  <c r="G284" i="34" s="1"/>
  <c r="H284" i="34" s="1"/>
  <c r="I284" i="34" s="1"/>
  <c r="J284" i="34" s="1"/>
  <c r="K284" i="34" s="1"/>
  <c r="C284" i="34"/>
  <c r="A284" i="34"/>
  <c r="A347" i="34"/>
  <c r="D347" i="34"/>
  <c r="E347" i="34" s="1"/>
  <c r="F347" i="34" s="1"/>
  <c r="G347" i="34" s="1"/>
  <c r="H347" i="34" s="1"/>
  <c r="I347" i="34" s="1"/>
  <c r="J347" i="34" s="1"/>
  <c r="K347" i="34" s="1"/>
  <c r="C347" i="34"/>
  <c r="D394" i="34"/>
  <c r="E394" i="34" s="1"/>
  <c r="F394" i="34" s="1"/>
  <c r="G394" i="34" s="1"/>
  <c r="H394" i="34" s="1"/>
  <c r="I394" i="34" s="1"/>
  <c r="J394" i="34" s="1"/>
  <c r="K394" i="34" s="1"/>
  <c r="A394" i="34"/>
  <c r="C394" i="34"/>
  <c r="D201" i="34"/>
  <c r="E201" i="34" s="1"/>
  <c r="F201" i="34" s="1"/>
  <c r="G201" i="34" s="1"/>
  <c r="H201" i="34" s="1"/>
  <c r="I201" i="34" s="1"/>
  <c r="J201" i="34" s="1"/>
  <c r="K201" i="34" s="1"/>
  <c r="C201" i="34"/>
  <c r="A201" i="34"/>
  <c r="D238" i="34"/>
  <c r="E238" i="34" s="1"/>
  <c r="F238" i="34" s="1"/>
  <c r="G238" i="34" s="1"/>
  <c r="H238" i="34" s="1"/>
  <c r="I238" i="34" s="1"/>
  <c r="J238" i="34" s="1"/>
  <c r="K238" i="34" s="1"/>
  <c r="C238" i="34"/>
  <c r="A238" i="34"/>
  <c r="D194" i="34"/>
  <c r="E194" i="34" s="1"/>
  <c r="F194" i="34" s="1"/>
  <c r="G194" i="34" s="1"/>
  <c r="H194" i="34" s="1"/>
  <c r="I194" i="34" s="1"/>
  <c r="J194" i="34" s="1"/>
  <c r="K194" i="34" s="1"/>
  <c r="C194" i="34"/>
  <c r="A194" i="34"/>
  <c r="D416" i="34"/>
  <c r="E416" i="34" s="1"/>
  <c r="F416" i="34" s="1"/>
  <c r="G416" i="34" s="1"/>
  <c r="H416" i="34" s="1"/>
  <c r="I416" i="34" s="1"/>
  <c r="J416" i="34" s="1"/>
  <c r="K416" i="34" s="1"/>
  <c r="C416" i="34"/>
  <c r="A416" i="34"/>
  <c r="D211" i="34"/>
  <c r="E211" i="34" s="1"/>
  <c r="F211" i="34" s="1"/>
  <c r="G211" i="34" s="1"/>
  <c r="H211" i="34" s="1"/>
  <c r="I211" i="34" s="1"/>
  <c r="J211" i="34" s="1"/>
  <c r="K211" i="34" s="1"/>
  <c r="C211" i="34"/>
  <c r="A211" i="34"/>
  <c r="D162" i="34"/>
  <c r="E162" i="34" s="1"/>
  <c r="F162" i="34" s="1"/>
  <c r="G162" i="34" s="1"/>
  <c r="H162" i="34" s="1"/>
  <c r="I162" i="34" s="1"/>
  <c r="J162" i="34" s="1"/>
  <c r="K162" i="34" s="1"/>
  <c r="C162" i="34"/>
  <c r="A162" i="34"/>
  <c r="D392" i="34"/>
  <c r="E392" i="34" s="1"/>
  <c r="F392" i="34" s="1"/>
  <c r="G392" i="34" s="1"/>
  <c r="H392" i="34" s="1"/>
  <c r="I392" i="34" s="1"/>
  <c r="J392" i="34" s="1"/>
  <c r="K392" i="34" s="1"/>
  <c r="C392" i="34"/>
  <c r="A392" i="34"/>
  <c r="D286" i="34"/>
  <c r="E286" i="34" s="1"/>
  <c r="F286" i="34" s="1"/>
  <c r="G286" i="34" s="1"/>
  <c r="H286" i="34" s="1"/>
  <c r="I286" i="34" s="1"/>
  <c r="J286" i="34" s="1"/>
  <c r="K286" i="34" s="1"/>
  <c r="C286" i="34"/>
  <c r="A286" i="34"/>
  <c r="C343" i="34"/>
  <c r="D343" i="34"/>
  <c r="E343" i="34" s="1"/>
  <c r="F343" i="34" s="1"/>
  <c r="G343" i="34" s="1"/>
  <c r="H343" i="34" s="1"/>
  <c r="I343" i="34" s="1"/>
  <c r="J343" i="34" s="1"/>
  <c r="K343" i="34" s="1"/>
  <c r="A343" i="34"/>
  <c r="C261" i="34"/>
  <c r="D261" i="34"/>
  <c r="E261" i="34" s="1"/>
  <c r="F261" i="34" s="1"/>
  <c r="G261" i="34" s="1"/>
  <c r="H261" i="34" s="1"/>
  <c r="I261" i="34" s="1"/>
  <c r="J261" i="34" s="1"/>
  <c r="K261" i="34" s="1"/>
  <c r="A261" i="34"/>
  <c r="D318" i="34"/>
  <c r="E318" i="34" s="1"/>
  <c r="F318" i="34" s="1"/>
  <c r="G318" i="34" s="1"/>
  <c r="H318" i="34" s="1"/>
  <c r="I318" i="34" s="1"/>
  <c r="J318" i="34" s="1"/>
  <c r="K318" i="34" s="1"/>
  <c r="C318" i="34"/>
  <c r="A318" i="34"/>
  <c r="C340" i="34"/>
  <c r="A340" i="34"/>
  <c r="D340" i="34"/>
  <c r="E340" i="34" s="1"/>
  <c r="F340" i="34" s="1"/>
  <c r="G340" i="34" s="1"/>
  <c r="H340" i="34" s="1"/>
  <c r="I340" i="34" s="1"/>
  <c r="J340" i="34" s="1"/>
  <c r="K340" i="34" s="1"/>
  <c r="D417" i="34"/>
  <c r="E417" i="34" s="1"/>
  <c r="F417" i="34" s="1"/>
  <c r="G417" i="34" s="1"/>
  <c r="H417" i="34" s="1"/>
  <c r="I417" i="34" s="1"/>
  <c r="J417" i="34" s="1"/>
  <c r="K417" i="34" s="1"/>
  <c r="C417" i="34"/>
  <c r="A417" i="34"/>
  <c r="D161" i="34"/>
  <c r="E161" i="34" s="1"/>
  <c r="F161" i="34" s="1"/>
  <c r="G161" i="34" s="1"/>
  <c r="H161" i="34" s="1"/>
  <c r="I161" i="34" s="1"/>
  <c r="J161" i="34" s="1"/>
  <c r="K161" i="34" s="1"/>
  <c r="C161" i="34"/>
  <c r="A161" i="34"/>
  <c r="D221" i="34"/>
  <c r="E221" i="34" s="1"/>
  <c r="F221" i="34" s="1"/>
  <c r="G221" i="34" s="1"/>
  <c r="H221" i="34" s="1"/>
  <c r="I221" i="34" s="1"/>
  <c r="J221" i="34" s="1"/>
  <c r="K221" i="34" s="1"/>
  <c r="C221" i="34"/>
  <c r="A221" i="34"/>
  <c r="D268" i="34"/>
  <c r="E268" i="34" s="1"/>
  <c r="F268" i="34" s="1"/>
  <c r="G268" i="34" s="1"/>
  <c r="H268" i="34" s="1"/>
  <c r="I268" i="34" s="1"/>
  <c r="J268" i="34" s="1"/>
  <c r="K268" i="34" s="1"/>
  <c r="C268" i="34"/>
  <c r="A268" i="34"/>
  <c r="A331" i="34"/>
  <c r="D331" i="34"/>
  <c r="E331" i="34" s="1"/>
  <c r="F331" i="34" s="1"/>
  <c r="G331" i="34" s="1"/>
  <c r="H331" i="34" s="1"/>
  <c r="I331" i="34" s="1"/>
  <c r="J331" i="34" s="1"/>
  <c r="K331" i="34" s="1"/>
  <c r="C331" i="34"/>
  <c r="D378" i="34"/>
  <c r="E378" i="34" s="1"/>
  <c r="F378" i="34" s="1"/>
  <c r="G378" i="34" s="1"/>
  <c r="H378" i="34" s="1"/>
  <c r="I378" i="34" s="1"/>
  <c r="J378" i="34" s="1"/>
  <c r="K378" i="34" s="1"/>
  <c r="A378" i="34"/>
  <c r="C378" i="34"/>
  <c r="D441" i="34"/>
  <c r="E441" i="34" s="1"/>
  <c r="F441" i="34" s="1"/>
  <c r="G441" i="34" s="1"/>
  <c r="H441" i="34" s="1"/>
  <c r="I441" i="34" s="1"/>
  <c r="J441" i="34" s="1"/>
  <c r="K441" i="34" s="1"/>
  <c r="A441" i="34"/>
  <c r="C441" i="34"/>
  <c r="D185" i="34"/>
  <c r="E185" i="34" s="1"/>
  <c r="F185" i="34" s="1"/>
  <c r="G185" i="34" s="1"/>
  <c r="H185" i="34" s="1"/>
  <c r="I185" i="34" s="1"/>
  <c r="J185" i="34" s="1"/>
  <c r="K185" i="34" s="1"/>
  <c r="C185" i="34"/>
  <c r="A185" i="34"/>
  <c r="D270" i="34"/>
  <c r="E270" i="34" s="1"/>
  <c r="F270" i="34" s="1"/>
  <c r="G270" i="34" s="1"/>
  <c r="H270" i="34" s="1"/>
  <c r="I270" i="34" s="1"/>
  <c r="J270" i="34" s="1"/>
  <c r="K270" i="34" s="1"/>
  <c r="C270" i="34"/>
  <c r="A270" i="34"/>
  <c r="D446" i="34"/>
  <c r="E446" i="34" s="1"/>
  <c r="F446" i="34" s="1"/>
  <c r="G446" i="34" s="1"/>
  <c r="H446" i="34" s="1"/>
  <c r="I446" i="34" s="1"/>
  <c r="J446" i="34" s="1"/>
  <c r="K446" i="34" s="1"/>
  <c r="C446" i="34"/>
  <c r="A446" i="34"/>
  <c r="D243" i="34"/>
  <c r="E243" i="34" s="1"/>
  <c r="F243" i="34" s="1"/>
  <c r="G243" i="34" s="1"/>
  <c r="H243" i="34" s="1"/>
  <c r="I243" i="34" s="1"/>
  <c r="J243" i="34" s="1"/>
  <c r="K243" i="34" s="1"/>
  <c r="C243" i="34"/>
  <c r="A243" i="34"/>
  <c r="D258" i="34"/>
  <c r="E258" i="34" s="1"/>
  <c r="F258" i="34" s="1"/>
  <c r="G258" i="34" s="1"/>
  <c r="H258" i="34" s="1"/>
  <c r="I258" i="34" s="1"/>
  <c r="J258" i="34" s="1"/>
  <c r="K258" i="34" s="1"/>
  <c r="C258" i="34"/>
  <c r="A258" i="34"/>
  <c r="C422" i="34"/>
  <c r="D422" i="34"/>
  <c r="E422" i="34" s="1"/>
  <c r="F422" i="34" s="1"/>
  <c r="G422" i="34" s="1"/>
  <c r="H422" i="34" s="1"/>
  <c r="I422" i="34" s="1"/>
  <c r="J422" i="34" s="1"/>
  <c r="K422" i="34" s="1"/>
  <c r="A422" i="34"/>
  <c r="D319" i="34"/>
  <c r="E319" i="34" s="1"/>
  <c r="F319" i="34" s="1"/>
  <c r="G319" i="34" s="1"/>
  <c r="H319" i="34" s="1"/>
  <c r="I319" i="34" s="1"/>
  <c r="J319" i="34" s="1"/>
  <c r="K319" i="34" s="1"/>
  <c r="C319" i="34"/>
  <c r="A319" i="34"/>
  <c r="C311" i="34"/>
  <c r="D311" i="34"/>
  <c r="E311" i="34" s="1"/>
  <c r="F311" i="34" s="1"/>
  <c r="G311" i="34" s="1"/>
  <c r="H311" i="34" s="1"/>
  <c r="I311" i="34" s="1"/>
  <c r="J311" i="34" s="1"/>
  <c r="K311" i="34" s="1"/>
  <c r="A311" i="34"/>
  <c r="D402" i="34"/>
  <c r="E402" i="34" s="1"/>
  <c r="F402" i="34" s="1"/>
  <c r="G402" i="34" s="1"/>
  <c r="H402" i="34" s="1"/>
  <c r="I402" i="34" s="1"/>
  <c r="J402" i="34" s="1"/>
  <c r="K402" i="34" s="1"/>
  <c r="A402" i="34"/>
  <c r="C402" i="34"/>
  <c r="C293" i="34"/>
  <c r="A293" i="34"/>
  <c r="D293" i="34"/>
  <c r="E293" i="34" s="1"/>
  <c r="F293" i="34" s="1"/>
  <c r="G293" i="34" s="1"/>
  <c r="H293" i="34" s="1"/>
  <c r="I293" i="34" s="1"/>
  <c r="J293" i="34" s="1"/>
  <c r="K293" i="34" s="1"/>
  <c r="C420" i="34"/>
  <c r="D420" i="34"/>
  <c r="E420" i="34" s="1"/>
  <c r="F420" i="34" s="1"/>
  <c r="G420" i="34" s="1"/>
  <c r="H420" i="34" s="1"/>
  <c r="I420" i="34" s="1"/>
  <c r="J420" i="34" s="1"/>
  <c r="K420" i="34" s="1"/>
  <c r="A420" i="34"/>
  <c r="A411" i="34"/>
  <c r="D411" i="34"/>
  <c r="E411" i="34" s="1"/>
  <c r="F411" i="34" s="1"/>
  <c r="G411" i="34" s="1"/>
  <c r="H411" i="34" s="1"/>
  <c r="I411" i="34" s="1"/>
  <c r="J411" i="34" s="1"/>
  <c r="K411" i="34" s="1"/>
  <c r="C411" i="34"/>
  <c r="C278" i="34"/>
  <c r="D278" i="34"/>
  <c r="E278" i="34" s="1"/>
  <c r="F278" i="34" s="1"/>
  <c r="G278" i="34" s="1"/>
  <c r="H278" i="34" s="1"/>
  <c r="I278" i="34" s="1"/>
  <c r="J278" i="34" s="1"/>
  <c r="K278" i="34" s="1"/>
  <c r="A278" i="34"/>
  <c r="C404" i="34"/>
  <c r="A404" i="34"/>
  <c r="D404" i="34"/>
  <c r="E404" i="34" s="1"/>
  <c r="F404" i="34" s="1"/>
  <c r="G404" i="34" s="1"/>
  <c r="H404" i="34" s="1"/>
  <c r="I404" i="34" s="1"/>
  <c r="J404" i="34" s="1"/>
  <c r="K404" i="34" s="1"/>
  <c r="A395" i="34"/>
  <c r="D395" i="34"/>
  <c r="E395" i="34" s="1"/>
  <c r="F395" i="34" s="1"/>
  <c r="G395" i="34" s="1"/>
  <c r="H395" i="34" s="1"/>
  <c r="I395" i="34" s="1"/>
  <c r="J395" i="34" s="1"/>
  <c r="K395" i="34" s="1"/>
  <c r="C395" i="34"/>
  <c r="D398" i="34"/>
  <c r="E398" i="34" s="1"/>
  <c r="F398" i="34" s="1"/>
  <c r="G398" i="34" s="1"/>
  <c r="H398" i="34" s="1"/>
  <c r="I398" i="34" s="1"/>
  <c r="J398" i="34" s="1"/>
  <c r="K398" i="34" s="1"/>
  <c r="C398" i="34"/>
  <c r="A398" i="34"/>
  <c r="A379" i="34"/>
  <c r="D379" i="34"/>
  <c r="E379" i="34" s="1"/>
  <c r="F379" i="34" s="1"/>
  <c r="G379" i="34" s="1"/>
  <c r="H379" i="34" s="1"/>
  <c r="I379" i="34" s="1"/>
  <c r="J379" i="34" s="1"/>
  <c r="K379" i="34" s="1"/>
  <c r="C379" i="34"/>
  <c r="C358" i="34"/>
  <c r="D358" i="34"/>
  <c r="E358" i="34" s="1"/>
  <c r="F358" i="34" s="1"/>
  <c r="G358" i="34" s="1"/>
  <c r="H358" i="34" s="1"/>
  <c r="I358" i="34" s="1"/>
  <c r="J358" i="34" s="1"/>
  <c r="K358" i="34" s="1"/>
  <c r="A358" i="34"/>
  <c r="C279" i="34"/>
  <c r="D279" i="34"/>
  <c r="E279" i="34" s="1"/>
  <c r="F279" i="34" s="1"/>
  <c r="G279" i="34" s="1"/>
  <c r="H279" i="34" s="1"/>
  <c r="I279" i="34" s="1"/>
  <c r="J279" i="34" s="1"/>
  <c r="K279" i="34" s="1"/>
  <c r="A279" i="34"/>
  <c r="C324" i="34"/>
  <c r="A324" i="34"/>
  <c r="D324" i="34"/>
  <c r="E324" i="34" s="1"/>
  <c r="F324" i="34" s="1"/>
  <c r="G324" i="34" s="1"/>
  <c r="H324" i="34" s="1"/>
  <c r="I324" i="34" s="1"/>
  <c r="J324" i="34" s="1"/>
  <c r="K324" i="34" s="1"/>
  <c r="D401" i="34"/>
  <c r="E401" i="34" s="1"/>
  <c r="F401" i="34" s="1"/>
  <c r="G401" i="34" s="1"/>
  <c r="H401" i="34" s="1"/>
  <c r="I401" i="34" s="1"/>
  <c r="J401" i="34" s="1"/>
  <c r="K401" i="34" s="1"/>
  <c r="A401" i="34"/>
  <c r="C401" i="34"/>
  <c r="D159" i="34"/>
  <c r="E159" i="34" s="1"/>
  <c r="F159" i="34" s="1"/>
  <c r="G159" i="34" s="1"/>
  <c r="H159" i="34" s="1"/>
  <c r="I159" i="34" s="1"/>
  <c r="J159" i="34" s="1"/>
  <c r="K159" i="34" s="1"/>
  <c r="C159" i="34"/>
  <c r="A159" i="34"/>
  <c r="D205" i="34"/>
  <c r="E205" i="34" s="1"/>
  <c r="F205" i="34" s="1"/>
  <c r="G205" i="34" s="1"/>
  <c r="H205" i="34" s="1"/>
  <c r="I205" i="34" s="1"/>
  <c r="J205" i="34" s="1"/>
  <c r="K205" i="34" s="1"/>
  <c r="C205" i="34"/>
  <c r="A205" i="34"/>
  <c r="D252" i="34"/>
  <c r="E252" i="34" s="1"/>
  <c r="F252" i="34" s="1"/>
  <c r="G252" i="34" s="1"/>
  <c r="H252" i="34" s="1"/>
  <c r="I252" i="34" s="1"/>
  <c r="J252" i="34" s="1"/>
  <c r="K252" i="34" s="1"/>
  <c r="C252" i="34"/>
  <c r="A252" i="34"/>
  <c r="A315" i="34"/>
  <c r="D315" i="34"/>
  <c r="E315" i="34" s="1"/>
  <c r="F315" i="34" s="1"/>
  <c r="G315" i="34" s="1"/>
  <c r="H315" i="34" s="1"/>
  <c r="I315" i="34" s="1"/>
  <c r="J315" i="34" s="1"/>
  <c r="K315" i="34" s="1"/>
  <c r="C315" i="34"/>
  <c r="D362" i="34"/>
  <c r="E362" i="34" s="1"/>
  <c r="F362" i="34" s="1"/>
  <c r="G362" i="34" s="1"/>
  <c r="H362" i="34" s="1"/>
  <c r="I362" i="34" s="1"/>
  <c r="J362" i="34" s="1"/>
  <c r="K362" i="34" s="1"/>
  <c r="A362" i="34"/>
  <c r="C362" i="34"/>
  <c r="D425" i="34"/>
  <c r="E425" i="34" s="1"/>
  <c r="F425" i="34" s="1"/>
  <c r="G425" i="34" s="1"/>
  <c r="H425" i="34" s="1"/>
  <c r="I425" i="34" s="1"/>
  <c r="J425" i="34" s="1"/>
  <c r="K425" i="34" s="1"/>
  <c r="A425" i="34"/>
  <c r="C425" i="34"/>
  <c r="D169" i="34"/>
  <c r="E169" i="34" s="1"/>
  <c r="F169" i="34" s="1"/>
  <c r="G169" i="34" s="1"/>
  <c r="H169" i="34" s="1"/>
  <c r="I169" i="34" s="1"/>
  <c r="J169" i="34" s="1"/>
  <c r="K169" i="34" s="1"/>
  <c r="C169" i="34"/>
  <c r="A169" i="34"/>
  <c r="D296" i="34"/>
  <c r="E296" i="34" s="1"/>
  <c r="F296" i="34" s="1"/>
  <c r="G296" i="34" s="1"/>
  <c r="H296" i="34" s="1"/>
  <c r="I296" i="34" s="1"/>
  <c r="J296" i="34" s="1"/>
  <c r="K296" i="34" s="1"/>
  <c r="C296" i="34"/>
  <c r="A296" i="34"/>
  <c r="D178" i="34"/>
  <c r="E178" i="34" s="1"/>
  <c r="F178" i="34" s="1"/>
  <c r="G178" i="34" s="1"/>
  <c r="H178" i="34" s="1"/>
  <c r="I178" i="34" s="1"/>
  <c r="J178" i="34" s="1"/>
  <c r="K178" i="34" s="1"/>
  <c r="C178" i="34"/>
  <c r="A178" i="34"/>
  <c r="D275" i="34"/>
  <c r="E275" i="34" s="1"/>
  <c r="F275" i="34" s="1"/>
  <c r="G275" i="34" s="1"/>
  <c r="H275" i="34" s="1"/>
  <c r="I275" i="34" s="1"/>
  <c r="J275" i="34" s="1"/>
  <c r="K275" i="34" s="1"/>
  <c r="C275" i="34"/>
  <c r="A275" i="34"/>
  <c r="C341" i="34"/>
  <c r="A341" i="34"/>
  <c r="D341" i="34"/>
  <c r="E341" i="34" s="1"/>
  <c r="F341" i="34" s="1"/>
  <c r="G341" i="34" s="1"/>
  <c r="H341" i="34" s="1"/>
  <c r="I341" i="34" s="1"/>
  <c r="J341" i="34" s="1"/>
  <c r="K341" i="34" s="1"/>
  <c r="D322" i="34"/>
  <c r="E322" i="34" s="1"/>
  <c r="F322" i="34" s="1"/>
  <c r="G322" i="34" s="1"/>
  <c r="H322" i="34" s="1"/>
  <c r="I322" i="34" s="1"/>
  <c r="J322" i="34" s="1"/>
  <c r="K322" i="34" s="1"/>
  <c r="A322" i="34"/>
  <c r="C322" i="34"/>
  <c r="C391" i="34"/>
  <c r="A391" i="34"/>
  <c r="D391" i="34"/>
  <c r="E391" i="34" s="1"/>
  <c r="F391" i="34" s="1"/>
  <c r="G391" i="34" s="1"/>
  <c r="H391" i="34" s="1"/>
  <c r="I391" i="34" s="1"/>
  <c r="J391" i="34" s="1"/>
  <c r="K391" i="34" s="1"/>
  <c r="C263" i="34"/>
  <c r="D263" i="34"/>
  <c r="E263" i="34" s="1"/>
  <c r="F263" i="34" s="1"/>
  <c r="G263" i="34" s="1"/>
  <c r="H263" i="34" s="1"/>
  <c r="I263" i="34" s="1"/>
  <c r="J263" i="34" s="1"/>
  <c r="K263" i="34" s="1"/>
  <c r="A263" i="34"/>
  <c r="C308" i="34"/>
  <c r="D308" i="34"/>
  <c r="E308" i="34" s="1"/>
  <c r="F308" i="34" s="1"/>
  <c r="G308" i="34" s="1"/>
  <c r="H308" i="34" s="1"/>
  <c r="I308" i="34" s="1"/>
  <c r="J308" i="34" s="1"/>
  <c r="K308" i="34" s="1"/>
  <c r="A308" i="34"/>
  <c r="D385" i="34"/>
  <c r="E385" i="34" s="1"/>
  <c r="F385" i="34" s="1"/>
  <c r="G385" i="34" s="1"/>
  <c r="H385" i="34" s="1"/>
  <c r="I385" i="34" s="1"/>
  <c r="J385" i="34" s="1"/>
  <c r="K385" i="34" s="1"/>
  <c r="C385" i="34"/>
  <c r="A385" i="34"/>
  <c r="A445" i="34"/>
  <c r="D445" i="34"/>
  <c r="E445" i="34" s="1"/>
  <c r="F445" i="34" s="1"/>
  <c r="G445" i="34" s="1"/>
  <c r="H445" i="34" s="1"/>
  <c r="I445" i="34" s="1"/>
  <c r="J445" i="34" s="1"/>
  <c r="K445" i="34" s="1"/>
  <c r="C445" i="34"/>
  <c r="D189" i="34"/>
  <c r="E189" i="34" s="1"/>
  <c r="F189" i="34" s="1"/>
  <c r="G189" i="34" s="1"/>
  <c r="H189" i="34" s="1"/>
  <c r="I189" i="34" s="1"/>
  <c r="J189" i="34" s="1"/>
  <c r="K189" i="34" s="1"/>
  <c r="C189" i="34"/>
  <c r="A189" i="34"/>
  <c r="D236" i="34"/>
  <c r="E236" i="34" s="1"/>
  <c r="F236" i="34" s="1"/>
  <c r="G236" i="34" s="1"/>
  <c r="H236" i="34" s="1"/>
  <c r="I236" i="34" s="1"/>
  <c r="J236" i="34" s="1"/>
  <c r="K236" i="34" s="1"/>
  <c r="C236" i="34"/>
  <c r="A236" i="34"/>
  <c r="D299" i="34"/>
  <c r="E299" i="34" s="1"/>
  <c r="F299" i="34" s="1"/>
  <c r="G299" i="34" s="1"/>
  <c r="H299" i="34" s="1"/>
  <c r="I299" i="34" s="1"/>
  <c r="J299" i="34" s="1"/>
  <c r="K299" i="34" s="1"/>
  <c r="C299" i="34"/>
  <c r="A299" i="34"/>
  <c r="D346" i="34"/>
  <c r="E346" i="34" s="1"/>
  <c r="F346" i="34" s="1"/>
  <c r="G346" i="34" s="1"/>
  <c r="H346" i="34" s="1"/>
  <c r="I346" i="34" s="1"/>
  <c r="J346" i="34" s="1"/>
  <c r="K346" i="34" s="1"/>
  <c r="A346" i="34"/>
  <c r="C346" i="34"/>
  <c r="D409" i="34"/>
  <c r="E409" i="34" s="1"/>
  <c r="F409" i="34" s="1"/>
  <c r="G409" i="34" s="1"/>
  <c r="H409" i="34" s="1"/>
  <c r="I409" i="34" s="1"/>
  <c r="J409" i="34" s="1"/>
  <c r="K409" i="34" s="1"/>
  <c r="A409" i="34"/>
  <c r="C409" i="34"/>
  <c r="D153" i="34"/>
  <c r="E153" i="34" s="1"/>
  <c r="F153" i="34" s="1"/>
  <c r="G153" i="34" s="1"/>
  <c r="H153" i="34" s="1"/>
  <c r="I153" i="34" s="1"/>
  <c r="J153" i="34" s="1"/>
  <c r="K153" i="34" s="1"/>
  <c r="C153" i="34"/>
  <c r="A153" i="34"/>
  <c r="C326" i="34"/>
  <c r="D326" i="34"/>
  <c r="E326" i="34" s="1"/>
  <c r="F326" i="34" s="1"/>
  <c r="G326" i="34" s="1"/>
  <c r="H326" i="34" s="1"/>
  <c r="I326" i="34" s="1"/>
  <c r="J326" i="34" s="1"/>
  <c r="K326" i="34" s="1"/>
  <c r="A326" i="34"/>
  <c r="D175" i="34"/>
  <c r="E175" i="34" s="1"/>
  <c r="F175" i="34" s="1"/>
  <c r="G175" i="34" s="1"/>
  <c r="H175" i="34" s="1"/>
  <c r="I175" i="34" s="1"/>
  <c r="J175" i="34" s="1"/>
  <c r="K175" i="34" s="1"/>
  <c r="C175" i="34"/>
  <c r="A175" i="34"/>
  <c r="D210" i="34"/>
  <c r="E210" i="34" s="1"/>
  <c r="F210" i="34" s="1"/>
  <c r="G210" i="34" s="1"/>
  <c r="H210" i="34" s="1"/>
  <c r="I210" i="34" s="1"/>
  <c r="J210" i="34" s="1"/>
  <c r="K210" i="34" s="1"/>
  <c r="C210" i="34"/>
  <c r="A210" i="34"/>
  <c r="D306" i="34"/>
  <c r="E306" i="34" s="1"/>
  <c r="F306" i="34" s="1"/>
  <c r="G306" i="34" s="1"/>
  <c r="H306" i="34" s="1"/>
  <c r="I306" i="34" s="1"/>
  <c r="J306" i="34" s="1"/>
  <c r="K306" i="34" s="1"/>
  <c r="A306" i="34"/>
  <c r="C306" i="34"/>
  <c r="D370" i="34"/>
  <c r="E370" i="34" s="1"/>
  <c r="F370" i="34" s="1"/>
  <c r="G370" i="34" s="1"/>
  <c r="H370" i="34" s="1"/>
  <c r="I370" i="34" s="1"/>
  <c r="J370" i="34" s="1"/>
  <c r="K370" i="34" s="1"/>
  <c r="A370" i="34"/>
  <c r="C370" i="34"/>
  <c r="D226" i="34"/>
  <c r="E226" i="34" s="1"/>
  <c r="F226" i="34" s="1"/>
  <c r="G226" i="34" s="1"/>
  <c r="H226" i="34" s="1"/>
  <c r="I226" i="34" s="1"/>
  <c r="J226" i="34" s="1"/>
  <c r="K226" i="34" s="1"/>
  <c r="C226" i="34"/>
  <c r="A226" i="34"/>
  <c r="C374" i="34"/>
  <c r="D374" i="34"/>
  <c r="E374" i="34" s="1"/>
  <c r="F374" i="34" s="1"/>
  <c r="G374" i="34" s="1"/>
  <c r="H374" i="34" s="1"/>
  <c r="I374" i="34" s="1"/>
  <c r="J374" i="34" s="1"/>
  <c r="K374" i="34" s="1"/>
  <c r="A374" i="34"/>
  <c r="D351" i="34"/>
  <c r="E351" i="34" s="1"/>
  <c r="F351" i="34" s="1"/>
  <c r="G351" i="34" s="1"/>
  <c r="H351" i="34" s="1"/>
  <c r="I351" i="34" s="1"/>
  <c r="J351" i="34" s="1"/>
  <c r="K351" i="34" s="1"/>
  <c r="C351" i="34"/>
  <c r="A351" i="34"/>
  <c r="D265" i="34"/>
  <c r="E265" i="34" s="1"/>
  <c r="F265" i="34" s="1"/>
  <c r="G265" i="34" s="1"/>
  <c r="H265" i="34" s="1"/>
  <c r="I265" i="34" s="1"/>
  <c r="J265" i="34" s="1"/>
  <c r="K265" i="34" s="1"/>
  <c r="C265" i="34"/>
  <c r="A265" i="34"/>
  <c r="D303" i="34"/>
  <c r="E303" i="34" s="1"/>
  <c r="F303" i="34" s="1"/>
  <c r="G303" i="34" s="1"/>
  <c r="H303" i="34" s="1"/>
  <c r="I303" i="34" s="1"/>
  <c r="J303" i="34" s="1"/>
  <c r="K303" i="34" s="1"/>
  <c r="C303" i="34"/>
  <c r="A303" i="34"/>
  <c r="D339" i="34"/>
  <c r="E339" i="34" s="1"/>
  <c r="F339" i="34" s="1"/>
  <c r="G339" i="34" s="1"/>
  <c r="H339" i="34" s="1"/>
  <c r="I339" i="34" s="1"/>
  <c r="J339" i="34" s="1"/>
  <c r="K339" i="34" s="1"/>
  <c r="C339" i="34"/>
  <c r="A339" i="34"/>
  <c r="C148" i="34"/>
  <c r="A148" i="34"/>
  <c r="D148" i="34"/>
  <c r="E148" i="34" s="1"/>
  <c r="F148" i="34" s="1"/>
  <c r="G148" i="34" s="1"/>
  <c r="H148" i="34" s="1"/>
  <c r="I148" i="34" s="1"/>
  <c r="J148" i="34" s="1"/>
  <c r="K148" i="34" s="1"/>
  <c r="D328" i="34"/>
  <c r="E328" i="34" s="1"/>
  <c r="F328" i="34" s="1"/>
  <c r="G328" i="34" s="1"/>
  <c r="H328" i="34" s="1"/>
  <c r="I328" i="34" s="1"/>
  <c r="J328" i="34" s="1"/>
  <c r="K328" i="34" s="1"/>
  <c r="C328" i="34"/>
  <c r="A328" i="34"/>
  <c r="C309" i="34"/>
  <c r="A309" i="34"/>
  <c r="D309" i="34"/>
  <c r="E309" i="34" s="1"/>
  <c r="F309" i="34" s="1"/>
  <c r="G309" i="34" s="1"/>
  <c r="H309" i="34" s="1"/>
  <c r="I309" i="34" s="1"/>
  <c r="J309" i="34" s="1"/>
  <c r="K309" i="34" s="1"/>
  <c r="D147" i="34"/>
  <c r="E147" i="34" s="1"/>
  <c r="F147" i="34" s="1"/>
  <c r="G147" i="34" s="1"/>
  <c r="H147" i="34" s="1"/>
  <c r="I147" i="34" s="1"/>
  <c r="J147" i="34" s="1"/>
  <c r="K147" i="34" s="1"/>
  <c r="C147" i="34"/>
  <c r="A147" i="34"/>
  <c r="D170" i="34"/>
  <c r="E170" i="34" s="1"/>
  <c r="F170" i="34" s="1"/>
  <c r="G170" i="34" s="1"/>
  <c r="H170" i="34" s="1"/>
  <c r="I170" i="34" s="1"/>
  <c r="J170" i="34" s="1"/>
  <c r="K170" i="34" s="1"/>
  <c r="C170" i="34"/>
  <c r="A170" i="34"/>
  <c r="D174" i="34"/>
  <c r="E174" i="34" s="1"/>
  <c r="F174" i="34" s="1"/>
  <c r="G174" i="34" s="1"/>
  <c r="H174" i="34" s="1"/>
  <c r="I174" i="34" s="1"/>
  <c r="J174" i="34" s="1"/>
  <c r="K174" i="34" s="1"/>
  <c r="C174" i="34"/>
  <c r="A174" i="34"/>
  <c r="C423" i="34"/>
  <c r="A423" i="34"/>
  <c r="D423" i="34"/>
  <c r="E423" i="34" s="1"/>
  <c r="F423" i="34" s="1"/>
  <c r="G423" i="34" s="1"/>
  <c r="H423" i="34" s="1"/>
  <c r="I423" i="34" s="1"/>
  <c r="J423" i="34" s="1"/>
  <c r="K423" i="34" s="1"/>
  <c r="C247" i="34"/>
  <c r="A247" i="34"/>
  <c r="D247" i="34"/>
  <c r="E247" i="34" s="1"/>
  <c r="F247" i="34" s="1"/>
  <c r="G247" i="34" s="1"/>
  <c r="H247" i="34" s="1"/>
  <c r="I247" i="34" s="1"/>
  <c r="J247" i="34" s="1"/>
  <c r="K247" i="34" s="1"/>
  <c r="C292" i="34"/>
  <c r="A292" i="34"/>
  <c r="D292" i="34"/>
  <c r="E292" i="34" s="1"/>
  <c r="F292" i="34" s="1"/>
  <c r="G292" i="34" s="1"/>
  <c r="H292" i="34" s="1"/>
  <c r="I292" i="34" s="1"/>
  <c r="J292" i="34" s="1"/>
  <c r="K292" i="34" s="1"/>
  <c r="D369" i="34"/>
  <c r="E369" i="34" s="1"/>
  <c r="F369" i="34" s="1"/>
  <c r="G369" i="34" s="1"/>
  <c r="H369" i="34" s="1"/>
  <c r="I369" i="34" s="1"/>
  <c r="J369" i="34" s="1"/>
  <c r="K369" i="34" s="1"/>
  <c r="A369" i="34"/>
  <c r="C369" i="34"/>
  <c r="A429" i="34"/>
  <c r="D429" i="34"/>
  <c r="E429" i="34" s="1"/>
  <c r="F429" i="34" s="1"/>
  <c r="G429" i="34" s="1"/>
  <c r="H429" i="34" s="1"/>
  <c r="I429" i="34" s="1"/>
  <c r="J429" i="34" s="1"/>
  <c r="K429" i="34" s="1"/>
  <c r="C429" i="34"/>
  <c r="D173" i="34"/>
  <c r="E173" i="34" s="1"/>
  <c r="F173" i="34" s="1"/>
  <c r="G173" i="34" s="1"/>
  <c r="H173" i="34" s="1"/>
  <c r="I173" i="34" s="1"/>
  <c r="J173" i="34" s="1"/>
  <c r="K173" i="34" s="1"/>
  <c r="C173" i="34"/>
  <c r="A173" i="34"/>
  <c r="D220" i="34"/>
  <c r="E220" i="34" s="1"/>
  <c r="F220" i="34" s="1"/>
  <c r="G220" i="34" s="1"/>
  <c r="H220" i="34" s="1"/>
  <c r="I220" i="34" s="1"/>
  <c r="J220" i="34" s="1"/>
  <c r="K220" i="34" s="1"/>
  <c r="C220" i="34"/>
  <c r="A220" i="34"/>
  <c r="D283" i="34"/>
  <c r="E283" i="34" s="1"/>
  <c r="F283" i="34" s="1"/>
  <c r="G283" i="34" s="1"/>
  <c r="H283" i="34" s="1"/>
  <c r="I283" i="34" s="1"/>
  <c r="J283" i="34" s="1"/>
  <c r="K283" i="34" s="1"/>
  <c r="C283" i="34"/>
  <c r="A283" i="34"/>
  <c r="D330" i="34"/>
  <c r="E330" i="34" s="1"/>
  <c r="F330" i="34" s="1"/>
  <c r="G330" i="34" s="1"/>
  <c r="H330" i="34" s="1"/>
  <c r="I330" i="34" s="1"/>
  <c r="J330" i="34" s="1"/>
  <c r="K330" i="34" s="1"/>
  <c r="C330" i="34"/>
  <c r="A330" i="34"/>
  <c r="D393" i="34"/>
  <c r="E393" i="34" s="1"/>
  <c r="F393" i="34" s="1"/>
  <c r="G393" i="34" s="1"/>
  <c r="H393" i="34" s="1"/>
  <c r="I393" i="34" s="1"/>
  <c r="J393" i="34" s="1"/>
  <c r="K393" i="34" s="1"/>
  <c r="A393" i="34"/>
  <c r="C393" i="34"/>
  <c r="D355" i="34"/>
  <c r="E355" i="34" s="1"/>
  <c r="F355" i="34" s="1"/>
  <c r="G355" i="34" s="1"/>
  <c r="H355" i="34" s="1"/>
  <c r="I355" i="34" s="1"/>
  <c r="J355" i="34" s="1"/>
  <c r="K355" i="34" s="1"/>
  <c r="C355" i="34"/>
  <c r="A355" i="34"/>
  <c r="D207" i="34"/>
  <c r="E207" i="34" s="1"/>
  <c r="F207" i="34" s="1"/>
  <c r="G207" i="34" s="1"/>
  <c r="H207" i="34" s="1"/>
  <c r="I207" i="34" s="1"/>
  <c r="J207" i="34" s="1"/>
  <c r="K207" i="34" s="1"/>
  <c r="C207" i="34"/>
  <c r="A207" i="34"/>
  <c r="D344" i="34"/>
  <c r="E344" i="34" s="1"/>
  <c r="F344" i="34" s="1"/>
  <c r="G344" i="34" s="1"/>
  <c r="H344" i="34" s="1"/>
  <c r="I344" i="34" s="1"/>
  <c r="J344" i="34" s="1"/>
  <c r="K344" i="34" s="1"/>
  <c r="C344" i="34"/>
  <c r="A344" i="34"/>
  <c r="D242" i="34"/>
  <c r="E242" i="34" s="1"/>
  <c r="F242" i="34" s="1"/>
  <c r="G242" i="34" s="1"/>
  <c r="H242" i="34" s="1"/>
  <c r="I242" i="34" s="1"/>
  <c r="J242" i="34" s="1"/>
  <c r="K242" i="34" s="1"/>
  <c r="C242" i="34"/>
  <c r="A242" i="34"/>
  <c r="D335" i="34"/>
  <c r="E335" i="34" s="1"/>
  <c r="F335" i="34" s="1"/>
  <c r="G335" i="34" s="1"/>
  <c r="H335" i="34" s="1"/>
  <c r="I335" i="34" s="1"/>
  <c r="J335" i="34" s="1"/>
  <c r="K335" i="34" s="1"/>
  <c r="C335" i="34"/>
  <c r="A335" i="34"/>
  <c r="D146" i="34"/>
  <c r="E146" i="34" s="1"/>
  <c r="F146" i="34" s="1"/>
  <c r="G146" i="34" s="1"/>
  <c r="H146" i="34" s="1"/>
  <c r="I146" i="34" s="1"/>
  <c r="J146" i="34" s="1"/>
  <c r="K146" i="34" s="1"/>
  <c r="C146" i="34"/>
  <c r="A146" i="34"/>
  <c r="D399" i="34"/>
  <c r="E399" i="34" s="1"/>
  <c r="F399" i="34" s="1"/>
  <c r="G399" i="34" s="1"/>
  <c r="H399" i="34" s="1"/>
  <c r="I399" i="34" s="1"/>
  <c r="J399" i="34" s="1"/>
  <c r="K399" i="34" s="1"/>
  <c r="C399" i="34"/>
  <c r="A399" i="34"/>
  <c r="D432" i="34"/>
  <c r="E432" i="34" s="1"/>
  <c r="F432" i="34" s="1"/>
  <c r="G432" i="34" s="1"/>
  <c r="H432" i="34" s="1"/>
  <c r="I432" i="34" s="1"/>
  <c r="J432" i="34" s="1"/>
  <c r="K432" i="34" s="1"/>
  <c r="A432" i="34"/>
  <c r="C432" i="34"/>
  <c r="D158" i="34"/>
  <c r="E158" i="34" s="1"/>
  <c r="F158" i="34" s="1"/>
  <c r="G158" i="34" s="1"/>
  <c r="H158" i="34" s="1"/>
  <c r="I158" i="34" s="1"/>
  <c r="J158" i="34" s="1"/>
  <c r="K158" i="34" s="1"/>
  <c r="C158" i="34"/>
  <c r="A158" i="34"/>
  <c r="D376" i="34"/>
  <c r="E376" i="34" s="1"/>
  <c r="F376" i="34" s="1"/>
  <c r="G376" i="34" s="1"/>
  <c r="H376" i="34" s="1"/>
  <c r="I376" i="34" s="1"/>
  <c r="J376" i="34" s="1"/>
  <c r="K376" i="34" s="1"/>
  <c r="C376" i="34"/>
  <c r="A376" i="34"/>
  <c r="D442" i="34"/>
  <c r="E442" i="34" s="1"/>
  <c r="F442" i="34" s="1"/>
  <c r="G442" i="34" s="1"/>
  <c r="H442" i="34" s="1"/>
  <c r="I442" i="34" s="1"/>
  <c r="J442" i="34" s="1"/>
  <c r="K442" i="34" s="1"/>
  <c r="A442" i="34"/>
  <c r="C442" i="34"/>
  <c r="D190" i="34"/>
  <c r="E190" i="34" s="1"/>
  <c r="F190" i="34" s="1"/>
  <c r="G190" i="34" s="1"/>
  <c r="H190" i="34" s="1"/>
  <c r="I190" i="34" s="1"/>
  <c r="J190" i="34" s="1"/>
  <c r="K190" i="34" s="1"/>
  <c r="C190" i="34"/>
  <c r="A190" i="34"/>
  <c r="D316" i="34"/>
  <c r="E316" i="34" s="1"/>
  <c r="F316" i="34" s="1"/>
  <c r="G316" i="34" s="1"/>
  <c r="H316" i="34" s="1"/>
  <c r="I316" i="34" s="1"/>
  <c r="J316" i="34" s="1"/>
  <c r="K316" i="34" s="1"/>
  <c r="C316" i="34"/>
  <c r="A316" i="34"/>
  <c r="C373" i="34"/>
  <c r="A373" i="34"/>
  <c r="D373" i="34"/>
  <c r="E373" i="34" s="1"/>
  <c r="F373" i="34" s="1"/>
  <c r="G373" i="34" s="1"/>
  <c r="H373" i="34" s="1"/>
  <c r="I373" i="34" s="1"/>
  <c r="J373" i="34" s="1"/>
  <c r="K373" i="34" s="1"/>
  <c r="C231" i="34"/>
  <c r="A231" i="34"/>
  <c r="D231" i="34"/>
  <c r="E231" i="34" s="1"/>
  <c r="F231" i="34" s="1"/>
  <c r="G231" i="34" s="1"/>
  <c r="H231" i="34" s="1"/>
  <c r="I231" i="34" s="1"/>
  <c r="J231" i="34" s="1"/>
  <c r="K231" i="34" s="1"/>
  <c r="C276" i="34"/>
  <c r="D276" i="34"/>
  <c r="E276" i="34" s="1"/>
  <c r="F276" i="34" s="1"/>
  <c r="G276" i="34" s="1"/>
  <c r="H276" i="34" s="1"/>
  <c r="I276" i="34" s="1"/>
  <c r="J276" i="34" s="1"/>
  <c r="K276" i="34" s="1"/>
  <c r="A276" i="34"/>
  <c r="D353" i="34"/>
  <c r="E353" i="34" s="1"/>
  <c r="F353" i="34" s="1"/>
  <c r="G353" i="34" s="1"/>
  <c r="H353" i="34" s="1"/>
  <c r="I353" i="34" s="1"/>
  <c r="J353" i="34" s="1"/>
  <c r="K353" i="34" s="1"/>
  <c r="A353" i="34"/>
  <c r="C353" i="34"/>
  <c r="A413" i="34"/>
  <c r="D413" i="34"/>
  <c r="E413" i="34" s="1"/>
  <c r="F413" i="34" s="1"/>
  <c r="G413" i="34" s="1"/>
  <c r="H413" i="34" s="1"/>
  <c r="I413" i="34" s="1"/>
  <c r="J413" i="34" s="1"/>
  <c r="K413" i="34" s="1"/>
  <c r="C413" i="34"/>
  <c r="D157" i="34"/>
  <c r="E157" i="34" s="1"/>
  <c r="F157" i="34" s="1"/>
  <c r="G157" i="34" s="1"/>
  <c r="H157" i="34" s="1"/>
  <c r="I157" i="34" s="1"/>
  <c r="J157" i="34" s="1"/>
  <c r="K157" i="34" s="1"/>
  <c r="C157" i="34"/>
  <c r="A157" i="34"/>
  <c r="D204" i="34"/>
  <c r="E204" i="34" s="1"/>
  <c r="F204" i="34" s="1"/>
  <c r="G204" i="34" s="1"/>
  <c r="H204" i="34" s="1"/>
  <c r="I204" i="34" s="1"/>
  <c r="J204" i="34" s="1"/>
  <c r="K204" i="34" s="1"/>
  <c r="C204" i="34"/>
  <c r="A204" i="34"/>
  <c r="D267" i="34"/>
  <c r="E267" i="34" s="1"/>
  <c r="F267" i="34" s="1"/>
  <c r="G267" i="34" s="1"/>
  <c r="H267" i="34" s="1"/>
  <c r="I267" i="34" s="1"/>
  <c r="J267" i="34" s="1"/>
  <c r="K267" i="34" s="1"/>
  <c r="C267" i="34"/>
  <c r="A267" i="34"/>
  <c r="D314" i="34"/>
  <c r="E314" i="34" s="1"/>
  <c r="F314" i="34" s="1"/>
  <c r="G314" i="34" s="1"/>
  <c r="H314" i="34" s="1"/>
  <c r="I314" i="34" s="1"/>
  <c r="J314" i="34" s="1"/>
  <c r="K314" i="34" s="1"/>
  <c r="C314" i="34"/>
  <c r="A314" i="34"/>
  <c r="D377" i="34"/>
  <c r="E377" i="34" s="1"/>
  <c r="F377" i="34" s="1"/>
  <c r="G377" i="34" s="1"/>
  <c r="H377" i="34" s="1"/>
  <c r="I377" i="34" s="1"/>
  <c r="J377" i="34" s="1"/>
  <c r="K377" i="34" s="1"/>
  <c r="A377" i="34"/>
  <c r="C377" i="34"/>
  <c r="D384" i="34"/>
  <c r="E384" i="34" s="1"/>
  <c r="F384" i="34" s="1"/>
  <c r="G384" i="34" s="1"/>
  <c r="H384" i="34" s="1"/>
  <c r="I384" i="34" s="1"/>
  <c r="J384" i="34" s="1"/>
  <c r="K384" i="34" s="1"/>
  <c r="C384" i="34"/>
  <c r="A384" i="34"/>
  <c r="D239" i="34"/>
  <c r="E239" i="34" s="1"/>
  <c r="F239" i="34" s="1"/>
  <c r="G239" i="34" s="1"/>
  <c r="H239" i="34" s="1"/>
  <c r="I239" i="34" s="1"/>
  <c r="J239" i="34" s="1"/>
  <c r="K239" i="34" s="1"/>
  <c r="C239" i="34"/>
  <c r="A239" i="34"/>
  <c r="D274" i="34"/>
  <c r="E274" i="34" s="1"/>
  <c r="F274" i="34" s="1"/>
  <c r="G274" i="34" s="1"/>
  <c r="H274" i="34" s="1"/>
  <c r="I274" i="34" s="1"/>
  <c r="J274" i="34" s="1"/>
  <c r="K274" i="34" s="1"/>
  <c r="C274" i="34"/>
  <c r="A274" i="34"/>
  <c r="D360" i="34"/>
  <c r="E360" i="34" s="1"/>
  <c r="F360" i="34" s="1"/>
  <c r="G360" i="34" s="1"/>
  <c r="H360" i="34" s="1"/>
  <c r="I360" i="34" s="1"/>
  <c r="J360" i="34" s="1"/>
  <c r="K360" i="34" s="1"/>
  <c r="C360" i="34"/>
  <c r="A360" i="34"/>
  <c r="C181" i="34"/>
  <c r="D181" i="34"/>
  <c r="E181" i="34" s="1"/>
  <c r="F181" i="34" s="1"/>
  <c r="G181" i="34" s="1"/>
  <c r="H181" i="34" s="1"/>
  <c r="I181" i="34" s="1"/>
  <c r="J181" i="34" s="1"/>
  <c r="K181" i="34" s="1"/>
  <c r="A181" i="34"/>
  <c r="D424" i="34"/>
  <c r="E424" i="34" s="1"/>
  <c r="F424" i="34" s="1"/>
  <c r="G424" i="34" s="1"/>
  <c r="H424" i="34" s="1"/>
  <c r="I424" i="34" s="1"/>
  <c r="J424" i="34" s="1"/>
  <c r="K424" i="34" s="1"/>
  <c r="C424" i="34"/>
  <c r="A424" i="34"/>
  <c r="D191" i="34"/>
  <c r="E191" i="34" s="1"/>
  <c r="F191" i="34" s="1"/>
  <c r="G191" i="34" s="1"/>
  <c r="H191" i="34" s="1"/>
  <c r="I191" i="34" s="1"/>
  <c r="J191" i="34" s="1"/>
  <c r="K191" i="34" s="1"/>
  <c r="C191" i="34"/>
  <c r="A191" i="34"/>
  <c r="C406" i="34"/>
  <c r="D406" i="34"/>
  <c r="E406" i="34" s="1"/>
  <c r="F406" i="34" s="1"/>
  <c r="G406" i="34" s="1"/>
  <c r="H406" i="34" s="1"/>
  <c r="I406" i="34" s="1"/>
  <c r="J406" i="34" s="1"/>
  <c r="K406" i="34" s="1"/>
  <c r="A406" i="34"/>
  <c r="D348" i="34"/>
  <c r="E348" i="34" s="1"/>
  <c r="F348" i="34" s="1"/>
  <c r="G348" i="34" s="1"/>
  <c r="H348" i="34" s="1"/>
  <c r="I348" i="34" s="1"/>
  <c r="J348" i="34" s="1"/>
  <c r="K348" i="34" s="1"/>
  <c r="C348" i="34"/>
  <c r="A348" i="34"/>
  <c r="D152" i="34"/>
  <c r="E152" i="34" s="1"/>
  <c r="F152" i="34" s="1"/>
  <c r="G152" i="34" s="1"/>
  <c r="H152" i="34" s="1"/>
  <c r="I152" i="34" s="1"/>
  <c r="J152" i="34" s="1"/>
  <c r="K152" i="34" s="1"/>
  <c r="C152" i="34"/>
  <c r="A152" i="34"/>
  <c r="D285" i="34"/>
  <c r="E285" i="34" s="1"/>
  <c r="F285" i="34" s="1"/>
  <c r="G285" i="34" s="1"/>
  <c r="H285" i="34" s="1"/>
  <c r="I285" i="34" s="1"/>
  <c r="J285" i="34" s="1"/>
  <c r="K285" i="34" s="1"/>
  <c r="C285" i="34"/>
  <c r="A285" i="34"/>
  <c r="D249" i="34"/>
  <c r="E249" i="34" s="1"/>
  <c r="F249" i="34" s="1"/>
  <c r="G249" i="34" s="1"/>
  <c r="H249" i="34" s="1"/>
  <c r="I249" i="34" s="1"/>
  <c r="J249" i="34" s="1"/>
  <c r="K249" i="34" s="1"/>
  <c r="C249" i="34"/>
  <c r="A249" i="34"/>
  <c r="C421" i="34"/>
  <c r="A421" i="34"/>
  <c r="D421" i="34"/>
  <c r="E421" i="34" s="1"/>
  <c r="F421" i="34" s="1"/>
  <c r="G421" i="34" s="1"/>
  <c r="H421" i="34" s="1"/>
  <c r="I421" i="34" s="1"/>
  <c r="J421" i="34" s="1"/>
  <c r="K421" i="34" s="1"/>
  <c r="C388" i="34"/>
  <c r="D388" i="34"/>
  <c r="E388" i="34" s="1"/>
  <c r="F388" i="34" s="1"/>
  <c r="G388" i="34" s="1"/>
  <c r="H388" i="34" s="1"/>
  <c r="I388" i="34" s="1"/>
  <c r="J388" i="34" s="1"/>
  <c r="K388" i="34" s="1"/>
  <c r="A388" i="34"/>
  <c r="C197" i="34"/>
  <c r="D197" i="34"/>
  <c r="E197" i="34" s="1"/>
  <c r="F197" i="34" s="1"/>
  <c r="G197" i="34" s="1"/>
  <c r="H197" i="34" s="1"/>
  <c r="I197" i="34" s="1"/>
  <c r="J197" i="34" s="1"/>
  <c r="K197" i="34" s="1"/>
  <c r="A197" i="34"/>
  <c r="C215" i="34"/>
  <c r="D215" i="34"/>
  <c r="E215" i="34" s="1"/>
  <c r="F215" i="34" s="1"/>
  <c r="G215" i="34" s="1"/>
  <c r="H215" i="34" s="1"/>
  <c r="I215" i="34" s="1"/>
  <c r="J215" i="34" s="1"/>
  <c r="K215" i="34" s="1"/>
  <c r="A215" i="34"/>
  <c r="C260" i="34"/>
  <c r="A260" i="34"/>
  <c r="D260" i="34"/>
  <c r="E260" i="34" s="1"/>
  <c r="F260" i="34" s="1"/>
  <c r="G260" i="34" s="1"/>
  <c r="H260" i="34" s="1"/>
  <c r="I260" i="34" s="1"/>
  <c r="J260" i="34" s="1"/>
  <c r="K260" i="34" s="1"/>
  <c r="D337" i="34"/>
  <c r="E337" i="34" s="1"/>
  <c r="F337" i="34" s="1"/>
  <c r="G337" i="34" s="1"/>
  <c r="H337" i="34" s="1"/>
  <c r="I337" i="34" s="1"/>
  <c r="J337" i="34" s="1"/>
  <c r="K337" i="34" s="1"/>
  <c r="C337" i="34"/>
  <c r="A337" i="34"/>
  <c r="A397" i="34"/>
  <c r="D397" i="34"/>
  <c r="E397" i="34" s="1"/>
  <c r="F397" i="34" s="1"/>
  <c r="G397" i="34" s="1"/>
  <c r="H397" i="34" s="1"/>
  <c r="I397" i="34" s="1"/>
  <c r="J397" i="34" s="1"/>
  <c r="K397" i="34" s="1"/>
  <c r="C397" i="34"/>
  <c r="A444" i="34"/>
  <c r="D444" i="34"/>
  <c r="E444" i="34" s="1"/>
  <c r="F444" i="34" s="1"/>
  <c r="G444" i="34" s="1"/>
  <c r="H444" i="34" s="1"/>
  <c r="I444" i="34" s="1"/>
  <c r="J444" i="34" s="1"/>
  <c r="K444" i="34" s="1"/>
  <c r="C444" i="34"/>
  <c r="D188" i="34"/>
  <c r="E188" i="34" s="1"/>
  <c r="F188" i="34" s="1"/>
  <c r="G188" i="34" s="1"/>
  <c r="H188" i="34" s="1"/>
  <c r="I188" i="34" s="1"/>
  <c r="J188" i="34" s="1"/>
  <c r="K188" i="34" s="1"/>
  <c r="C188" i="34"/>
  <c r="A188" i="34"/>
  <c r="D251" i="34"/>
  <c r="E251" i="34" s="1"/>
  <c r="F251" i="34" s="1"/>
  <c r="G251" i="34" s="1"/>
  <c r="H251" i="34" s="1"/>
  <c r="I251" i="34" s="1"/>
  <c r="J251" i="34" s="1"/>
  <c r="K251" i="34" s="1"/>
  <c r="C251" i="34"/>
  <c r="A251" i="34"/>
  <c r="D298" i="34"/>
  <c r="E298" i="34" s="1"/>
  <c r="F298" i="34" s="1"/>
  <c r="G298" i="34" s="1"/>
  <c r="H298" i="34" s="1"/>
  <c r="I298" i="34" s="1"/>
  <c r="J298" i="34" s="1"/>
  <c r="K298" i="34" s="1"/>
  <c r="C298" i="34"/>
  <c r="A298" i="34"/>
  <c r="D361" i="34"/>
  <c r="E361" i="34" s="1"/>
  <c r="F361" i="34" s="1"/>
  <c r="G361" i="34" s="1"/>
  <c r="H361" i="34" s="1"/>
  <c r="I361" i="34" s="1"/>
  <c r="J361" i="34" s="1"/>
  <c r="K361" i="34" s="1"/>
  <c r="A361" i="34"/>
  <c r="C361" i="34"/>
  <c r="D414" i="34"/>
  <c r="E414" i="34" s="1"/>
  <c r="F414" i="34" s="1"/>
  <c r="G414" i="34" s="1"/>
  <c r="H414" i="34" s="1"/>
  <c r="I414" i="34" s="1"/>
  <c r="J414" i="34" s="1"/>
  <c r="K414" i="34" s="1"/>
  <c r="C414" i="34"/>
  <c r="A414" i="34"/>
  <c r="D271" i="34"/>
  <c r="E271" i="34" s="1"/>
  <c r="F271" i="34" s="1"/>
  <c r="G271" i="34" s="1"/>
  <c r="H271" i="34" s="1"/>
  <c r="I271" i="34" s="1"/>
  <c r="J271" i="34" s="1"/>
  <c r="K271" i="34" s="1"/>
  <c r="C271" i="34"/>
  <c r="A271" i="34"/>
  <c r="D304" i="34"/>
  <c r="E304" i="34" s="1"/>
  <c r="F304" i="34" s="1"/>
  <c r="G304" i="34" s="1"/>
  <c r="H304" i="34" s="1"/>
  <c r="I304" i="34" s="1"/>
  <c r="J304" i="34" s="1"/>
  <c r="K304" i="34" s="1"/>
  <c r="C304" i="34"/>
  <c r="A304" i="34"/>
  <c r="C390" i="34"/>
  <c r="D390" i="34"/>
  <c r="E390" i="34" s="1"/>
  <c r="F390" i="34" s="1"/>
  <c r="G390" i="34" s="1"/>
  <c r="H390" i="34" s="1"/>
  <c r="I390" i="34" s="1"/>
  <c r="J390" i="34" s="1"/>
  <c r="K390" i="34" s="1"/>
  <c r="A390" i="34"/>
  <c r="C213" i="34"/>
  <c r="A213" i="34"/>
  <c r="D213" i="34"/>
  <c r="E213" i="34" s="1"/>
  <c r="F213" i="34" s="1"/>
  <c r="G213" i="34" s="1"/>
  <c r="H213" i="34" s="1"/>
  <c r="I213" i="34" s="1"/>
  <c r="J213" i="34" s="1"/>
  <c r="K213" i="34" s="1"/>
  <c r="C150" i="34"/>
  <c r="D150" i="34"/>
  <c r="E150" i="34" s="1"/>
  <c r="F150" i="34" s="1"/>
  <c r="G150" i="34" s="1"/>
  <c r="H150" i="34" s="1"/>
  <c r="I150" i="34" s="1"/>
  <c r="J150" i="34" s="1"/>
  <c r="K150" i="34" s="1"/>
  <c r="A150" i="34"/>
  <c r="D223" i="34"/>
  <c r="E223" i="34" s="1"/>
  <c r="F223" i="34" s="1"/>
  <c r="G223" i="34" s="1"/>
  <c r="H223" i="34" s="1"/>
  <c r="I223" i="34" s="1"/>
  <c r="J223" i="34" s="1"/>
  <c r="K223" i="34" s="1"/>
  <c r="C223" i="34"/>
  <c r="A223" i="34"/>
  <c r="D435" i="34"/>
  <c r="E435" i="34" s="1"/>
  <c r="F435" i="34" s="1"/>
  <c r="G435" i="34" s="1"/>
  <c r="H435" i="34" s="1"/>
  <c r="I435" i="34" s="1"/>
  <c r="J435" i="34" s="1"/>
  <c r="K435" i="34" s="1"/>
  <c r="C435" i="34"/>
  <c r="A435" i="34"/>
  <c r="D400" i="34"/>
  <c r="E400" i="34" s="1"/>
  <c r="F400" i="34" s="1"/>
  <c r="G400" i="34" s="1"/>
  <c r="H400" i="34" s="1"/>
  <c r="I400" i="34" s="1"/>
  <c r="J400" i="34" s="1"/>
  <c r="K400" i="34" s="1"/>
  <c r="C400" i="34"/>
  <c r="A400" i="34"/>
  <c r="D426" i="34"/>
  <c r="E426" i="34" s="1"/>
  <c r="F426" i="34" s="1"/>
  <c r="G426" i="34" s="1"/>
  <c r="H426" i="34" s="1"/>
  <c r="I426" i="34" s="1"/>
  <c r="J426" i="34" s="1"/>
  <c r="K426" i="34" s="1"/>
  <c r="A426" i="34"/>
  <c r="C426" i="34"/>
  <c r="D403" i="34"/>
  <c r="E403" i="34" s="1"/>
  <c r="F403" i="34" s="1"/>
  <c r="G403" i="34" s="1"/>
  <c r="H403" i="34" s="1"/>
  <c r="I403" i="34" s="1"/>
  <c r="J403" i="34" s="1"/>
  <c r="K403" i="34" s="1"/>
  <c r="A403" i="34"/>
  <c r="C403" i="34"/>
  <c r="D338" i="34"/>
  <c r="E338" i="34" s="1"/>
  <c r="F338" i="34" s="1"/>
  <c r="G338" i="34" s="1"/>
  <c r="H338" i="34" s="1"/>
  <c r="I338" i="34" s="1"/>
  <c r="J338" i="34" s="1"/>
  <c r="K338" i="34" s="1"/>
  <c r="A338" i="34"/>
  <c r="C338" i="34"/>
  <c r="C199" i="34"/>
  <c r="D199" i="34"/>
  <c r="E199" i="34" s="1"/>
  <c r="F199" i="34" s="1"/>
  <c r="G199" i="34" s="1"/>
  <c r="H199" i="34" s="1"/>
  <c r="I199" i="34" s="1"/>
  <c r="J199" i="34" s="1"/>
  <c r="K199" i="34" s="1"/>
  <c r="A199" i="34"/>
  <c r="C244" i="34"/>
  <c r="A244" i="34"/>
  <c r="D244" i="34"/>
  <c r="E244" i="34" s="1"/>
  <c r="F244" i="34" s="1"/>
  <c r="G244" i="34" s="1"/>
  <c r="H244" i="34" s="1"/>
  <c r="I244" i="34" s="1"/>
  <c r="J244" i="34" s="1"/>
  <c r="K244" i="34" s="1"/>
  <c r="D321" i="34"/>
  <c r="E321" i="34" s="1"/>
  <c r="F321" i="34" s="1"/>
  <c r="G321" i="34" s="1"/>
  <c r="H321" i="34" s="1"/>
  <c r="I321" i="34" s="1"/>
  <c r="J321" i="34" s="1"/>
  <c r="K321" i="34" s="1"/>
  <c r="C321" i="34"/>
  <c r="A321" i="34"/>
  <c r="A381" i="34"/>
  <c r="D381" i="34"/>
  <c r="E381" i="34" s="1"/>
  <c r="F381" i="34" s="1"/>
  <c r="G381" i="34" s="1"/>
  <c r="H381" i="34" s="1"/>
  <c r="I381" i="34" s="1"/>
  <c r="J381" i="34" s="1"/>
  <c r="K381" i="34" s="1"/>
  <c r="C381" i="34"/>
  <c r="A428" i="34"/>
  <c r="D428" i="34"/>
  <c r="E428" i="34" s="1"/>
  <c r="F428" i="34" s="1"/>
  <c r="G428" i="34" s="1"/>
  <c r="H428" i="34" s="1"/>
  <c r="I428" i="34" s="1"/>
  <c r="J428" i="34" s="1"/>
  <c r="K428" i="34" s="1"/>
  <c r="C428" i="34"/>
  <c r="D172" i="34"/>
  <c r="E172" i="34" s="1"/>
  <c r="F172" i="34" s="1"/>
  <c r="G172" i="34" s="1"/>
  <c r="H172" i="34" s="1"/>
  <c r="I172" i="34" s="1"/>
  <c r="J172" i="34" s="1"/>
  <c r="K172" i="34" s="1"/>
  <c r="C172" i="34"/>
  <c r="A172" i="34"/>
  <c r="D235" i="34"/>
  <c r="E235" i="34" s="1"/>
  <c r="F235" i="34" s="1"/>
  <c r="G235" i="34" s="1"/>
  <c r="H235" i="34" s="1"/>
  <c r="I235" i="34" s="1"/>
  <c r="J235" i="34" s="1"/>
  <c r="K235" i="34" s="1"/>
  <c r="C235" i="34"/>
  <c r="A235" i="34"/>
  <c r="D282" i="34"/>
  <c r="E282" i="34" s="1"/>
  <c r="F282" i="34" s="1"/>
  <c r="G282" i="34" s="1"/>
  <c r="H282" i="34" s="1"/>
  <c r="I282" i="34" s="1"/>
  <c r="J282" i="34" s="1"/>
  <c r="K282" i="34" s="1"/>
  <c r="C282" i="34"/>
  <c r="A282" i="34"/>
  <c r="D345" i="34"/>
  <c r="E345" i="34" s="1"/>
  <c r="F345" i="34" s="1"/>
  <c r="G345" i="34" s="1"/>
  <c r="H345" i="34" s="1"/>
  <c r="I345" i="34" s="1"/>
  <c r="J345" i="34" s="1"/>
  <c r="K345" i="34" s="1"/>
  <c r="C345" i="34"/>
  <c r="A345" i="34"/>
  <c r="C439" i="34"/>
  <c r="D439" i="34"/>
  <c r="E439" i="34" s="1"/>
  <c r="F439" i="34" s="1"/>
  <c r="G439" i="34" s="1"/>
  <c r="H439" i="34" s="1"/>
  <c r="I439" i="34" s="1"/>
  <c r="J439" i="34" s="1"/>
  <c r="K439" i="34" s="1"/>
  <c r="A439" i="34"/>
  <c r="D302" i="34"/>
  <c r="E302" i="34" s="1"/>
  <c r="F302" i="34" s="1"/>
  <c r="G302" i="34" s="1"/>
  <c r="H302" i="34" s="1"/>
  <c r="I302" i="34" s="1"/>
  <c r="J302" i="34" s="1"/>
  <c r="K302" i="34" s="1"/>
  <c r="C302" i="34"/>
  <c r="A302" i="34"/>
  <c r="D334" i="34"/>
  <c r="E334" i="34" s="1"/>
  <c r="F334" i="34" s="1"/>
  <c r="G334" i="34" s="1"/>
  <c r="H334" i="34" s="1"/>
  <c r="I334" i="34" s="1"/>
  <c r="J334" i="34" s="1"/>
  <c r="K334" i="34" s="1"/>
  <c r="C334" i="34"/>
  <c r="A334" i="34"/>
  <c r="D419" i="34"/>
  <c r="E419" i="34" s="1"/>
  <c r="F419" i="34" s="1"/>
  <c r="G419" i="34" s="1"/>
  <c r="H419" i="34" s="1"/>
  <c r="I419" i="34" s="1"/>
  <c r="J419" i="34" s="1"/>
  <c r="K419" i="34" s="1"/>
  <c r="C419" i="34"/>
  <c r="A419" i="34"/>
  <c r="C245" i="34"/>
  <c r="A245" i="34"/>
  <c r="D245" i="34"/>
  <c r="E245" i="34" s="1"/>
  <c r="F245" i="34" s="1"/>
  <c r="G245" i="34" s="1"/>
  <c r="H245" i="34" s="1"/>
  <c r="I245" i="34" s="1"/>
  <c r="J245" i="34" s="1"/>
  <c r="K245" i="34" s="1"/>
  <c r="D184" i="34"/>
  <c r="E184" i="34" s="1"/>
  <c r="F184" i="34" s="1"/>
  <c r="G184" i="34" s="1"/>
  <c r="H184" i="34" s="1"/>
  <c r="I184" i="34" s="1"/>
  <c r="J184" i="34" s="1"/>
  <c r="K184" i="34" s="1"/>
  <c r="C184" i="34"/>
  <c r="A184" i="34"/>
  <c r="D255" i="34"/>
  <c r="E255" i="34" s="1"/>
  <c r="F255" i="34" s="1"/>
  <c r="G255" i="34" s="1"/>
  <c r="H255" i="34" s="1"/>
  <c r="I255" i="34" s="1"/>
  <c r="J255" i="34" s="1"/>
  <c r="K255" i="34" s="1"/>
  <c r="C255" i="34"/>
  <c r="A255" i="34"/>
  <c r="D241" i="34"/>
  <c r="E241" i="34" s="1"/>
  <c r="F241" i="34" s="1"/>
  <c r="G241" i="34" s="1"/>
  <c r="H241" i="34" s="1"/>
  <c r="I241" i="34" s="1"/>
  <c r="J241" i="34" s="1"/>
  <c r="K241" i="34" s="1"/>
  <c r="C241" i="34"/>
  <c r="A241" i="34"/>
  <c r="D202" i="34"/>
  <c r="E202" i="34" s="1"/>
  <c r="F202" i="34" s="1"/>
  <c r="G202" i="34" s="1"/>
  <c r="H202" i="34" s="1"/>
  <c r="I202" i="34" s="1"/>
  <c r="J202" i="34" s="1"/>
  <c r="K202" i="34" s="1"/>
  <c r="C202" i="34"/>
  <c r="A202" i="34"/>
  <c r="D440" i="34"/>
  <c r="E440" i="34" s="1"/>
  <c r="F440" i="34" s="1"/>
  <c r="G440" i="34" s="1"/>
  <c r="H440" i="34" s="1"/>
  <c r="I440" i="34" s="1"/>
  <c r="J440" i="34" s="1"/>
  <c r="K440" i="34" s="1"/>
  <c r="C440" i="34"/>
  <c r="A440" i="34"/>
  <c r="D256" i="34"/>
  <c r="E256" i="34" s="1"/>
  <c r="F256" i="34" s="1"/>
  <c r="G256" i="34" s="1"/>
  <c r="H256" i="34" s="1"/>
  <c r="I256" i="34" s="1"/>
  <c r="J256" i="34" s="1"/>
  <c r="K256" i="34" s="1"/>
  <c r="A256" i="34"/>
  <c r="C256" i="34"/>
  <c r="D186" i="34"/>
  <c r="E186" i="34" s="1"/>
  <c r="F186" i="34" s="1"/>
  <c r="G186" i="34" s="1"/>
  <c r="H186" i="34" s="1"/>
  <c r="I186" i="34" s="1"/>
  <c r="J186" i="34" s="1"/>
  <c r="K186" i="34" s="1"/>
  <c r="C186" i="34"/>
  <c r="A186" i="34"/>
  <c r="D222" i="34"/>
  <c r="E222" i="34" s="1"/>
  <c r="F222" i="34" s="1"/>
  <c r="G222" i="34" s="1"/>
  <c r="H222" i="34" s="1"/>
  <c r="I222" i="34" s="1"/>
  <c r="J222" i="34" s="1"/>
  <c r="K222" i="34" s="1"/>
  <c r="C222" i="34"/>
  <c r="A222" i="34"/>
  <c r="C183" i="34"/>
  <c r="D183" i="34"/>
  <c r="E183" i="34" s="1"/>
  <c r="F183" i="34" s="1"/>
  <c r="G183" i="34" s="1"/>
  <c r="H183" i="34" s="1"/>
  <c r="I183" i="34" s="1"/>
  <c r="J183" i="34" s="1"/>
  <c r="K183" i="34" s="1"/>
  <c r="A183" i="34"/>
  <c r="C228" i="34"/>
  <c r="D228" i="34"/>
  <c r="E228" i="34" s="1"/>
  <c r="F228" i="34" s="1"/>
  <c r="G228" i="34" s="1"/>
  <c r="H228" i="34" s="1"/>
  <c r="I228" i="34" s="1"/>
  <c r="J228" i="34" s="1"/>
  <c r="K228" i="34" s="1"/>
  <c r="A228" i="34"/>
  <c r="D305" i="34"/>
  <c r="E305" i="34" s="1"/>
  <c r="F305" i="34" s="1"/>
  <c r="G305" i="34" s="1"/>
  <c r="H305" i="34" s="1"/>
  <c r="I305" i="34" s="1"/>
  <c r="J305" i="34" s="1"/>
  <c r="K305" i="34" s="1"/>
  <c r="C305" i="34"/>
  <c r="A305" i="34"/>
  <c r="A365" i="34"/>
  <c r="D365" i="34"/>
  <c r="E365" i="34" s="1"/>
  <c r="F365" i="34" s="1"/>
  <c r="G365" i="34" s="1"/>
  <c r="H365" i="34" s="1"/>
  <c r="I365" i="34" s="1"/>
  <c r="J365" i="34" s="1"/>
  <c r="K365" i="34" s="1"/>
  <c r="C365" i="34"/>
  <c r="A412" i="34"/>
  <c r="D412" i="34"/>
  <c r="E412" i="34" s="1"/>
  <c r="F412" i="34" s="1"/>
  <c r="G412" i="34" s="1"/>
  <c r="H412" i="34" s="1"/>
  <c r="I412" i="34" s="1"/>
  <c r="J412" i="34" s="1"/>
  <c r="K412" i="34" s="1"/>
  <c r="C412" i="34"/>
  <c r="D156" i="34"/>
  <c r="E156" i="34" s="1"/>
  <c r="F156" i="34" s="1"/>
  <c r="G156" i="34" s="1"/>
  <c r="H156" i="34" s="1"/>
  <c r="I156" i="34" s="1"/>
  <c r="J156" i="34" s="1"/>
  <c r="K156" i="34" s="1"/>
  <c r="C156" i="34"/>
  <c r="A156" i="34"/>
  <c r="D219" i="34"/>
  <c r="E219" i="34" s="1"/>
  <c r="F219" i="34" s="1"/>
  <c r="G219" i="34" s="1"/>
  <c r="H219" i="34" s="1"/>
  <c r="I219" i="34" s="1"/>
  <c r="J219" i="34" s="1"/>
  <c r="K219" i="34" s="1"/>
  <c r="C219" i="34"/>
  <c r="A219" i="34"/>
  <c r="D266" i="34"/>
  <c r="E266" i="34" s="1"/>
  <c r="F266" i="34" s="1"/>
  <c r="G266" i="34" s="1"/>
  <c r="H266" i="34" s="1"/>
  <c r="I266" i="34" s="1"/>
  <c r="J266" i="34" s="1"/>
  <c r="K266" i="34" s="1"/>
  <c r="C266" i="34"/>
  <c r="A266" i="34"/>
  <c r="D329" i="34"/>
  <c r="E329" i="34" s="1"/>
  <c r="F329" i="34" s="1"/>
  <c r="G329" i="34" s="1"/>
  <c r="H329" i="34" s="1"/>
  <c r="I329" i="34" s="1"/>
  <c r="J329" i="34" s="1"/>
  <c r="K329" i="34" s="1"/>
  <c r="C329" i="34"/>
  <c r="A329" i="34"/>
  <c r="C327" i="34"/>
  <c r="A327" i="34"/>
  <c r="D327" i="34"/>
  <c r="E327" i="34" s="1"/>
  <c r="F327" i="34" s="1"/>
  <c r="G327" i="34" s="1"/>
  <c r="H327" i="34" s="1"/>
  <c r="I327" i="34" s="1"/>
  <c r="J327" i="34" s="1"/>
  <c r="K327" i="34" s="1"/>
  <c r="D176" i="34"/>
  <c r="E176" i="34" s="1"/>
  <c r="F176" i="34" s="1"/>
  <c r="G176" i="34" s="1"/>
  <c r="H176" i="34" s="1"/>
  <c r="I176" i="34" s="1"/>
  <c r="J176" i="34" s="1"/>
  <c r="K176" i="34" s="1"/>
  <c r="A176" i="34"/>
  <c r="C176" i="34"/>
  <c r="C359" i="34"/>
  <c r="D359" i="34"/>
  <c r="E359" i="34" s="1"/>
  <c r="F359" i="34" s="1"/>
  <c r="G359" i="34" s="1"/>
  <c r="H359" i="34" s="1"/>
  <c r="I359" i="34" s="1"/>
  <c r="J359" i="34" s="1"/>
  <c r="K359" i="34" s="1"/>
  <c r="A359" i="34"/>
  <c r="D448" i="34"/>
  <c r="E448" i="34" s="1"/>
  <c r="F448" i="34" s="1"/>
  <c r="G448" i="34" s="1"/>
  <c r="H448" i="34" s="1"/>
  <c r="I448" i="34" s="1"/>
  <c r="J448" i="34" s="1"/>
  <c r="K448" i="34" s="1"/>
  <c r="C448" i="34"/>
  <c r="A448" i="34"/>
  <c r="C277" i="34"/>
  <c r="D277" i="34"/>
  <c r="E277" i="34" s="1"/>
  <c r="F277" i="34" s="1"/>
  <c r="G277" i="34" s="1"/>
  <c r="H277" i="34" s="1"/>
  <c r="I277" i="34" s="1"/>
  <c r="J277" i="34" s="1"/>
  <c r="K277" i="34" s="1"/>
  <c r="A277" i="34"/>
  <c r="C149" i="34"/>
  <c r="A149" i="34"/>
  <c r="D149" i="34"/>
  <c r="E149" i="34" s="1"/>
  <c r="F149" i="34" s="1"/>
  <c r="G149" i="34" s="1"/>
  <c r="H149" i="34" s="1"/>
  <c r="I149" i="34" s="1"/>
  <c r="J149" i="34" s="1"/>
  <c r="K149" i="34" s="1"/>
  <c r="D216" i="34"/>
  <c r="E216" i="34" s="1"/>
  <c r="F216" i="34" s="1"/>
  <c r="G216" i="34" s="1"/>
  <c r="H216" i="34" s="1"/>
  <c r="I216" i="34" s="1"/>
  <c r="J216" i="34" s="1"/>
  <c r="K216" i="34" s="1"/>
  <c r="C216" i="34"/>
  <c r="A216" i="34"/>
  <c r="D287" i="34"/>
  <c r="E287" i="34" s="1"/>
  <c r="F287" i="34" s="1"/>
  <c r="G287" i="34" s="1"/>
  <c r="H287" i="34" s="1"/>
  <c r="I287" i="34" s="1"/>
  <c r="J287" i="34" s="1"/>
  <c r="K287" i="34" s="1"/>
  <c r="C287" i="34"/>
  <c r="A287" i="34"/>
  <c r="A15" i="38"/>
  <c r="A16" i="38" s="1"/>
  <c r="A14" i="35"/>
  <c r="C46" i="2"/>
  <c r="O9" i="3"/>
  <c r="A14" i="36"/>
  <c r="A15" i="36" s="1"/>
  <c r="B13" i="13"/>
  <c r="B15" i="13"/>
  <c r="B17" i="13"/>
  <c r="B19" i="13"/>
  <c r="B21" i="13"/>
  <c r="B23" i="13"/>
  <c r="B25" i="13"/>
  <c r="B27" i="13"/>
  <c r="B29" i="13"/>
  <c r="B31" i="13"/>
  <c r="B33" i="13"/>
  <c r="B35" i="13"/>
  <c r="B37" i="13"/>
  <c r="B39" i="13"/>
  <c r="B41" i="13"/>
  <c r="B43" i="13"/>
  <c r="B45" i="13"/>
  <c r="B47" i="13"/>
  <c r="B49" i="13"/>
  <c r="B51" i="13"/>
  <c r="B53" i="13"/>
  <c r="B55" i="13"/>
  <c r="B57" i="13"/>
  <c r="B59" i="13"/>
  <c r="B61" i="13"/>
  <c r="B63" i="13"/>
  <c r="B65" i="13"/>
  <c r="B67" i="13"/>
  <c r="B69" i="13"/>
  <c r="B71" i="13"/>
  <c r="B73" i="13"/>
  <c r="B75" i="13"/>
  <c r="B77" i="13"/>
  <c r="B79" i="13"/>
  <c r="B81" i="13"/>
  <c r="B83" i="13"/>
  <c r="B85" i="13"/>
  <c r="B87" i="13"/>
  <c r="B89" i="13"/>
  <c r="B91" i="13"/>
  <c r="B93" i="13"/>
  <c r="B95" i="13"/>
  <c r="B97" i="13"/>
  <c r="B99" i="13"/>
  <c r="B101" i="13"/>
  <c r="B103" i="13"/>
  <c r="B105" i="13"/>
  <c r="B107" i="13"/>
  <c r="B109" i="13"/>
  <c r="B111" i="13"/>
  <c r="B113" i="13"/>
  <c r="B115" i="13"/>
  <c r="B117" i="13"/>
  <c r="B119" i="13"/>
  <c r="B121" i="13"/>
  <c r="B123" i="13"/>
  <c r="B125" i="13"/>
  <c r="B127" i="13"/>
  <c r="B129" i="13"/>
  <c r="B131" i="13"/>
  <c r="B133" i="13"/>
  <c r="B135" i="13"/>
  <c r="B137" i="13"/>
  <c r="B139" i="13"/>
  <c r="B141" i="13"/>
  <c r="B143" i="13"/>
  <c r="B145" i="13"/>
  <c r="B12" i="13"/>
  <c r="B14" i="13"/>
  <c r="B16" i="13"/>
  <c r="B18" i="13"/>
  <c r="B20" i="13"/>
  <c r="B22" i="13"/>
  <c r="B24" i="13"/>
  <c r="B26" i="13"/>
  <c r="B28" i="13"/>
  <c r="B30" i="13"/>
  <c r="B32" i="13"/>
  <c r="B34" i="13"/>
  <c r="B36" i="13"/>
  <c r="B38" i="13"/>
  <c r="B40" i="13"/>
  <c r="B42" i="13"/>
  <c r="B44" i="13"/>
  <c r="B46" i="13"/>
  <c r="B48" i="13"/>
  <c r="B50" i="13"/>
  <c r="B52" i="13"/>
  <c r="B54" i="13"/>
  <c r="B56" i="13"/>
  <c r="B58" i="13"/>
  <c r="B60" i="13"/>
  <c r="B62" i="13"/>
  <c r="B64" i="13"/>
  <c r="B66" i="13"/>
  <c r="B68" i="13"/>
  <c r="B70" i="13"/>
  <c r="B72" i="13"/>
  <c r="B74" i="13"/>
  <c r="B76" i="13"/>
  <c r="B78" i="13"/>
  <c r="B80" i="13"/>
  <c r="B82" i="13"/>
  <c r="B84" i="13"/>
  <c r="B86" i="13"/>
  <c r="B88" i="13"/>
  <c r="B90" i="13"/>
  <c r="B92" i="13"/>
  <c r="B94" i="13"/>
  <c r="B96" i="13"/>
  <c r="B98" i="13"/>
  <c r="B100" i="13"/>
  <c r="B102" i="13"/>
  <c r="B104" i="13"/>
  <c r="B106" i="13"/>
  <c r="B108" i="13"/>
  <c r="B110" i="13"/>
  <c r="B112" i="13"/>
  <c r="B114" i="13"/>
  <c r="B116" i="13"/>
  <c r="B118" i="13"/>
  <c r="B120" i="13"/>
  <c r="B122" i="13"/>
  <c r="B124" i="13"/>
  <c r="B126" i="13"/>
  <c r="B128" i="13"/>
  <c r="B130" i="13"/>
  <c r="B132" i="13"/>
  <c r="B134" i="13"/>
  <c r="B136" i="13"/>
  <c r="B138" i="13"/>
  <c r="B140" i="13"/>
  <c r="B142" i="13"/>
  <c r="B144" i="13"/>
  <c r="B146" i="13"/>
  <c r="B148" i="13"/>
  <c r="B150" i="13"/>
  <c r="B152" i="13"/>
  <c r="B154" i="13"/>
  <c r="B156" i="13"/>
  <c r="B158" i="13"/>
  <c r="B160" i="13"/>
  <c r="B162" i="13"/>
  <c r="B164" i="13"/>
  <c r="B166" i="13"/>
  <c r="B168" i="13"/>
  <c r="B170" i="13"/>
  <c r="B172" i="13"/>
  <c r="B174" i="13"/>
  <c r="B176" i="13"/>
  <c r="B178" i="13"/>
  <c r="B180" i="13"/>
  <c r="B153" i="13"/>
  <c r="B161" i="13"/>
  <c r="B169" i="13"/>
  <c r="B177" i="13"/>
  <c r="B151" i="13"/>
  <c r="B159" i="13"/>
  <c r="B167" i="13"/>
  <c r="B175" i="13"/>
  <c r="B182" i="13"/>
  <c r="B184" i="13"/>
  <c r="B186" i="13"/>
  <c r="B188" i="13"/>
  <c r="B190" i="13"/>
  <c r="B192" i="13"/>
  <c r="B194" i="13"/>
  <c r="B196" i="13"/>
  <c r="B198" i="13"/>
  <c r="B200" i="13"/>
  <c r="B202" i="13"/>
  <c r="B204" i="13"/>
  <c r="B206" i="13"/>
  <c r="B208" i="13"/>
  <c r="B210" i="13"/>
  <c r="B212" i="13"/>
  <c r="B214" i="13"/>
  <c r="B216" i="13"/>
  <c r="B218" i="13"/>
  <c r="B220" i="13"/>
  <c r="B222" i="13"/>
  <c r="B224" i="13"/>
  <c r="B226" i="13"/>
  <c r="B228" i="13"/>
  <c r="B230" i="13"/>
  <c r="B232" i="13"/>
  <c r="B234" i="13"/>
  <c r="B236" i="13"/>
  <c r="B238" i="13"/>
  <c r="B240" i="13"/>
  <c r="B242" i="13"/>
  <c r="B244" i="13"/>
  <c r="B246" i="13"/>
  <c r="B248" i="13"/>
  <c r="B250" i="13"/>
  <c r="B252" i="13"/>
  <c r="B254" i="13"/>
  <c r="B256" i="13"/>
  <c r="B258" i="13"/>
  <c r="B260" i="13"/>
  <c r="B262" i="13"/>
  <c r="B264" i="13"/>
  <c r="B266" i="13"/>
  <c r="B268" i="13"/>
  <c r="B270" i="13"/>
  <c r="B272" i="13"/>
  <c r="B274" i="13"/>
  <c r="B276" i="13"/>
  <c r="B278" i="13"/>
  <c r="B280" i="13"/>
  <c r="B282" i="13"/>
  <c r="B284" i="13"/>
  <c r="B286" i="13"/>
  <c r="B288" i="13"/>
  <c r="B290" i="13"/>
  <c r="B292" i="13"/>
  <c r="B294" i="13"/>
  <c r="B296" i="13"/>
  <c r="B298" i="13"/>
  <c r="B300" i="13"/>
  <c r="B302" i="13"/>
  <c r="B304" i="13"/>
  <c r="B306" i="13"/>
  <c r="B308" i="13"/>
  <c r="B310" i="13"/>
  <c r="B312" i="13"/>
  <c r="B314" i="13"/>
  <c r="B316" i="13"/>
  <c r="B318" i="13"/>
  <c r="B320" i="13"/>
  <c r="B322" i="13"/>
  <c r="B324" i="13"/>
  <c r="B326" i="13"/>
  <c r="B328" i="13"/>
  <c r="B330" i="13"/>
  <c r="B332" i="13"/>
  <c r="B334" i="13"/>
  <c r="B336" i="13"/>
  <c r="B338" i="13"/>
  <c r="B340" i="13"/>
  <c r="B157" i="13"/>
  <c r="B173" i="13"/>
  <c r="B293" i="13"/>
  <c r="B301" i="13"/>
  <c r="B309" i="13"/>
  <c r="B317" i="13"/>
  <c r="B325" i="13"/>
  <c r="B333" i="13"/>
  <c r="B341" i="13"/>
  <c r="B343" i="13"/>
  <c r="B345" i="13"/>
  <c r="B347" i="13"/>
  <c r="B349" i="13"/>
  <c r="B351" i="13"/>
  <c r="B353" i="13"/>
  <c r="B355" i="13"/>
  <c r="B357" i="13"/>
  <c r="B359" i="13"/>
  <c r="B361" i="13"/>
  <c r="B363" i="13"/>
  <c r="B365" i="13"/>
  <c r="B367" i="13"/>
  <c r="B369" i="13"/>
  <c r="B371" i="13"/>
  <c r="B373" i="13"/>
  <c r="B375" i="13"/>
  <c r="B377" i="13"/>
  <c r="B379" i="13"/>
  <c r="B381" i="13"/>
  <c r="B383" i="13"/>
  <c r="B385" i="13"/>
  <c r="B387" i="13"/>
  <c r="B389" i="13"/>
  <c r="B391" i="13"/>
  <c r="B393" i="13"/>
  <c r="B395" i="13"/>
  <c r="B397" i="13"/>
  <c r="B399" i="13"/>
  <c r="B401" i="13"/>
  <c r="B403" i="13"/>
  <c r="B405" i="13"/>
  <c r="B407" i="13"/>
  <c r="B409" i="13"/>
  <c r="B411" i="13"/>
  <c r="B413" i="13"/>
  <c r="B147" i="13"/>
  <c r="B163" i="13"/>
  <c r="B183" i="13"/>
  <c r="B187" i="13"/>
  <c r="B191" i="13"/>
  <c r="B195" i="13"/>
  <c r="B199" i="13"/>
  <c r="B203" i="13"/>
  <c r="B207" i="13"/>
  <c r="B211" i="13"/>
  <c r="B215" i="13"/>
  <c r="B219" i="13"/>
  <c r="B223" i="13"/>
  <c r="B227" i="13"/>
  <c r="B231" i="13"/>
  <c r="B235" i="13"/>
  <c r="B239" i="13"/>
  <c r="B243" i="13"/>
  <c r="B247" i="13"/>
  <c r="B251" i="13"/>
  <c r="B255" i="13"/>
  <c r="B259" i="13"/>
  <c r="B263" i="13"/>
  <c r="B267" i="13"/>
  <c r="B271" i="13"/>
  <c r="B275" i="13"/>
  <c r="B279" i="13"/>
  <c r="B283" i="13"/>
  <c r="B287" i="13"/>
  <c r="B291" i="13"/>
  <c r="B299" i="13"/>
  <c r="B307" i="13"/>
  <c r="B315" i="13"/>
  <c r="B323" i="13"/>
  <c r="B331" i="13"/>
  <c r="B339" i="13"/>
  <c r="B149" i="13"/>
  <c r="B165" i="13"/>
  <c r="B179" i="13"/>
  <c r="B297" i="13"/>
  <c r="B305" i="13"/>
  <c r="B313" i="13"/>
  <c r="B321" i="13"/>
  <c r="B329" i="13"/>
  <c r="B337" i="13"/>
  <c r="B342" i="13"/>
  <c r="B344" i="13"/>
  <c r="B346" i="13"/>
  <c r="B348" i="13"/>
  <c r="B350" i="13"/>
  <c r="B352" i="13"/>
  <c r="B354" i="13"/>
  <c r="B356" i="13"/>
  <c r="B358" i="13"/>
  <c r="B360" i="13"/>
  <c r="B362" i="13"/>
  <c r="B364" i="13"/>
  <c r="B366" i="13"/>
  <c r="B368" i="13"/>
  <c r="B370" i="13"/>
  <c r="B372" i="13"/>
  <c r="B374" i="13"/>
  <c r="B376" i="13"/>
  <c r="B378" i="13"/>
  <c r="B380" i="13"/>
  <c r="B382" i="13"/>
  <c r="B155" i="13"/>
  <c r="B171" i="13"/>
  <c r="B181" i="13"/>
  <c r="B185" i="13"/>
  <c r="B189" i="13"/>
  <c r="B193" i="13"/>
  <c r="B197" i="13"/>
  <c r="B201" i="13"/>
  <c r="B205" i="13"/>
  <c r="B209" i="13"/>
  <c r="B213" i="13"/>
  <c r="B217" i="13"/>
  <c r="B221" i="13"/>
  <c r="B225" i="13"/>
  <c r="B229" i="13"/>
  <c r="B233" i="13"/>
  <c r="B237" i="13"/>
  <c r="B241" i="13"/>
  <c r="B245" i="13"/>
  <c r="B249" i="13"/>
  <c r="B253" i="13"/>
  <c r="B257" i="13"/>
  <c r="B261" i="13"/>
  <c r="B265" i="13"/>
  <c r="B269" i="13"/>
  <c r="B273" i="13"/>
  <c r="B277" i="13"/>
  <c r="B281" i="13"/>
  <c r="B285" i="13"/>
  <c r="B289" i="13"/>
  <c r="B295" i="13"/>
  <c r="B303" i="13"/>
  <c r="B311" i="13"/>
  <c r="B319" i="13"/>
  <c r="B327" i="13"/>
  <c r="B335" i="13"/>
  <c r="B390" i="13"/>
  <c r="B398" i="13"/>
  <c r="B406" i="13"/>
  <c r="B384" i="13"/>
  <c r="B392" i="13"/>
  <c r="B400" i="13"/>
  <c r="B408" i="13"/>
  <c r="B414" i="13"/>
  <c r="B416" i="13"/>
  <c r="B418" i="13"/>
  <c r="B420" i="13"/>
  <c r="B422" i="13"/>
  <c r="B424" i="13"/>
  <c r="B426" i="13"/>
  <c r="B428" i="13"/>
  <c r="B430" i="13"/>
  <c r="B432" i="13"/>
  <c r="B434" i="13"/>
  <c r="B436" i="13"/>
  <c r="B438" i="13"/>
  <c r="B440" i="13"/>
  <c r="B442" i="13"/>
  <c r="B444" i="13"/>
  <c r="B446" i="13"/>
  <c r="B448" i="13"/>
  <c r="B450" i="13"/>
  <c r="B386" i="13"/>
  <c r="B394" i="13"/>
  <c r="B402" i="13"/>
  <c r="B410" i="13"/>
  <c r="B388" i="13"/>
  <c r="B396" i="13"/>
  <c r="B404" i="13"/>
  <c r="B412" i="13"/>
  <c r="B415" i="13"/>
  <c r="B417" i="13"/>
  <c r="B419" i="13"/>
  <c r="B421" i="13"/>
  <c r="B423" i="13"/>
  <c r="B425" i="13"/>
  <c r="B427" i="13"/>
  <c r="B429" i="13"/>
  <c r="B431" i="13"/>
  <c r="B433" i="13"/>
  <c r="B435" i="13"/>
  <c r="B437" i="13"/>
  <c r="B439" i="13"/>
  <c r="B441" i="13"/>
  <c r="B443" i="13"/>
  <c r="B445" i="13"/>
  <c r="B447" i="13"/>
  <c r="B449" i="13"/>
  <c r="A59" i="3"/>
  <c r="A9" i="33"/>
  <c r="A12" i="33" s="1"/>
  <c r="C98" i="2"/>
  <c r="C178" i="2" s="1"/>
  <c r="B10" i="3"/>
  <c r="O10" i="3" s="1"/>
  <c r="C12" i="35"/>
  <c r="C12" i="34"/>
  <c r="C14" i="38"/>
  <c r="C12" i="38"/>
  <c r="C13" i="34"/>
  <c r="C13" i="38"/>
  <c r="C690" i="36"/>
  <c r="D690" i="36"/>
  <c r="E690" i="36" s="1"/>
  <c r="F690" i="36" s="1"/>
  <c r="G690" i="36" s="1"/>
  <c r="H690" i="36" s="1"/>
  <c r="I690" i="36" s="1"/>
  <c r="J690" i="36" s="1"/>
  <c r="K690" i="36" s="1"/>
  <c r="A690" i="36"/>
  <c r="C701" i="36"/>
  <c r="D701" i="36"/>
  <c r="E701" i="36" s="1"/>
  <c r="F701" i="36" s="1"/>
  <c r="G701" i="36" s="1"/>
  <c r="H701" i="36" s="1"/>
  <c r="I701" i="36" s="1"/>
  <c r="J701" i="36" s="1"/>
  <c r="K701" i="36" s="1"/>
  <c r="A701" i="36"/>
  <c r="D707" i="36"/>
  <c r="E707" i="36" s="1"/>
  <c r="F707" i="36" s="1"/>
  <c r="G707" i="36" s="1"/>
  <c r="H707" i="36" s="1"/>
  <c r="I707" i="36" s="1"/>
  <c r="J707" i="36" s="1"/>
  <c r="K707" i="36" s="1"/>
  <c r="C707" i="36"/>
  <c r="A707" i="36"/>
  <c r="C694" i="36"/>
  <c r="A694" i="36"/>
  <c r="D694" i="36"/>
  <c r="E694" i="36" s="1"/>
  <c r="F694" i="36" s="1"/>
  <c r="G694" i="36" s="1"/>
  <c r="H694" i="36" s="1"/>
  <c r="I694" i="36" s="1"/>
  <c r="J694" i="36" s="1"/>
  <c r="K694" i="36" s="1"/>
  <c r="D703" i="36"/>
  <c r="E703" i="36" s="1"/>
  <c r="F703" i="36" s="1"/>
  <c r="G703" i="36" s="1"/>
  <c r="H703" i="36" s="1"/>
  <c r="I703" i="36" s="1"/>
  <c r="J703" i="36" s="1"/>
  <c r="K703" i="36" s="1"/>
  <c r="C703" i="36"/>
  <c r="A703" i="36"/>
  <c r="C702" i="36"/>
  <c r="D702" i="36"/>
  <c r="E702" i="36" s="1"/>
  <c r="F702" i="36" s="1"/>
  <c r="G702" i="36" s="1"/>
  <c r="H702" i="36" s="1"/>
  <c r="I702" i="36" s="1"/>
  <c r="J702" i="36" s="1"/>
  <c r="K702" i="36" s="1"/>
  <c r="A702" i="36"/>
  <c r="C686" i="36"/>
  <c r="D686" i="36"/>
  <c r="E686" i="36" s="1"/>
  <c r="F686" i="36" s="1"/>
  <c r="G686" i="36" s="1"/>
  <c r="H686" i="36" s="1"/>
  <c r="I686" i="36" s="1"/>
  <c r="J686" i="36" s="1"/>
  <c r="K686" i="36" s="1"/>
  <c r="A686" i="36"/>
  <c r="D711" i="36"/>
  <c r="E711" i="36" s="1"/>
  <c r="F711" i="36" s="1"/>
  <c r="G711" i="36" s="1"/>
  <c r="H711" i="36" s="1"/>
  <c r="I711" i="36" s="1"/>
  <c r="J711" i="36" s="1"/>
  <c r="K711" i="36" s="1"/>
  <c r="C711" i="36"/>
  <c r="A711" i="36"/>
  <c r="C710" i="36"/>
  <c r="A710" i="36"/>
  <c r="D710" i="36"/>
  <c r="E710" i="36" s="1"/>
  <c r="F710" i="36" s="1"/>
  <c r="G710" i="36" s="1"/>
  <c r="H710" i="36" s="1"/>
  <c r="I710" i="36" s="1"/>
  <c r="J710" i="36" s="1"/>
  <c r="K710" i="36" s="1"/>
  <c r="D695" i="36"/>
  <c r="E695" i="36" s="1"/>
  <c r="F695" i="36" s="1"/>
  <c r="G695" i="36" s="1"/>
  <c r="H695" i="36" s="1"/>
  <c r="I695" i="36" s="1"/>
  <c r="J695" i="36" s="1"/>
  <c r="K695" i="36" s="1"/>
  <c r="A695" i="36"/>
  <c r="C695" i="36"/>
  <c r="A704" i="36"/>
  <c r="D704" i="36"/>
  <c r="E704" i="36" s="1"/>
  <c r="F704" i="36" s="1"/>
  <c r="G704" i="36" s="1"/>
  <c r="H704" i="36" s="1"/>
  <c r="I704" i="36" s="1"/>
  <c r="J704" i="36" s="1"/>
  <c r="K704" i="36" s="1"/>
  <c r="C704" i="36"/>
  <c r="D691" i="36"/>
  <c r="E691" i="36" s="1"/>
  <c r="F691" i="36" s="1"/>
  <c r="G691" i="36" s="1"/>
  <c r="H691" i="36" s="1"/>
  <c r="I691" i="36" s="1"/>
  <c r="J691" i="36" s="1"/>
  <c r="K691" i="36" s="1"/>
  <c r="C691" i="36"/>
  <c r="A691" i="36"/>
  <c r="C698" i="36"/>
  <c r="D698" i="36"/>
  <c r="E698" i="36" s="1"/>
  <c r="F698" i="36" s="1"/>
  <c r="G698" i="36" s="1"/>
  <c r="H698" i="36" s="1"/>
  <c r="I698" i="36" s="1"/>
  <c r="J698" i="36" s="1"/>
  <c r="K698" i="36" s="1"/>
  <c r="A698" i="36"/>
  <c r="D699" i="36"/>
  <c r="E699" i="36" s="1"/>
  <c r="F699" i="36" s="1"/>
  <c r="G699" i="36" s="1"/>
  <c r="H699" i="36" s="1"/>
  <c r="I699" i="36" s="1"/>
  <c r="J699" i="36" s="1"/>
  <c r="K699" i="36" s="1"/>
  <c r="C699" i="36"/>
  <c r="A699" i="36"/>
  <c r="A700" i="36"/>
  <c r="C700" i="36"/>
  <c r="D700" i="36"/>
  <c r="E700" i="36" s="1"/>
  <c r="F700" i="36" s="1"/>
  <c r="G700" i="36" s="1"/>
  <c r="H700" i="36" s="1"/>
  <c r="I700" i="36" s="1"/>
  <c r="J700" i="36" s="1"/>
  <c r="K700" i="36" s="1"/>
  <c r="D697" i="36"/>
  <c r="E697" i="36" s="1"/>
  <c r="F697" i="36" s="1"/>
  <c r="G697" i="36" s="1"/>
  <c r="H697" i="36" s="1"/>
  <c r="I697" i="36" s="1"/>
  <c r="J697" i="36" s="1"/>
  <c r="K697" i="36" s="1"/>
  <c r="A697" i="36"/>
  <c r="C697" i="36"/>
  <c r="A692" i="36"/>
  <c r="C692" i="36"/>
  <c r="D692" i="36"/>
  <c r="E692" i="36" s="1"/>
  <c r="F692" i="36" s="1"/>
  <c r="G692" i="36" s="1"/>
  <c r="H692" i="36" s="1"/>
  <c r="I692" i="36" s="1"/>
  <c r="J692" i="36" s="1"/>
  <c r="K692" i="36" s="1"/>
  <c r="A688" i="36"/>
  <c r="D688" i="36"/>
  <c r="E688" i="36" s="1"/>
  <c r="F688" i="36" s="1"/>
  <c r="G688" i="36" s="1"/>
  <c r="H688" i="36" s="1"/>
  <c r="I688" i="36" s="1"/>
  <c r="J688" i="36" s="1"/>
  <c r="K688" i="36" s="1"/>
  <c r="C688" i="36"/>
  <c r="C687" i="36"/>
  <c r="A687" i="36"/>
  <c r="D687" i="36"/>
  <c r="E687" i="36" s="1"/>
  <c r="F687" i="36" s="1"/>
  <c r="G687" i="36" s="1"/>
  <c r="H687" i="36" s="1"/>
  <c r="I687" i="36" s="1"/>
  <c r="J687" i="36" s="1"/>
  <c r="K687" i="36" s="1"/>
  <c r="A712" i="36"/>
  <c r="D712" i="36"/>
  <c r="E712" i="36" s="1"/>
  <c r="F712" i="36" s="1"/>
  <c r="G712" i="36" s="1"/>
  <c r="H712" i="36" s="1"/>
  <c r="I712" i="36" s="1"/>
  <c r="J712" i="36" s="1"/>
  <c r="K712" i="36" s="1"/>
  <c r="C712" i="36"/>
  <c r="A696" i="36"/>
  <c r="D696" i="36"/>
  <c r="E696" i="36" s="1"/>
  <c r="F696" i="36" s="1"/>
  <c r="G696" i="36" s="1"/>
  <c r="H696" i="36" s="1"/>
  <c r="I696" i="36" s="1"/>
  <c r="J696" i="36" s="1"/>
  <c r="K696" i="36" s="1"/>
  <c r="C696" i="36"/>
  <c r="C693" i="36"/>
  <c r="D693" i="36"/>
  <c r="E693" i="36" s="1"/>
  <c r="F693" i="36" s="1"/>
  <c r="G693" i="36" s="1"/>
  <c r="H693" i="36" s="1"/>
  <c r="I693" i="36" s="1"/>
  <c r="J693" i="36" s="1"/>
  <c r="K693" i="36" s="1"/>
  <c r="A693" i="36"/>
  <c r="C706" i="36"/>
  <c r="D706" i="36"/>
  <c r="E706" i="36" s="1"/>
  <c r="F706" i="36" s="1"/>
  <c r="G706" i="36" s="1"/>
  <c r="H706" i="36" s="1"/>
  <c r="I706" i="36" s="1"/>
  <c r="J706" i="36" s="1"/>
  <c r="K706" i="36" s="1"/>
  <c r="A706" i="36"/>
  <c r="A708" i="36"/>
  <c r="C708" i="36"/>
  <c r="D708" i="36"/>
  <c r="E708" i="36" s="1"/>
  <c r="F708" i="36" s="1"/>
  <c r="G708" i="36" s="1"/>
  <c r="H708" i="36" s="1"/>
  <c r="I708" i="36" s="1"/>
  <c r="J708" i="36" s="1"/>
  <c r="K708" i="36" s="1"/>
  <c r="A709" i="36"/>
  <c r="C709" i="36"/>
  <c r="D709" i="36"/>
  <c r="E709" i="36" s="1"/>
  <c r="F709" i="36" s="1"/>
  <c r="G709" i="36" s="1"/>
  <c r="H709" i="36" s="1"/>
  <c r="I709" i="36" s="1"/>
  <c r="J709" i="36" s="1"/>
  <c r="K709" i="36" s="1"/>
  <c r="C705" i="36"/>
  <c r="D705" i="36"/>
  <c r="E705" i="36" s="1"/>
  <c r="F705" i="36" s="1"/>
  <c r="G705" i="36" s="1"/>
  <c r="H705" i="36" s="1"/>
  <c r="I705" i="36" s="1"/>
  <c r="J705" i="36" s="1"/>
  <c r="K705" i="36" s="1"/>
  <c r="A705" i="36"/>
  <c r="C689" i="36"/>
  <c r="A689" i="36"/>
  <c r="D689" i="36"/>
  <c r="E689" i="36" s="1"/>
  <c r="F689" i="36" s="1"/>
  <c r="G689" i="36" s="1"/>
  <c r="H689" i="36" s="1"/>
  <c r="I689" i="36" s="1"/>
  <c r="J689" i="36" s="1"/>
  <c r="K689" i="36" s="1"/>
  <c r="C12" i="36"/>
  <c r="C13" i="36"/>
  <c r="D14" i="34"/>
  <c r="D14" i="35"/>
  <c r="J98" i="2"/>
  <c r="D15" i="36"/>
  <c r="D12" i="13"/>
  <c r="E12" i="36"/>
  <c r="D16" i="38"/>
  <c r="D14" i="36"/>
  <c r="E13" i="36"/>
  <c r="D13" i="35"/>
  <c r="J46" i="2"/>
  <c r="E12" i="38"/>
  <c r="E12" i="35"/>
  <c r="E13" i="38"/>
  <c r="E12" i="34"/>
  <c r="E13" i="34"/>
  <c r="E14" i="38"/>
  <c r="D15" i="34"/>
  <c r="C15" i="34" l="1"/>
  <c r="C14" i="34"/>
  <c r="A16" i="34"/>
  <c r="C13" i="35"/>
  <c r="D98" i="2"/>
  <c r="C16" i="38"/>
  <c r="A17" i="38"/>
  <c r="C14" i="35"/>
  <c r="A15" i="35"/>
  <c r="D178" i="2"/>
  <c r="B46" i="2"/>
  <c r="C14" i="36"/>
  <c r="C12" i="13"/>
  <c r="B98" i="2"/>
  <c r="D450" i="13"/>
  <c r="E450" i="13" s="1"/>
  <c r="F450" i="13" s="1"/>
  <c r="G450" i="13" s="1"/>
  <c r="H450" i="13" s="1"/>
  <c r="I450" i="13" s="1"/>
  <c r="J450" i="13" s="1"/>
  <c r="K450" i="13" s="1"/>
  <c r="C450" i="13"/>
  <c r="A450" i="13"/>
  <c r="A13" i="13"/>
  <c r="A14" i="13" s="1"/>
  <c r="A60" i="3"/>
  <c r="A13" i="33"/>
  <c r="C47" i="2"/>
  <c r="C99" i="2"/>
  <c r="B11" i="3"/>
  <c r="O11" i="3" s="1"/>
  <c r="C15" i="36"/>
  <c r="A16" i="36"/>
  <c r="E13" i="35"/>
  <c r="F12" i="36"/>
  <c r="F13" i="34"/>
  <c r="E16" i="38"/>
  <c r="F14" i="38"/>
  <c r="E15" i="36"/>
  <c r="E15" i="34"/>
  <c r="F12" i="38"/>
  <c r="F12" i="35"/>
  <c r="E12" i="13"/>
  <c r="F12" i="34"/>
  <c r="F13" i="36"/>
  <c r="D14" i="13"/>
  <c r="D15" i="38"/>
  <c r="E14" i="34"/>
  <c r="E14" i="36"/>
  <c r="J47" i="2"/>
  <c r="F13" i="38"/>
  <c r="E14" i="35"/>
  <c r="D13" i="13"/>
  <c r="D15" i="35"/>
  <c r="J99" i="2"/>
  <c r="D16" i="36"/>
  <c r="D17" i="38"/>
  <c r="A17" i="34" l="1"/>
  <c r="C15" i="38"/>
  <c r="C17" i="38"/>
  <c r="A18" i="38"/>
  <c r="C15" i="35"/>
  <c r="A16" i="35"/>
  <c r="C13" i="13"/>
  <c r="C14" i="13"/>
  <c r="A15" i="13"/>
  <c r="A14" i="33"/>
  <c r="A15" i="33" s="1"/>
  <c r="A16" i="33" s="1"/>
  <c r="B12" i="3"/>
  <c r="O12" i="3" s="1"/>
  <c r="C179" i="2"/>
  <c r="B99" i="2"/>
  <c r="C48" i="2"/>
  <c r="C100" i="2"/>
  <c r="B47" i="2"/>
  <c r="D179" i="2"/>
  <c r="D99" i="2"/>
  <c r="C16" i="36"/>
  <c r="A17" i="36"/>
  <c r="F14" i="34"/>
  <c r="F15" i="34"/>
  <c r="F13" i="35"/>
  <c r="E17" i="38"/>
  <c r="D16" i="34"/>
  <c r="E15" i="35"/>
  <c r="F14" i="35"/>
  <c r="F16" i="38"/>
  <c r="D16" i="35"/>
  <c r="E15" i="38"/>
  <c r="D18" i="38"/>
  <c r="J100" i="2"/>
  <c r="C16" i="34" l="1"/>
  <c r="A18" i="34"/>
  <c r="C18" i="38"/>
  <c r="A19" i="38"/>
  <c r="C16" i="35"/>
  <c r="A17" i="35"/>
  <c r="A17" i="33"/>
  <c r="B15" i="3" s="1"/>
  <c r="O15" i="3" s="1"/>
  <c r="A16" i="13"/>
  <c r="C101" i="2"/>
  <c r="C49" i="2"/>
  <c r="B14" i="3"/>
  <c r="O14" i="3" s="1"/>
  <c r="B13" i="3"/>
  <c r="O13" i="3" s="1"/>
  <c r="C180" i="2"/>
  <c r="B100" i="2"/>
  <c r="D180" i="2"/>
  <c r="B48" i="2"/>
  <c r="D100" i="2"/>
  <c r="A18" i="36"/>
  <c r="E16" i="34"/>
  <c r="G12" i="38"/>
  <c r="E16" i="36"/>
  <c r="F17" i="38"/>
  <c r="E13" i="13"/>
  <c r="G14" i="35"/>
  <c r="E14" i="13"/>
  <c r="G16" i="38"/>
  <c r="D19" i="38"/>
  <c r="F15" i="38"/>
  <c r="G13" i="34"/>
  <c r="D15" i="13"/>
  <c r="G13" i="35"/>
  <c r="D17" i="35"/>
  <c r="J48" i="2"/>
  <c r="E18" i="38"/>
  <c r="G15" i="34"/>
  <c r="F14" i="36"/>
  <c r="D17" i="34"/>
  <c r="G13" i="36"/>
  <c r="F15" i="35"/>
  <c r="E16" i="35"/>
  <c r="D16" i="13"/>
  <c r="F12" i="13"/>
  <c r="G12" i="35"/>
  <c r="J101" i="2"/>
  <c r="G14" i="34"/>
  <c r="F15" i="36"/>
  <c r="G12" i="34"/>
  <c r="G12" i="36"/>
  <c r="D17" i="36"/>
  <c r="G14" i="38"/>
  <c r="G13" i="38"/>
  <c r="J49" i="2"/>
  <c r="D18" i="36"/>
  <c r="C17" i="34" l="1"/>
  <c r="A19" i="34"/>
  <c r="A18" i="33"/>
  <c r="B16" i="3" s="1"/>
  <c r="O16" i="3" s="1"/>
  <c r="C19" i="38"/>
  <c r="A20" i="38"/>
  <c r="C17" i="35"/>
  <c r="A18" i="35"/>
  <c r="C104" i="2"/>
  <c r="C184" i="2" s="1"/>
  <c r="C52" i="2"/>
  <c r="B52" i="2" s="1"/>
  <c r="H14" i="35"/>
  <c r="H13" i="35"/>
  <c r="C17" i="36"/>
  <c r="H14" i="38"/>
  <c r="H12" i="38"/>
  <c r="H12" i="34"/>
  <c r="H12" i="36"/>
  <c r="H13" i="36"/>
  <c r="H13" i="38"/>
  <c r="H13" i="34"/>
  <c r="H16" i="38"/>
  <c r="H14" i="34"/>
  <c r="H15" i="34"/>
  <c r="H12" i="35"/>
  <c r="C15" i="13"/>
  <c r="C16" i="13"/>
  <c r="A17" i="13"/>
  <c r="B17" i="3"/>
  <c r="C50" i="2"/>
  <c r="C102" i="2"/>
  <c r="C51" i="2"/>
  <c r="C103" i="2"/>
  <c r="B49" i="2"/>
  <c r="D181" i="2"/>
  <c r="D101" i="2"/>
  <c r="C181" i="2"/>
  <c r="B101" i="2"/>
  <c r="D184" i="2"/>
  <c r="C18" i="36"/>
  <c r="A19" i="36"/>
  <c r="G17" i="38"/>
  <c r="E19" i="38"/>
  <c r="D18" i="35"/>
  <c r="G12" i="13"/>
  <c r="E16" i="13"/>
  <c r="G15" i="38"/>
  <c r="D17" i="13"/>
  <c r="E17" i="34"/>
  <c r="F13" i="13"/>
  <c r="E15" i="13"/>
  <c r="F16" i="34"/>
  <c r="E17" i="35"/>
  <c r="E17" i="36"/>
  <c r="D20" i="38"/>
  <c r="J102" i="2"/>
  <c r="D18" i="34"/>
  <c r="F16" i="35"/>
  <c r="F18" i="38"/>
  <c r="F14" i="13"/>
  <c r="J51" i="2"/>
  <c r="G15" i="36"/>
  <c r="E18" i="36"/>
  <c r="D19" i="36"/>
  <c r="G14" i="36"/>
  <c r="F16" i="36"/>
  <c r="G15" i="35"/>
  <c r="J103" i="2"/>
  <c r="J50" i="2"/>
  <c r="C18" i="34" l="1"/>
  <c r="C105" i="2"/>
  <c r="C185" i="2" s="1"/>
  <c r="A20" i="34"/>
  <c r="C53" i="2"/>
  <c r="A19" i="33"/>
  <c r="A20" i="33" s="1"/>
  <c r="B18" i="3" s="1"/>
  <c r="O18" i="3" s="1"/>
  <c r="H15" i="38"/>
  <c r="D104" i="2"/>
  <c r="B104" i="2"/>
  <c r="H17" i="38"/>
  <c r="H15" i="35"/>
  <c r="C20" i="38"/>
  <c r="A21" i="38"/>
  <c r="C18" i="35"/>
  <c r="A19" i="35"/>
  <c r="H12" i="13"/>
  <c r="H14" i="36"/>
  <c r="H15" i="36"/>
  <c r="C106" i="2"/>
  <c r="C186" i="2" s="1"/>
  <c r="O17" i="3"/>
  <c r="C17" i="13"/>
  <c r="A18" i="13"/>
  <c r="C54" i="2"/>
  <c r="B105" i="2"/>
  <c r="B103" i="2"/>
  <c r="C183" i="2"/>
  <c r="B51" i="2"/>
  <c r="D183" i="2"/>
  <c r="D103" i="2"/>
  <c r="B102" i="2"/>
  <c r="C182" i="2"/>
  <c r="D182" i="2"/>
  <c r="B50" i="2"/>
  <c r="D102" i="2"/>
  <c r="C55" i="2"/>
  <c r="C107" i="2"/>
  <c r="A21" i="33"/>
  <c r="C19" i="36"/>
  <c r="A20" i="36"/>
  <c r="E18" i="34"/>
  <c r="G16" i="36"/>
  <c r="D18" i="13"/>
  <c r="J52" i="2"/>
  <c r="F15" i="13"/>
  <c r="E20" i="38"/>
  <c r="G16" i="35"/>
  <c r="E18" i="35"/>
  <c r="G18" i="38"/>
  <c r="J104" i="2"/>
  <c r="E19" i="36"/>
  <c r="F17" i="35"/>
  <c r="G16" i="34"/>
  <c r="F17" i="36"/>
  <c r="F18" i="36"/>
  <c r="F16" i="13"/>
  <c r="E17" i="13"/>
  <c r="G13" i="13"/>
  <c r="F17" i="34"/>
  <c r="J54" i="2"/>
  <c r="D19" i="34"/>
  <c r="D21" i="38"/>
  <c r="G14" i="13"/>
  <c r="D19" i="35"/>
  <c r="F19" i="38"/>
  <c r="D20" i="36"/>
  <c r="J107" i="2"/>
  <c r="J106" i="2"/>
  <c r="C19" i="34" l="1"/>
  <c r="H16" i="34"/>
  <c r="D105" i="2"/>
  <c r="A21" i="34"/>
  <c r="B53" i="2"/>
  <c r="D185" i="2"/>
  <c r="D107" i="2"/>
  <c r="B54" i="2"/>
  <c r="H16" i="35"/>
  <c r="H18" i="38"/>
  <c r="C21" i="38"/>
  <c r="A22" i="38"/>
  <c r="C19" i="35"/>
  <c r="A20" i="35"/>
  <c r="H13" i="13"/>
  <c r="H14" i="13"/>
  <c r="H16" i="36"/>
  <c r="B106" i="2"/>
  <c r="D106" i="2"/>
  <c r="C18" i="13"/>
  <c r="A19" i="13"/>
  <c r="D186" i="2"/>
  <c r="C187" i="2"/>
  <c r="B107" i="2"/>
  <c r="A22" i="33"/>
  <c r="B55" i="2"/>
  <c r="D187" i="2"/>
  <c r="C20" i="36"/>
  <c r="A21" i="36"/>
  <c r="D20" i="34"/>
  <c r="F18" i="35"/>
  <c r="G18" i="36"/>
  <c r="G19" i="38"/>
  <c r="D20" i="35"/>
  <c r="E18" i="13"/>
  <c r="E19" i="35"/>
  <c r="J55" i="2"/>
  <c r="E19" i="34"/>
  <c r="E20" i="36"/>
  <c r="G17" i="36"/>
  <c r="G17" i="34"/>
  <c r="E21" i="38"/>
  <c r="F19" i="36"/>
  <c r="F18" i="34"/>
  <c r="G16" i="13"/>
  <c r="G15" i="13"/>
  <c r="J53" i="2"/>
  <c r="J105" i="2"/>
  <c r="D22" i="38"/>
  <c r="F17" i="13"/>
  <c r="G17" i="35"/>
  <c r="F20" i="38"/>
  <c r="D21" i="36"/>
  <c r="D19" i="13"/>
  <c r="H17" i="34" l="1"/>
  <c r="C20" i="34"/>
  <c r="A22" i="34"/>
  <c r="H19" i="38"/>
  <c r="H17" i="35"/>
  <c r="C22" i="38"/>
  <c r="A23" i="38"/>
  <c r="C20" i="35"/>
  <c r="A21" i="35"/>
  <c r="H15" i="13"/>
  <c r="H17" i="36"/>
  <c r="H16" i="13"/>
  <c r="C19" i="13"/>
  <c r="A20" i="13"/>
  <c r="A23" i="33"/>
  <c r="H18" i="36"/>
  <c r="C21" i="36"/>
  <c r="A22" i="36"/>
  <c r="G18" i="35"/>
  <c r="E19" i="13"/>
  <c r="F19" i="34"/>
  <c r="G19" i="36"/>
  <c r="D21" i="35"/>
  <c r="F20" i="36"/>
  <c r="F19" i="35"/>
  <c r="D23" i="38"/>
  <c r="F18" i="13"/>
  <c r="E20" i="34"/>
  <c r="G20" i="38"/>
  <c r="F21" i="38"/>
  <c r="D20" i="13"/>
  <c r="G17" i="13"/>
  <c r="E21" i="36"/>
  <c r="G18" i="34"/>
  <c r="D21" i="34"/>
  <c r="E22" i="38"/>
  <c r="E20" i="35"/>
  <c r="D22" i="36"/>
  <c r="C21" i="34" l="1"/>
  <c r="H18" i="34"/>
  <c r="A23" i="34"/>
  <c r="H18" i="35"/>
  <c r="H20" i="38"/>
  <c r="C23" i="38"/>
  <c r="A24" i="38"/>
  <c r="C21" i="35"/>
  <c r="A22" i="35"/>
  <c r="H17" i="13"/>
  <c r="C20" i="13"/>
  <c r="A21" i="13"/>
  <c r="A24" i="33"/>
  <c r="H19" i="36"/>
  <c r="C22" i="36"/>
  <c r="A23" i="36"/>
  <c r="E21" i="34"/>
  <c r="F22" i="38"/>
  <c r="G20" i="36"/>
  <c r="G21" i="38"/>
  <c r="E22" i="36"/>
  <c r="F20" i="35"/>
  <c r="D21" i="13"/>
  <c r="E23" i="38"/>
  <c r="G18" i="13"/>
  <c r="D23" i="36"/>
  <c r="F20" i="34"/>
  <c r="F21" i="36"/>
  <c r="G19" i="34"/>
  <c r="E21" i="35"/>
  <c r="G19" i="35"/>
  <c r="F19" i="13"/>
  <c r="D22" i="34"/>
  <c r="E20" i="13"/>
  <c r="D22" i="35"/>
  <c r="D24" i="38"/>
  <c r="C22" i="34" l="1"/>
  <c r="H19" i="34"/>
  <c r="A24" i="34"/>
  <c r="H21" i="38"/>
  <c r="H19" i="35"/>
  <c r="C24" i="38"/>
  <c r="A25" i="38"/>
  <c r="C22" i="35"/>
  <c r="A23" i="35"/>
  <c r="H18" i="13"/>
  <c r="C21" i="13"/>
  <c r="A22" i="13"/>
  <c r="A25" i="33"/>
  <c r="H20" i="36"/>
  <c r="C23" i="36"/>
  <c r="A24" i="36"/>
  <c r="E22" i="34"/>
  <c r="G19" i="13"/>
  <c r="E21" i="13"/>
  <c r="G21" i="36"/>
  <c r="D25" i="38"/>
  <c r="D24" i="36"/>
  <c r="G20" i="34"/>
  <c r="E23" i="36"/>
  <c r="F22" i="36"/>
  <c r="F20" i="13"/>
  <c r="G20" i="35"/>
  <c r="F21" i="34"/>
  <c r="G22" i="38"/>
  <c r="F21" i="35"/>
  <c r="D23" i="34"/>
  <c r="F23" i="38"/>
  <c r="E22" i="35"/>
  <c r="D22" i="13"/>
  <c r="D23" i="35"/>
  <c r="E24" i="38"/>
  <c r="C23" i="34" l="1"/>
  <c r="H20" i="34"/>
  <c r="A25" i="34"/>
  <c r="H22" i="38"/>
  <c r="H20" i="35"/>
  <c r="C25" i="38"/>
  <c r="A26" i="38"/>
  <c r="C23" i="35"/>
  <c r="A24" i="35"/>
  <c r="H19" i="13"/>
  <c r="C22" i="13"/>
  <c r="A23" i="13"/>
  <c r="A27" i="33"/>
  <c r="H21" i="36"/>
  <c r="C24" i="36"/>
  <c r="A25" i="36"/>
  <c r="F24" i="38"/>
  <c r="E25" i="38"/>
  <c r="E23" i="34"/>
  <c r="G23" i="38"/>
  <c r="G22" i="36"/>
  <c r="E24" i="36"/>
  <c r="F22" i="35"/>
  <c r="D23" i="13"/>
  <c r="G21" i="35"/>
  <c r="G21" i="34"/>
  <c r="F23" i="36"/>
  <c r="E22" i="13"/>
  <c r="F22" i="34"/>
  <c r="G20" i="13"/>
  <c r="D24" i="34"/>
  <c r="F21" i="13"/>
  <c r="D25" i="36"/>
  <c r="E23" i="35"/>
  <c r="D24" i="35"/>
  <c r="D26" i="38"/>
  <c r="C24" i="34" l="1"/>
  <c r="H21" i="34"/>
  <c r="A26" i="34"/>
  <c r="H23" i="38"/>
  <c r="H21" i="35"/>
  <c r="C26" i="38"/>
  <c r="A27" i="38"/>
  <c r="C24" i="35"/>
  <c r="A25" i="35"/>
  <c r="H20" i="13"/>
  <c r="C23" i="13"/>
  <c r="A24" i="13"/>
  <c r="A28" i="33"/>
  <c r="H22" i="36"/>
  <c r="C25" i="36"/>
  <c r="A26" i="36"/>
  <c r="G21" i="13"/>
  <c r="E23" i="13"/>
  <c r="D24" i="13"/>
  <c r="E24" i="35"/>
  <c r="G22" i="35"/>
  <c r="E24" i="34"/>
  <c r="G23" i="36"/>
  <c r="F22" i="13"/>
  <c r="G22" i="34"/>
  <c r="E26" i="38"/>
  <c r="D26" i="36"/>
  <c r="G24" i="38"/>
  <c r="F23" i="34"/>
  <c r="F25" i="38"/>
  <c r="D25" i="34"/>
  <c r="F23" i="35"/>
  <c r="F24" i="36"/>
  <c r="E25" i="36"/>
  <c r="D25" i="35"/>
  <c r="D27" i="38"/>
  <c r="C25" i="34" l="1"/>
  <c r="H22" i="34"/>
  <c r="A27" i="34"/>
  <c r="H22" i="35"/>
  <c r="H24" i="38"/>
  <c r="C27" i="38"/>
  <c r="A28" i="38"/>
  <c r="C25" i="35"/>
  <c r="A26" i="35"/>
  <c r="H21" i="13"/>
  <c r="C24" i="13"/>
  <c r="A25" i="13"/>
  <c r="A29" i="33"/>
  <c r="H23" i="36"/>
  <c r="C26" i="36"/>
  <c r="A27" i="36"/>
  <c r="E25" i="34"/>
  <c r="G23" i="35"/>
  <c r="F25" i="36"/>
  <c r="G23" i="34"/>
  <c r="D27" i="36"/>
  <c r="D25" i="13"/>
  <c r="G24" i="36"/>
  <c r="D26" i="35"/>
  <c r="E24" i="13"/>
  <c r="E26" i="36"/>
  <c r="E25" i="35"/>
  <c r="F24" i="34"/>
  <c r="G22" i="13"/>
  <c r="F26" i="38"/>
  <c r="D26" i="34"/>
  <c r="G25" i="38"/>
  <c r="F24" i="35"/>
  <c r="E27" i="38"/>
  <c r="F23" i="13"/>
  <c r="D28" i="38"/>
  <c r="C26" i="34" l="1"/>
  <c r="H23" i="34"/>
  <c r="A28" i="34"/>
  <c r="H23" i="35"/>
  <c r="H25" i="38"/>
  <c r="C28" i="38"/>
  <c r="A29" i="38"/>
  <c r="C26" i="35"/>
  <c r="A27" i="35"/>
  <c r="H22" i="13"/>
  <c r="C25" i="13"/>
  <c r="A26" i="13"/>
  <c r="A30" i="33"/>
  <c r="H24" i="36"/>
  <c r="C27" i="36"/>
  <c r="A28" i="36"/>
  <c r="E26" i="34"/>
  <c r="F27" i="38"/>
  <c r="E26" i="35"/>
  <c r="D28" i="36"/>
  <c r="E25" i="13"/>
  <c r="F26" i="36"/>
  <c r="F25" i="35"/>
  <c r="G23" i="13"/>
  <c r="F24" i="13"/>
  <c r="D29" i="38"/>
  <c r="G24" i="34"/>
  <c r="D26" i="13"/>
  <c r="F25" i="34"/>
  <c r="G26" i="38"/>
  <c r="E28" i="38"/>
  <c r="G25" i="36"/>
  <c r="D27" i="34"/>
  <c r="G24" i="35"/>
  <c r="E27" i="36"/>
  <c r="D27" i="35"/>
  <c r="C27" i="34" l="1"/>
  <c r="H24" i="34"/>
  <c r="A29" i="34"/>
  <c r="H24" i="35"/>
  <c r="H26" i="38"/>
  <c r="C29" i="38"/>
  <c r="A30" i="38"/>
  <c r="C27" i="35"/>
  <c r="A28" i="35"/>
  <c r="H23" i="13"/>
  <c r="C26" i="13"/>
  <c r="A27" i="13"/>
  <c r="A31" i="33"/>
  <c r="H25" i="36"/>
  <c r="C28" i="36"/>
  <c r="A29" i="36"/>
  <c r="F26" i="35"/>
  <c r="G25" i="34"/>
  <c r="G26" i="36"/>
  <c r="G25" i="35"/>
  <c r="D29" i="36"/>
  <c r="F27" i="36"/>
  <c r="F26" i="34"/>
  <c r="F28" i="38"/>
  <c r="G27" i="38"/>
  <c r="D28" i="35"/>
  <c r="E28" i="36"/>
  <c r="D28" i="34"/>
  <c r="F25" i="13"/>
  <c r="G24" i="13"/>
  <c r="E26" i="13"/>
  <c r="D30" i="38"/>
  <c r="E27" i="35"/>
  <c r="E27" i="34"/>
  <c r="E29" i="38"/>
  <c r="D27" i="13"/>
  <c r="C28" i="34" l="1"/>
  <c r="H25" i="34"/>
  <c r="A30" i="34"/>
  <c r="H25" i="35"/>
  <c r="H27" i="38"/>
  <c r="C30" i="38"/>
  <c r="A31" i="38"/>
  <c r="C28" i="35"/>
  <c r="A29" i="35"/>
  <c r="H24" i="13"/>
  <c r="C27" i="13"/>
  <c r="A28" i="13"/>
  <c r="A32" i="33"/>
  <c r="H26" i="36"/>
  <c r="C29" i="36"/>
  <c r="A30" i="36"/>
  <c r="D31" i="38"/>
  <c r="E28" i="34"/>
  <c r="F27" i="35"/>
  <c r="D30" i="36"/>
  <c r="G26" i="34"/>
  <c r="D29" i="35"/>
  <c r="D28" i="13"/>
  <c r="F26" i="13"/>
  <c r="D29" i="34"/>
  <c r="E29" i="36"/>
  <c r="F27" i="34"/>
  <c r="E30" i="38"/>
  <c r="G28" i="38"/>
  <c r="F29" i="38"/>
  <c r="E27" i="13"/>
  <c r="G26" i="35"/>
  <c r="G27" i="36"/>
  <c r="F28" i="36"/>
  <c r="G25" i="13"/>
  <c r="E28" i="35"/>
  <c r="C29" i="34" l="1"/>
  <c r="H26" i="34"/>
  <c r="A31" i="34"/>
  <c r="H26" i="35"/>
  <c r="H28" i="38"/>
  <c r="C31" i="38"/>
  <c r="A32" i="38"/>
  <c r="C29" i="35"/>
  <c r="A30" i="35"/>
  <c r="H25" i="13"/>
  <c r="C28" i="13"/>
  <c r="A29" i="13"/>
  <c r="A34" i="33"/>
  <c r="H27" i="36"/>
  <c r="C30" i="36"/>
  <c r="A31" i="36"/>
  <c r="E30" i="36"/>
  <c r="F27" i="13"/>
  <c r="E29" i="34"/>
  <c r="E29" i="35"/>
  <c r="D31" i="36"/>
  <c r="F28" i="34"/>
  <c r="F29" i="36"/>
  <c r="F28" i="35"/>
  <c r="E31" i="38"/>
  <c r="E28" i="13"/>
  <c r="D32" i="38"/>
  <c r="G29" i="38"/>
  <c r="G28" i="36"/>
  <c r="D30" i="34"/>
  <c r="G26" i="13"/>
  <c r="F30" i="38"/>
  <c r="G27" i="35"/>
  <c r="G27" i="34"/>
  <c r="D30" i="35"/>
  <c r="D29" i="13"/>
  <c r="H27" i="34" l="1"/>
  <c r="C30" i="34"/>
  <c r="A32" i="34"/>
  <c r="H29" i="38"/>
  <c r="H27" i="35"/>
  <c r="C32" i="38"/>
  <c r="A33" i="38"/>
  <c r="C30" i="35"/>
  <c r="A31" i="35"/>
  <c r="H26" i="13"/>
  <c r="C29" i="13"/>
  <c r="A30" i="13"/>
  <c r="A35" i="33"/>
  <c r="H28" i="36"/>
  <c r="C31" i="36"/>
  <c r="A32" i="36"/>
  <c r="G27" i="13"/>
  <c r="F30" i="36"/>
  <c r="D32" i="36"/>
  <c r="F29" i="34"/>
  <c r="E30" i="34"/>
  <c r="E30" i="35"/>
  <c r="D31" i="35"/>
  <c r="G28" i="35"/>
  <c r="G28" i="34"/>
  <c r="F28" i="13"/>
  <c r="F31" i="38"/>
  <c r="D31" i="34"/>
  <c r="F29" i="35"/>
  <c r="G30" i="38"/>
  <c r="E31" i="36"/>
  <c r="E29" i="13"/>
  <c r="E32" i="38"/>
  <c r="G29" i="36"/>
  <c r="D30" i="13"/>
  <c r="D33" i="38"/>
  <c r="C31" i="34" l="1"/>
  <c r="H28" i="34"/>
  <c r="A33" i="34"/>
  <c r="H30" i="38"/>
  <c r="H28" i="35"/>
  <c r="C33" i="38"/>
  <c r="A34" i="38"/>
  <c r="C31" i="35"/>
  <c r="A32" i="35"/>
  <c r="H27" i="13"/>
  <c r="C30" i="13"/>
  <c r="A31" i="13"/>
  <c r="A36" i="33"/>
  <c r="A37" i="33" s="1"/>
  <c r="A38" i="33" s="1"/>
  <c r="H29" i="36"/>
  <c r="C32" i="36"/>
  <c r="A33" i="36"/>
  <c r="E31" i="34"/>
  <c r="F30" i="35"/>
  <c r="G31" i="38"/>
  <c r="F31" i="36"/>
  <c r="D31" i="13"/>
  <c r="G29" i="34"/>
  <c r="E31" i="35"/>
  <c r="E33" i="38"/>
  <c r="F30" i="34"/>
  <c r="E30" i="13"/>
  <c r="D32" i="35"/>
  <c r="F29" i="13"/>
  <c r="F32" i="38"/>
  <c r="G30" i="36"/>
  <c r="D33" i="36"/>
  <c r="G29" i="35"/>
  <c r="D32" i="34"/>
  <c r="E32" i="36"/>
  <c r="G28" i="13"/>
  <c r="D34" i="38"/>
  <c r="C32" i="34" l="1"/>
  <c r="H29" i="34"/>
  <c r="A34" i="34"/>
  <c r="H31" i="38"/>
  <c r="H29" i="35"/>
  <c r="C34" i="38"/>
  <c r="A35" i="38"/>
  <c r="C32" i="35"/>
  <c r="A33" i="35"/>
  <c r="H28" i="13"/>
  <c r="C31" i="13"/>
  <c r="A32" i="13"/>
  <c r="B33" i="3"/>
  <c r="O33" i="3" s="1"/>
  <c r="A39" i="33"/>
  <c r="A40" i="33" s="1"/>
  <c r="A41" i="33" s="1"/>
  <c r="H30" i="36"/>
  <c r="C33" i="36"/>
  <c r="A34" i="36"/>
  <c r="D33" i="35"/>
  <c r="E32" i="34"/>
  <c r="G30" i="35"/>
  <c r="F31" i="35"/>
  <c r="G30" i="34"/>
  <c r="E33" i="36"/>
  <c r="E32" i="35"/>
  <c r="D35" i="38"/>
  <c r="E34" i="38"/>
  <c r="F31" i="34"/>
  <c r="D32" i="13"/>
  <c r="G32" i="38"/>
  <c r="F32" i="36"/>
  <c r="G31" i="36"/>
  <c r="F33" i="38"/>
  <c r="D33" i="34"/>
  <c r="F30" i="13"/>
  <c r="E31" i="13"/>
  <c r="D34" i="36"/>
  <c r="G29" i="13"/>
  <c r="C33" i="34" l="1"/>
  <c r="H30" i="34"/>
  <c r="A35" i="34"/>
  <c r="H32" i="38"/>
  <c r="H30" i="35"/>
  <c r="C35" i="38"/>
  <c r="A36" i="38"/>
  <c r="C33" i="35"/>
  <c r="A34" i="35"/>
  <c r="H29" i="13"/>
  <c r="C32" i="13"/>
  <c r="A33" i="13"/>
  <c r="B36" i="3"/>
  <c r="O36" i="3" s="1"/>
  <c r="A43" i="33"/>
  <c r="A44" i="33" s="1"/>
  <c r="C70" i="2"/>
  <c r="C122" i="2"/>
  <c r="H31" i="36"/>
  <c r="C34" i="36"/>
  <c r="A35" i="36"/>
  <c r="E33" i="34"/>
  <c r="E33" i="35"/>
  <c r="F33" i="36"/>
  <c r="J122" i="2"/>
  <c r="G32" i="36"/>
  <c r="F34" i="38"/>
  <c r="D36" i="38"/>
  <c r="E32" i="13"/>
  <c r="G31" i="34"/>
  <c r="E34" i="36"/>
  <c r="F31" i="13"/>
  <c r="E35" i="38"/>
  <c r="F32" i="35"/>
  <c r="F32" i="34"/>
  <c r="G30" i="13"/>
  <c r="G31" i="35"/>
  <c r="D35" i="36"/>
  <c r="G33" i="38"/>
  <c r="J70" i="2"/>
  <c r="D33" i="13"/>
  <c r="D34" i="34"/>
  <c r="D34" i="35"/>
  <c r="C34" i="34" l="1"/>
  <c r="H31" i="34"/>
  <c r="A36" i="34"/>
  <c r="H33" i="38"/>
  <c r="H31" i="35"/>
  <c r="C36" i="38"/>
  <c r="A37" i="38"/>
  <c r="C34" i="35"/>
  <c r="A35" i="35"/>
  <c r="H30" i="13"/>
  <c r="C33" i="13"/>
  <c r="A34" i="13"/>
  <c r="C202" i="2"/>
  <c r="B122" i="2"/>
  <c r="B70" i="2"/>
  <c r="D122" i="2"/>
  <c r="D202" i="2"/>
  <c r="B38" i="3"/>
  <c r="O38" i="3" s="1"/>
  <c r="A45" i="33"/>
  <c r="C73" i="2"/>
  <c r="C125" i="2"/>
  <c r="H32" i="36"/>
  <c r="C35" i="36"/>
  <c r="A36" i="36"/>
  <c r="E34" i="34"/>
  <c r="F32" i="13"/>
  <c r="E36" i="38"/>
  <c r="E34" i="35"/>
  <c r="J73" i="2"/>
  <c r="F35" i="38"/>
  <c r="G32" i="34"/>
  <c r="E35" i="36"/>
  <c r="F34" i="36"/>
  <c r="E33" i="13"/>
  <c r="F33" i="34"/>
  <c r="D37" i="38"/>
  <c r="D36" i="36"/>
  <c r="D35" i="35"/>
  <c r="G33" i="36"/>
  <c r="G34" i="38"/>
  <c r="G32" i="35"/>
  <c r="F33" i="35"/>
  <c r="D35" i="34"/>
  <c r="G31" i="13"/>
  <c r="D34" i="13"/>
  <c r="J125" i="2"/>
  <c r="C35" i="34" l="1"/>
  <c r="H32" i="34"/>
  <c r="A37" i="34"/>
  <c r="H34" i="38"/>
  <c r="H32" i="35"/>
  <c r="C37" i="38"/>
  <c r="A38" i="38"/>
  <c r="C35" i="35"/>
  <c r="A36" i="35"/>
  <c r="A46" i="33"/>
  <c r="A47" i="33" s="1"/>
  <c r="A48" i="33" s="1"/>
  <c r="A49" i="33" s="1"/>
  <c r="A50" i="33" s="1"/>
  <c r="H31" i="13"/>
  <c r="C34" i="13"/>
  <c r="A35" i="13"/>
  <c r="D125" i="2"/>
  <c r="B73" i="2"/>
  <c r="D205" i="2"/>
  <c r="C127" i="2"/>
  <c r="C75" i="2"/>
  <c r="B125" i="2"/>
  <c r="C205" i="2"/>
  <c r="H33" i="36"/>
  <c r="C36" i="36"/>
  <c r="A37" i="36"/>
  <c r="E35" i="34"/>
  <c r="E37" i="38"/>
  <c r="G35" i="38"/>
  <c r="D37" i="36"/>
  <c r="G32" i="13"/>
  <c r="G33" i="34"/>
  <c r="F33" i="13"/>
  <c r="J127" i="2"/>
  <c r="F34" i="34"/>
  <c r="E34" i="13"/>
  <c r="F36" i="38"/>
  <c r="D38" i="38"/>
  <c r="F35" i="36"/>
  <c r="F34" i="35"/>
  <c r="G33" i="35"/>
  <c r="D36" i="35"/>
  <c r="D36" i="34"/>
  <c r="G34" i="36"/>
  <c r="E35" i="35"/>
  <c r="E36" i="36"/>
  <c r="J75" i="2"/>
  <c r="D35" i="13"/>
  <c r="C36" i="34" l="1"/>
  <c r="H33" i="34"/>
  <c r="A38" i="34"/>
  <c r="H33" i="35"/>
  <c r="H35" i="38"/>
  <c r="C38" i="38"/>
  <c r="A39" i="38"/>
  <c r="C36" i="35"/>
  <c r="A37" i="35"/>
  <c r="A51" i="33"/>
  <c r="A52" i="33" s="1"/>
  <c r="H32" i="13"/>
  <c r="C35" i="13"/>
  <c r="A36" i="13"/>
  <c r="B75" i="2"/>
  <c r="D127" i="2"/>
  <c r="D207" i="2"/>
  <c r="C207" i="2"/>
  <c r="B127" i="2"/>
  <c r="H34" i="36"/>
  <c r="C37" i="36"/>
  <c r="A38" i="36"/>
  <c r="E36" i="34"/>
  <c r="G34" i="35"/>
  <c r="G35" i="36"/>
  <c r="G34" i="34"/>
  <c r="F35" i="35"/>
  <c r="E37" i="36"/>
  <c r="F35" i="34"/>
  <c r="E38" i="38"/>
  <c r="E35" i="13"/>
  <c r="F34" i="13"/>
  <c r="E36" i="35"/>
  <c r="G33" i="13"/>
  <c r="F36" i="36"/>
  <c r="D39" i="38"/>
  <c r="D37" i="34"/>
  <c r="G36" i="38"/>
  <c r="F37" i="38"/>
  <c r="D37" i="35"/>
  <c r="D36" i="13"/>
  <c r="D38" i="36"/>
  <c r="C37" i="34" l="1"/>
  <c r="H34" i="34"/>
  <c r="A39" i="34"/>
  <c r="H34" i="35"/>
  <c r="H36" i="38"/>
  <c r="C39" i="38"/>
  <c r="A40" i="38"/>
  <c r="C37" i="35"/>
  <c r="A38" i="35"/>
  <c r="A53" i="33"/>
  <c r="A54" i="33" s="1"/>
  <c r="A55" i="33" s="1"/>
  <c r="H33" i="13"/>
  <c r="C36" i="13"/>
  <c r="A37" i="13"/>
  <c r="B28" i="3"/>
  <c r="O28" i="3" s="1"/>
  <c r="B21" i="3"/>
  <c r="O21" i="3" s="1"/>
  <c r="B31" i="3"/>
  <c r="O31" i="3" s="1"/>
  <c r="B25" i="3"/>
  <c r="O25" i="3" s="1"/>
  <c r="B22" i="3"/>
  <c r="O22" i="3" s="1"/>
  <c r="B19" i="3"/>
  <c r="O19" i="3" s="1"/>
  <c r="B24" i="3"/>
  <c r="O24" i="3" s="1"/>
  <c r="B20" i="3"/>
  <c r="O20" i="3" s="1"/>
  <c r="B32" i="3"/>
  <c r="O32" i="3" s="1"/>
  <c r="B30" i="3"/>
  <c r="O30" i="3" s="1"/>
  <c r="B26" i="3"/>
  <c r="O26" i="3" s="1"/>
  <c r="B27" i="3"/>
  <c r="O27" i="3" s="1"/>
  <c r="B29" i="3"/>
  <c r="O29" i="3" s="1"/>
  <c r="B23" i="3"/>
  <c r="O23" i="3" s="1"/>
  <c r="B34" i="3"/>
  <c r="O34" i="3" s="1"/>
  <c r="B35" i="3"/>
  <c r="O35" i="3" s="1"/>
  <c r="B37" i="3"/>
  <c r="O37" i="3" s="1"/>
  <c r="H35" i="36"/>
  <c r="C38" i="36"/>
  <c r="A39" i="36"/>
  <c r="F35" i="13"/>
  <c r="G37" i="38"/>
  <c r="E36" i="13"/>
  <c r="D40" i="38"/>
  <c r="E37" i="34"/>
  <c r="G34" i="13"/>
  <c r="E38" i="36"/>
  <c r="F38" i="38"/>
  <c r="E39" i="38"/>
  <c r="G35" i="35"/>
  <c r="G35" i="34"/>
  <c r="D37" i="13"/>
  <c r="F36" i="35"/>
  <c r="F36" i="34"/>
  <c r="G36" i="36"/>
  <c r="E37" i="35"/>
  <c r="D38" i="34"/>
  <c r="F37" i="36"/>
  <c r="D38" i="35"/>
  <c r="D39" i="36"/>
  <c r="C38" i="34" l="1"/>
  <c r="H35" i="34"/>
  <c r="A40" i="34"/>
  <c r="H35" i="35"/>
  <c r="H37" i="38"/>
  <c r="C40" i="38"/>
  <c r="A41" i="38"/>
  <c r="C38" i="35"/>
  <c r="A39" i="35"/>
  <c r="H34" i="13"/>
  <c r="C37" i="13"/>
  <c r="A38" i="13"/>
  <c r="A56" i="33"/>
  <c r="C123" i="2"/>
  <c r="C71" i="2"/>
  <c r="C115" i="2"/>
  <c r="C63" i="2"/>
  <c r="C113" i="2"/>
  <c r="C61" i="2"/>
  <c r="C68" i="2"/>
  <c r="C120" i="2"/>
  <c r="C60" i="2"/>
  <c r="C112" i="2"/>
  <c r="C119" i="2"/>
  <c r="C67" i="2"/>
  <c r="C56" i="2"/>
  <c r="C108" i="2"/>
  <c r="C58" i="2"/>
  <c r="C110" i="2"/>
  <c r="C74" i="2"/>
  <c r="C126" i="2"/>
  <c r="C66" i="2"/>
  <c r="C118" i="2"/>
  <c r="C69" i="2"/>
  <c r="C121" i="2"/>
  <c r="C59" i="2"/>
  <c r="C111" i="2"/>
  <c r="C65" i="2"/>
  <c r="C117" i="2"/>
  <c r="C72" i="2"/>
  <c r="C124" i="2"/>
  <c r="C64" i="2"/>
  <c r="C116" i="2"/>
  <c r="C57" i="2"/>
  <c r="C109" i="2"/>
  <c r="C62" i="2"/>
  <c r="C114" i="2"/>
  <c r="H36" i="36"/>
  <c r="C39" i="36"/>
  <c r="A40" i="36"/>
  <c r="E38" i="34"/>
  <c r="J58" i="2"/>
  <c r="J123" i="2"/>
  <c r="J56" i="2"/>
  <c r="E39" i="36"/>
  <c r="J117" i="2"/>
  <c r="J68" i="2"/>
  <c r="J124" i="2"/>
  <c r="J121" i="2"/>
  <c r="J110" i="2"/>
  <c r="J111" i="2"/>
  <c r="G36" i="35"/>
  <c r="J116" i="2"/>
  <c r="G36" i="34"/>
  <c r="F36" i="13"/>
  <c r="J59" i="2"/>
  <c r="D38" i="13"/>
  <c r="G35" i="13"/>
  <c r="J120" i="2"/>
  <c r="J126" i="2"/>
  <c r="G37" i="36"/>
  <c r="D41" i="38"/>
  <c r="J109" i="2"/>
  <c r="F39" i="38"/>
  <c r="J114" i="2"/>
  <c r="J69" i="2"/>
  <c r="D40" i="36"/>
  <c r="J108" i="2"/>
  <c r="J66" i="2"/>
  <c r="F37" i="34"/>
  <c r="J71" i="2"/>
  <c r="E37" i="13"/>
  <c r="F38" i="36"/>
  <c r="E38" i="35"/>
  <c r="F37" i="35"/>
  <c r="J113" i="2"/>
  <c r="G38" i="38"/>
  <c r="D39" i="35"/>
  <c r="J118" i="2"/>
  <c r="J57" i="2"/>
  <c r="J64" i="2"/>
  <c r="J61" i="2"/>
  <c r="J65" i="2"/>
  <c r="J112" i="2"/>
  <c r="D39" i="34"/>
  <c r="J74" i="2"/>
  <c r="J72" i="2"/>
  <c r="E40" i="38"/>
  <c r="J60" i="2"/>
  <c r="J115" i="2"/>
  <c r="J119" i="2"/>
  <c r="C39" i="34" l="1"/>
  <c r="H36" i="34"/>
  <c r="A41" i="34"/>
  <c r="H38" i="38"/>
  <c r="H36" i="35"/>
  <c r="C41" i="38"/>
  <c r="A42" i="38"/>
  <c r="C39" i="35"/>
  <c r="A40" i="35"/>
  <c r="H35" i="13"/>
  <c r="C38" i="13"/>
  <c r="A39" i="13"/>
  <c r="A57" i="33"/>
  <c r="C189" i="2"/>
  <c r="B109" i="2"/>
  <c r="D124" i="2"/>
  <c r="D204" i="2"/>
  <c r="B72" i="2"/>
  <c r="C191" i="2"/>
  <c r="B111" i="2"/>
  <c r="C198" i="2"/>
  <c r="B118" i="2"/>
  <c r="B110" i="2"/>
  <c r="C190" i="2"/>
  <c r="B67" i="2"/>
  <c r="D119" i="2"/>
  <c r="D199" i="2"/>
  <c r="C200" i="2"/>
  <c r="B120" i="2"/>
  <c r="D115" i="2"/>
  <c r="D195" i="2"/>
  <c r="B63" i="2"/>
  <c r="D109" i="2"/>
  <c r="B57" i="2"/>
  <c r="D189" i="2"/>
  <c r="D191" i="2"/>
  <c r="D111" i="2"/>
  <c r="D198" i="2"/>
  <c r="D118" i="2"/>
  <c r="B66" i="2"/>
  <c r="D110" i="2"/>
  <c r="D190" i="2"/>
  <c r="B58" i="2"/>
  <c r="C199" i="2"/>
  <c r="B119" i="2"/>
  <c r="D200" i="2"/>
  <c r="B68" i="2"/>
  <c r="D120" i="2"/>
  <c r="B115" i="2"/>
  <c r="C195" i="2"/>
  <c r="B114" i="2"/>
  <c r="C194" i="2"/>
  <c r="C196" i="2"/>
  <c r="B116" i="2"/>
  <c r="C197" i="2"/>
  <c r="B117" i="2"/>
  <c r="C201" i="2"/>
  <c r="B121" i="2"/>
  <c r="C206" i="2"/>
  <c r="B126" i="2"/>
  <c r="C188" i="2"/>
  <c r="B108" i="2"/>
  <c r="C192" i="2"/>
  <c r="B112" i="2"/>
  <c r="B61" i="2"/>
  <c r="D193" i="2"/>
  <c r="D113" i="2"/>
  <c r="B71" i="2"/>
  <c r="D203" i="2"/>
  <c r="D123" i="2"/>
  <c r="D194" i="2"/>
  <c r="D114" i="2"/>
  <c r="B62" i="2"/>
  <c r="B64" i="2"/>
  <c r="D196" i="2"/>
  <c r="D116" i="2"/>
  <c r="C204" i="2"/>
  <c r="B124" i="2"/>
  <c r="B65" i="2"/>
  <c r="D197" i="2"/>
  <c r="D117" i="2"/>
  <c r="D121" i="2"/>
  <c r="B69" i="2"/>
  <c r="D201" i="2"/>
  <c r="D126" i="2"/>
  <c r="D206" i="2"/>
  <c r="B74" i="2"/>
  <c r="B56" i="2"/>
  <c r="D108" i="2"/>
  <c r="D188" i="2"/>
  <c r="D192" i="2"/>
  <c r="B60" i="2"/>
  <c r="D112" i="2"/>
  <c r="C193" i="2"/>
  <c r="B113" i="2"/>
  <c r="B123" i="2"/>
  <c r="C203" i="2"/>
  <c r="H37" i="36"/>
  <c r="C40" i="36"/>
  <c r="A41" i="36"/>
  <c r="E39" i="34"/>
  <c r="J63" i="2"/>
  <c r="F38" i="35"/>
  <c r="F39" i="36"/>
  <c r="D39" i="13"/>
  <c r="E38" i="13"/>
  <c r="D40" i="35"/>
  <c r="J62" i="2"/>
  <c r="G37" i="34"/>
  <c r="E41" i="38"/>
  <c r="G39" i="38"/>
  <c r="E39" i="35"/>
  <c r="F37" i="13"/>
  <c r="G38" i="36"/>
  <c r="F38" i="34"/>
  <c r="G37" i="35"/>
  <c r="E40" i="36"/>
  <c r="F40" i="38"/>
  <c r="J67" i="2"/>
  <c r="D40" i="34"/>
  <c r="G36" i="13"/>
  <c r="D41" i="36"/>
  <c r="D42" i="38"/>
  <c r="C40" i="34" l="1"/>
  <c r="H37" i="34"/>
  <c r="A42" i="34"/>
  <c r="H37" i="35"/>
  <c r="H39" i="38"/>
  <c r="C42" i="38"/>
  <c r="A43" i="38"/>
  <c r="C40" i="35"/>
  <c r="A41" i="35"/>
  <c r="A58" i="33"/>
  <c r="H36" i="13"/>
  <c r="C39" i="13"/>
  <c r="A40" i="13"/>
  <c r="H38" i="36"/>
  <c r="C41" i="36"/>
  <c r="A42" i="36"/>
  <c r="G37" i="13"/>
  <c r="E41" i="36"/>
  <c r="F39" i="35"/>
  <c r="F40" i="36"/>
  <c r="D43" i="38"/>
  <c r="E40" i="34"/>
  <c r="G38" i="35"/>
  <c r="F41" i="38"/>
  <c r="F38" i="13"/>
  <c r="E42" i="38"/>
  <c r="G38" i="34"/>
  <c r="G39" i="36"/>
  <c r="D42" i="36"/>
  <c r="D40" i="13"/>
  <c r="F39" i="34"/>
  <c r="E40" i="35"/>
  <c r="E39" i="13"/>
  <c r="D41" i="34"/>
  <c r="G40" i="38"/>
  <c r="D41" i="35"/>
  <c r="C41" i="34" l="1"/>
  <c r="H38" i="34"/>
  <c r="A43" i="34"/>
  <c r="H38" i="35"/>
  <c r="H40" i="38"/>
  <c r="C43" i="38"/>
  <c r="A44" i="38"/>
  <c r="C41" i="35"/>
  <c r="A42" i="35"/>
  <c r="A60" i="33"/>
  <c r="B50" i="3"/>
  <c r="O50" i="3" s="1"/>
  <c r="H37" i="13"/>
  <c r="H39" i="36"/>
  <c r="C40" i="13"/>
  <c r="A41" i="13"/>
  <c r="C42" i="36"/>
  <c r="A43" i="36"/>
  <c r="E41" i="34"/>
  <c r="G41" i="38"/>
  <c r="G38" i="13"/>
  <c r="E41" i="35"/>
  <c r="F41" i="36"/>
  <c r="D41" i="13"/>
  <c r="E43" i="38"/>
  <c r="D42" i="35"/>
  <c r="G39" i="34"/>
  <c r="F39" i="13"/>
  <c r="E42" i="36"/>
  <c r="F40" i="34"/>
  <c r="G39" i="35"/>
  <c r="D42" i="34"/>
  <c r="F42" i="38"/>
  <c r="E40" i="13"/>
  <c r="F40" i="35"/>
  <c r="D44" i="38"/>
  <c r="G40" i="36"/>
  <c r="D43" i="36"/>
  <c r="C42" i="34" l="1"/>
  <c r="H39" i="34"/>
  <c r="A44" i="34"/>
  <c r="H41" i="38"/>
  <c r="H39" i="35"/>
  <c r="C44" i="38"/>
  <c r="A45" i="38"/>
  <c r="C42" i="35"/>
  <c r="A43" i="35"/>
  <c r="A61" i="33"/>
  <c r="A72" i="33" s="1"/>
  <c r="A73" i="33" s="1"/>
  <c r="B53" i="3"/>
  <c r="O53" i="3" s="1"/>
  <c r="B41" i="3"/>
  <c r="O41" i="3" s="1"/>
  <c r="B48" i="3"/>
  <c r="O48" i="3" s="1"/>
  <c r="B40" i="3"/>
  <c r="O40" i="3" s="1"/>
  <c r="C87" i="2"/>
  <c r="C139" i="2"/>
  <c r="B49" i="3"/>
  <c r="O49" i="3" s="1"/>
  <c r="B44" i="3"/>
  <c r="O44" i="3" s="1"/>
  <c r="B45" i="3"/>
  <c r="O45" i="3" s="1"/>
  <c r="B52" i="3"/>
  <c r="O52" i="3" s="1"/>
  <c r="B39" i="3"/>
  <c r="O39" i="3" s="1"/>
  <c r="B43" i="3"/>
  <c r="O43" i="3" s="1"/>
  <c r="B51" i="3"/>
  <c r="O51" i="3" s="1"/>
  <c r="B47" i="3"/>
  <c r="O47" i="3" s="1"/>
  <c r="B46" i="3"/>
  <c r="O46" i="3" s="1"/>
  <c r="B42" i="3"/>
  <c r="O42" i="3" s="1"/>
  <c r="H38" i="13"/>
  <c r="H40" i="36"/>
  <c r="C41" i="13"/>
  <c r="A42" i="13"/>
  <c r="C43" i="36"/>
  <c r="A44" i="36"/>
  <c r="J87" i="2"/>
  <c r="E42" i="34"/>
  <c r="E44" i="38"/>
  <c r="E42" i="35"/>
  <c r="G42" i="38"/>
  <c r="F40" i="13"/>
  <c r="F41" i="35"/>
  <c r="G40" i="35"/>
  <c r="F43" i="38"/>
  <c r="G39" i="13"/>
  <c r="G40" i="34"/>
  <c r="D42" i="13"/>
  <c r="F41" i="34"/>
  <c r="E43" i="36"/>
  <c r="D44" i="36"/>
  <c r="E41" i="13"/>
  <c r="D45" i="38"/>
  <c r="J139" i="2"/>
  <c r="G41" i="36"/>
  <c r="D43" i="34"/>
  <c r="F42" i="36"/>
  <c r="D43" i="35"/>
  <c r="C43" i="34" l="1"/>
  <c r="H40" i="34"/>
  <c r="A45" i="34"/>
  <c r="H42" i="38"/>
  <c r="H40" i="35"/>
  <c r="C45" i="38"/>
  <c r="A46" i="38"/>
  <c r="C43" i="35"/>
  <c r="A44" i="35"/>
  <c r="C89" i="2"/>
  <c r="C141" i="2"/>
  <c r="C79" i="2"/>
  <c r="C131" i="2"/>
  <c r="C84" i="2"/>
  <c r="C136" i="2"/>
  <c r="C134" i="2"/>
  <c r="C82" i="2"/>
  <c r="C219" i="2"/>
  <c r="B139" i="2"/>
  <c r="B87" i="2"/>
  <c r="D219" i="2"/>
  <c r="D139" i="2"/>
  <c r="C129" i="2"/>
  <c r="C77" i="2"/>
  <c r="C90" i="2"/>
  <c r="C142" i="2"/>
  <c r="C88" i="2"/>
  <c r="C140" i="2"/>
  <c r="C80" i="2"/>
  <c r="C132" i="2"/>
  <c r="C81" i="2"/>
  <c r="C133" i="2"/>
  <c r="C137" i="2"/>
  <c r="C85" i="2"/>
  <c r="C135" i="2"/>
  <c r="C83" i="2"/>
  <c r="C76" i="2"/>
  <c r="C128" i="2"/>
  <c r="C138" i="2"/>
  <c r="C86" i="2"/>
  <c r="C130" i="2"/>
  <c r="C78" i="2"/>
  <c r="H39" i="13"/>
  <c r="H41" i="36"/>
  <c r="C42" i="13"/>
  <c r="A43" i="13"/>
  <c r="C44" i="36"/>
  <c r="A45" i="36"/>
  <c r="F41" i="13"/>
  <c r="F42" i="35"/>
  <c r="J141" i="2"/>
  <c r="G42" i="36"/>
  <c r="J128" i="2"/>
  <c r="J138" i="2"/>
  <c r="J77" i="2"/>
  <c r="E42" i="13"/>
  <c r="J83" i="2"/>
  <c r="E43" i="34"/>
  <c r="J129" i="2"/>
  <c r="J85" i="2"/>
  <c r="J135" i="2"/>
  <c r="J79" i="2"/>
  <c r="G41" i="34"/>
  <c r="J89" i="2"/>
  <c r="E45" i="38"/>
  <c r="G40" i="13"/>
  <c r="J80" i="2"/>
  <c r="J78" i="2"/>
  <c r="J81" i="2"/>
  <c r="G43" i="38"/>
  <c r="E44" i="36"/>
  <c r="J137" i="2"/>
  <c r="J134" i="2"/>
  <c r="F42" i="34"/>
  <c r="J86" i="2"/>
  <c r="J133" i="2"/>
  <c r="J88" i="2"/>
  <c r="F43" i="36"/>
  <c r="D46" i="38"/>
  <c r="G41" i="35"/>
  <c r="D43" i="13"/>
  <c r="E43" i="35"/>
  <c r="D44" i="34"/>
  <c r="J136" i="2"/>
  <c r="J84" i="2"/>
  <c r="F44" i="38"/>
  <c r="J140" i="2"/>
  <c r="D44" i="35"/>
  <c r="J82" i="2"/>
  <c r="J132" i="2"/>
  <c r="J76" i="2"/>
  <c r="D45" i="36"/>
  <c r="J90" i="2"/>
  <c r="C44" i="34" l="1"/>
  <c r="H41" i="34"/>
  <c r="A46" i="34"/>
  <c r="H41" i="35"/>
  <c r="H43" i="38"/>
  <c r="C46" i="38"/>
  <c r="A47" i="38"/>
  <c r="C44" i="35"/>
  <c r="A45" i="35"/>
  <c r="A76" i="33"/>
  <c r="A77" i="33" s="1"/>
  <c r="D217" i="2"/>
  <c r="D137" i="2"/>
  <c r="B85" i="2"/>
  <c r="D132" i="2"/>
  <c r="D212" i="2"/>
  <c r="B80" i="2"/>
  <c r="D140" i="2"/>
  <c r="D220" i="2"/>
  <c r="B88" i="2"/>
  <c r="D142" i="2"/>
  <c r="D222" i="2"/>
  <c r="B90" i="2"/>
  <c r="B141" i="2"/>
  <c r="C221" i="2"/>
  <c r="C210" i="2"/>
  <c r="B130" i="2"/>
  <c r="D128" i="2"/>
  <c r="B76" i="2"/>
  <c r="D208" i="2"/>
  <c r="B137" i="2"/>
  <c r="C217" i="2"/>
  <c r="D129" i="2"/>
  <c r="D209" i="2"/>
  <c r="B77" i="2"/>
  <c r="B84" i="2"/>
  <c r="D216" i="2"/>
  <c r="D136" i="2"/>
  <c r="B131" i="2"/>
  <c r="C211" i="2"/>
  <c r="D218" i="2"/>
  <c r="B86" i="2"/>
  <c r="D138" i="2"/>
  <c r="C215" i="2"/>
  <c r="B135" i="2"/>
  <c r="C213" i="2"/>
  <c r="B133" i="2"/>
  <c r="C212" i="2"/>
  <c r="B132" i="2"/>
  <c r="D134" i="2"/>
  <c r="B82" i="2"/>
  <c r="D214" i="2"/>
  <c r="D211" i="2"/>
  <c r="B79" i="2"/>
  <c r="D131" i="2"/>
  <c r="B78" i="2"/>
  <c r="D210" i="2"/>
  <c r="D130" i="2"/>
  <c r="C218" i="2"/>
  <c r="B138" i="2"/>
  <c r="B128" i="2"/>
  <c r="C208" i="2"/>
  <c r="B83" i="2"/>
  <c r="D215" i="2"/>
  <c r="D135" i="2"/>
  <c r="B81" i="2"/>
  <c r="D213" i="2"/>
  <c r="D133" i="2"/>
  <c r="B140" i="2"/>
  <c r="C220" i="2"/>
  <c r="B142" i="2"/>
  <c r="C222" i="2"/>
  <c r="C209" i="2"/>
  <c r="B129" i="2"/>
  <c r="B134" i="2"/>
  <c r="C214" i="2"/>
  <c r="C216" i="2"/>
  <c r="B136" i="2"/>
  <c r="D221" i="2"/>
  <c r="B89" i="2"/>
  <c r="D141" i="2"/>
  <c r="H40" i="13"/>
  <c r="H42" i="36"/>
  <c r="C43" i="13"/>
  <c r="A44" i="13"/>
  <c r="C45" i="36"/>
  <c r="A46" i="36"/>
  <c r="E43" i="13"/>
  <c r="G43" i="36"/>
  <c r="D46" i="36"/>
  <c r="E46" i="38"/>
  <c r="F42" i="13"/>
  <c r="E44" i="35"/>
  <c r="D47" i="38"/>
  <c r="E44" i="34"/>
  <c r="G42" i="34"/>
  <c r="G44" i="38"/>
  <c r="E45" i="36"/>
  <c r="D45" i="35"/>
  <c r="J131" i="2"/>
  <c r="F45" i="38"/>
  <c r="F43" i="34"/>
  <c r="J130" i="2"/>
  <c r="G42" i="35"/>
  <c r="G41" i="13"/>
  <c r="D45" i="34"/>
  <c r="F43" i="35"/>
  <c r="F44" i="36"/>
  <c r="J142" i="2"/>
  <c r="D44" i="13"/>
  <c r="C45" i="34" l="1"/>
  <c r="H42" i="34"/>
  <c r="A47" i="34"/>
  <c r="H42" i="35"/>
  <c r="H44" i="38"/>
  <c r="C47" i="38"/>
  <c r="A48" i="38"/>
  <c r="C45" i="35"/>
  <c r="A46" i="35"/>
  <c r="B59" i="3"/>
  <c r="B60" i="3"/>
  <c r="O60" i="3" s="1"/>
  <c r="B58" i="3"/>
  <c r="O58" i="3" s="1"/>
  <c r="B57" i="3"/>
  <c r="O57" i="3" s="1"/>
  <c r="B55" i="3"/>
  <c r="O55" i="3" s="1"/>
  <c r="B56" i="3"/>
  <c r="O56" i="3" s="1"/>
  <c r="B54" i="3"/>
  <c r="O54" i="3" s="1"/>
  <c r="H41" i="13"/>
  <c r="H43" i="36"/>
  <c r="C44" i="13"/>
  <c r="A45" i="13"/>
  <c r="C46" i="36"/>
  <c r="A47" i="36"/>
  <c r="E45" i="34"/>
  <c r="D48" i="38"/>
  <c r="G45" i="38"/>
  <c r="G42" i="13"/>
  <c r="G44" i="36"/>
  <c r="G43" i="34"/>
  <c r="E47" i="38"/>
  <c r="E44" i="13"/>
  <c r="D45" i="13"/>
  <c r="F44" i="34"/>
  <c r="F45" i="36"/>
  <c r="E45" i="35"/>
  <c r="D47" i="36"/>
  <c r="F46" i="38"/>
  <c r="G43" i="35"/>
  <c r="D46" i="34"/>
  <c r="F44" i="35"/>
  <c r="F43" i="13"/>
  <c r="E46" i="36"/>
  <c r="D46" i="35"/>
  <c r="C46" i="34" l="1"/>
  <c r="H43" i="34"/>
  <c r="A48" i="34"/>
  <c r="H45" i="38"/>
  <c r="H43" i="35"/>
  <c r="C149" i="2"/>
  <c r="C229" i="2" s="1"/>
  <c r="C48" i="38"/>
  <c r="A49" i="38"/>
  <c r="C46" i="35"/>
  <c r="A47" i="35"/>
  <c r="C97" i="2"/>
  <c r="C148" i="2"/>
  <c r="B148" i="2" s="1"/>
  <c r="O59" i="3"/>
  <c r="C96" i="2"/>
  <c r="C92" i="2"/>
  <c r="C144" i="2"/>
  <c r="C143" i="2"/>
  <c r="C91" i="2"/>
  <c r="C94" i="2"/>
  <c r="C146" i="2"/>
  <c r="C145" i="2"/>
  <c r="C93" i="2"/>
  <c r="C147" i="2"/>
  <c r="C95" i="2"/>
  <c r="B149" i="2"/>
  <c r="H42" i="13"/>
  <c r="H44" i="36"/>
  <c r="C45" i="13"/>
  <c r="A46" i="13"/>
  <c r="C47" i="36"/>
  <c r="A48" i="36"/>
  <c r="E46" i="34"/>
  <c r="F44" i="13"/>
  <c r="G44" i="35"/>
  <c r="J146" i="2"/>
  <c r="J148" i="2"/>
  <c r="D49" i="38"/>
  <c r="G43" i="13"/>
  <c r="E48" i="38"/>
  <c r="E46" i="35"/>
  <c r="D47" i="35"/>
  <c r="J95" i="2"/>
  <c r="J92" i="2"/>
  <c r="J145" i="2"/>
  <c r="J144" i="2"/>
  <c r="G44" i="34"/>
  <c r="J143" i="2"/>
  <c r="J93" i="2"/>
  <c r="F45" i="34"/>
  <c r="J96" i="2"/>
  <c r="J97" i="2"/>
  <c r="E45" i="13"/>
  <c r="F45" i="35"/>
  <c r="E47" i="36"/>
  <c r="D46" i="13"/>
  <c r="G46" i="38"/>
  <c r="G45" i="36"/>
  <c r="D48" i="36"/>
  <c r="F47" i="38"/>
  <c r="F46" i="36"/>
  <c r="D47" i="34"/>
  <c r="J94" i="2"/>
  <c r="J149" i="2"/>
  <c r="C47" i="34" l="1"/>
  <c r="H44" i="34"/>
  <c r="A49" i="34"/>
  <c r="D148" i="2"/>
  <c r="B97" i="2"/>
  <c r="D147" i="2"/>
  <c r="H44" i="35"/>
  <c r="H46" i="38"/>
  <c r="B96" i="2"/>
  <c r="C49" i="38"/>
  <c r="A50" i="38"/>
  <c r="C47" i="35"/>
  <c r="A48" i="35"/>
  <c r="D228" i="2"/>
  <c r="D229" i="2"/>
  <c r="C228" i="2"/>
  <c r="D149" i="2"/>
  <c r="C226" i="2"/>
  <c r="B146" i="2"/>
  <c r="D227" i="2"/>
  <c r="B95" i="2"/>
  <c r="C227" i="2"/>
  <c r="B147" i="2"/>
  <c r="D223" i="2"/>
  <c r="D143" i="2"/>
  <c r="B91" i="2"/>
  <c r="B144" i="2"/>
  <c r="C224" i="2"/>
  <c r="B92" i="2"/>
  <c r="D144" i="2"/>
  <c r="D224" i="2"/>
  <c r="D145" i="2"/>
  <c r="D225" i="2"/>
  <c r="B93" i="2"/>
  <c r="B94" i="2"/>
  <c r="D226" i="2"/>
  <c r="D146" i="2"/>
  <c r="C223" i="2"/>
  <c r="B143" i="2"/>
  <c r="B145" i="2"/>
  <c r="C225" i="2"/>
  <c r="H43" i="13"/>
  <c r="H45" i="36"/>
  <c r="C46" i="13"/>
  <c r="A47" i="13"/>
  <c r="C48" i="36"/>
  <c r="A49" i="36"/>
  <c r="E47" i="34"/>
  <c r="G47" i="38"/>
  <c r="E46" i="13"/>
  <c r="G45" i="35"/>
  <c r="J147" i="2"/>
  <c r="F46" i="35"/>
  <c r="G45" i="34"/>
  <c r="G46" i="36"/>
  <c r="G44" i="13"/>
  <c r="F47" i="36"/>
  <c r="F48" i="38"/>
  <c r="E47" i="35"/>
  <c r="D47" i="13"/>
  <c r="E49" i="38"/>
  <c r="J91" i="2"/>
  <c r="F46" i="34"/>
  <c r="E48" i="36"/>
  <c r="D48" i="34"/>
  <c r="D50" i="38"/>
  <c r="F45" i="13"/>
  <c r="D48" i="35"/>
  <c r="D49" i="36"/>
  <c r="C48" i="34" l="1"/>
  <c r="H45" i="34"/>
  <c r="A50" i="34"/>
  <c r="H47" i="38"/>
  <c r="H45" i="35"/>
  <c r="C50" i="38"/>
  <c r="A51" i="38"/>
  <c r="C48" i="35"/>
  <c r="A49" i="35"/>
  <c r="H44" i="13"/>
  <c r="H46" i="36"/>
  <c r="C47" i="13"/>
  <c r="A48" i="13"/>
  <c r="C49" i="36"/>
  <c r="A50" i="36"/>
  <c r="G47" i="36"/>
  <c r="G46" i="35"/>
  <c r="D50" i="36"/>
  <c r="G45" i="13"/>
  <c r="E48" i="34"/>
  <c r="E50" i="38"/>
  <c r="F47" i="35"/>
  <c r="F48" i="36"/>
  <c r="G46" i="34"/>
  <c r="F47" i="34"/>
  <c r="E49" i="36"/>
  <c r="E47" i="13"/>
  <c r="G48" i="38"/>
  <c r="F46" i="13"/>
  <c r="F49" i="38"/>
  <c r="D49" i="34"/>
  <c r="E48" i="35"/>
  <c r="D51" i="38"/>
  <c r="D49" i="35"/>
  <c r="D48" i="13"/>
  <c r="C49" i="34" l="1"/>
  <c r="H46" i="34"/>
  <c r="A51" i="34"/>
  <c r="H46" i="35"/>
  <c r="H48" i="38"/>
  <c r="C51" i="38"/>
  <c r="A52" i="38"/>
  <c r="C49" i="35"/>
  <c r="A50" i="35"/>
  <c r="H45" i="13"/>
  <c r="H47" i="36"/>
  <c r="C48" i="13"/>
  <c r="A49" i="13"/>
  <c r="C50" i="36"/>
  <c r="A51" i="36"/>
  <c r="G46" i="13"/>
  <c r="D50" i="35"/>
  <c r="G47" i="35"/>
  <c r="E51" i="38"/>
  <c r="E49" i="34"/>
  <c r="G49" i="38"/>
  <c r="D52" i="38"/>
  <c r="F49" i="36"/>
  <c r="E48" i="13"/>
  <c r="G47" i="34"/>
  <c r="F48" i="34"/>
  <c r="E50" i="36"/>
  <c r="F47" i="13"/>
  <c r="D51" i="36"/>
  <c r="F50" i="38"/>
  <c r="D49" i="13"/>
  <c r="D50" i="34"/>
  <c r="F48" i="35"/>
  <c r="E49" i="35"/>
  <c r="G48" i="36"/>
  <c r="C50" i="34" l="1"/>
  <c r="H47" i="34"/>
  <c r="A52" i="34"/>
  <c r="H49" i="38"/>
  <c r="H47" i="35"/>
  <c r="C52" i="38"/>
  <c r="A53" i="38"/>
  <c r="C50" i="35"/>
  <c r="A51" i="35"/>
  <c r="H46" i="13"/>
  <c r="H48" i="36"/>
  <c r="C49" i="13"/>
  <c r="A50" i="13"/>
  <c r="C51" i="36"/>
  <c r="A52" i="36"/>
  <c r="E50" i="34"/>
  <c r="E49" i="13"/>
  <c r="G49" i="36"/>
  <c r="G50" i="38"/>
  <c r="D52" i="36"/>
  <c r="F51" i="38"/>
  <c r="E52" i="38"/>
  <c r="E50" i="35"/>
  <c r="G48" i="34"/>
  <c r="F49" i="34"/>
  <c r="D51" i="34"/>
  <c r="F48" i="13"/>
  <c r="F50" i="36"/>
  <c r="D53" i="38"/>
  <c r="F49" i="35"/>
  <c r="G48" i="35"/>
  <c r="G47" i="13"/>
  <c r="E51" i="36"/>
  <c r="D51" i="35"/>
  <c r="D50" i="13"/>
  <c r="C51" i="34" l="1"/>
  <c r="H48" i="34"/>
  <c r="A53" i="34"/>
  <c r="H48" i="35"/>
  <c r="H50" i="38"/>
  <c r="C53" i="38"/>
  <c r="A54" i="38"/>
  <c r="C51" i="35"/>
  <c r="A52" i="35"/>
  <c r="H47" i="13"/>
  <c r="H49" i="36"/>
  <c r="C50" i="13"/>
  <c r="A51" i="13"/>
  <c r="C52" i="36"/>
  <c r="A53" i="36"/>
  <c r="E51" i="34"/>
  <c r="F51" i="36"/>
  <c r="G50" i="36"/>
  <c r="D54" i="38"/>
  <c r="F50" i="35"/>
  <c r="F49" i="13"/>
  <c r="E52" i="36"/>
  <c r="E53" i="38"/>
  <c r="G49" i="34"/>
  <c r="D53" i="36"/>
  <c r="F50" i="34"/>
  <c r="E51" i="35"/>
  <c r="G51" i="38"/>
  <c r="G48" i="13"/>
  <c r="F52" i="38"/>
  <c r="E50" i="13"/>
  <c r="D52" i="34"/>
  <c r="G49" i="35"/>
  <c r="D52" i="35"/>
  <c r="D51" i="13"/>
  <c r="C52" i="34" l="1"/>
  <c r="H49" i="34"/>
  <c r="A54" i="34"/>
  <c r="H49" i="35"/>
  <c r="H51" i="38"/>
  <c r="C54" i="38"/>
  <c r="A55" i="38"/>
  <c r="C52" i="35"/>
  <c r="A53" i="35"/>
  <c r="H48" i="13"/>
  <c r="H50" i="36"/>
  <c r="C51" i="13"/>
  <c r="A52" i="13"/>
  <c r="C53" i="36"/>
  <c r="A54" i="36"/>
  <c r="E52" i="34"/>
  <c r="F53" i="38"/>
  <c r="E52" i="35"/>
  <c r="D54" i="36"/>
  <c r="D55" i="38"/>
  <c r="D53" i="35"/>
  <c r="F51" i="35"/>
  <c r="G50" i="34"/>
  <c r="F50" i="13"/>
  <c r="F51" i="34"/>
  <c r="E51" i="13"/>
  <c r="G49" i="13"/>
  <c r="E54" i="38"/>
  <c r="E53" i="36"/>
  <c r="G52" i="38"/>
  <c r="G50" i="35"/>
  <c r="D53" i="34"/>
  <c r="F52" i="36"/>
  <c r="G51" i="36"/>
  <c r="D52" i="13"/>
  <c r="C53" i="34" l="1"/>
  <c r="H50" i="34"/>
  <c r="A55" i="34"/>
  <c r="H50" i="35"/>
  <c r="H52" i="38"/>
  <c r="C55" i="38"/>
  <c r="A56" i="38"/>
  <c r="C53" i="35"/>
  <c r="A54" i="35"/>
  <c r="H49" i="13"/>
  <c r="H51" i="36"/>
  <c r="C52" i="13"/>
  <c r="A53" i="13"/>
  <c r="C54" i="36"/>
  <c r="A55" i="36"/>
  <c r="E53" i="34"/>
  <c r="F52" i="35"/>
  <c r="E54" i="36"/>
  <c r="F51" i="13"/>
  <c r="E53" i="35"/>
  <c r="G53" i="38"/>
  <c r="D55" i="36"/>
  <c r="G51" i="34"/>
  <c r="F52" i="34"/>
  <c r="E52" i="13"/>
  <c r="G52" i="36"/>
  <c r="E55" i="38"/>
  <c r="F54" i="38"/>
  <c r="D56" i="38"/>
  <c r="F53" i="36"/>
  <c r="D54" i="34"/>
  <c r="G51" i="35"/>
  <c r="G50" i="13"/>
  <c r="D54" i="35"/>
  <c r="D53" i="13"/>
  <c r="C54" i="34" l="1"/>
  <c r="H51" i="34"/>
  <c r="A56" i="34"/>
  <c r="H51" i="35"/>
  <c r="H53" i="38"/>
  <c r="C56" i="38"/>
  <c r="A57" i="38"/>
  <c r="C54" i="35"/>
  <c r="A55" i="35"/>
  <c r="H50" i="13"/>
  <c r="H52" i="36"/>
  <c r="C53" i="13"/>
  <c r="A54" i="13"/>
  <c r="C55" i="36"/>
  <c r="A56" i="36"/>
  <c r="E54" i="34"/>
  <c r="E53" i="13"/>
  <c r="E54" i="35"/>
  <c r="F53" i="35"/>
  <c r="G52" i="35"/>
  <c r="D56" i="36"/>
  <c r="D57" i="38"/>
  <c r="G52" i="34"/>
  <c r="F53" i="34"/>
  <c r="G53" i="36"/>
  <c r="G51" i="13"/>
  <c r="E56" i="38"/>
  <c r="F54" i="36"/>
  <c r="F52" i="13"/>
  <c r="F55" i="38"/>
  <c r="D55" i="34"/>
  <c r="E55" i="36"/>
  <c r="G54" i="38"/>
  <c r="D55" i="35"/>
  <c r="D54" i="13"/>
  <c r="C55" i="34" l="1"/>
  <c r="H52" i="34"/>
  <c r="A57" i="34"/>
  <c r="H52" i="35"/>
  <c r="H54" i="38"/>
  <c r="C57" i="38"/>
  <c r="A58" i="38"/>
  <c r="C55" i="35"/>
  <c r="A56" i="35"/>
  <c r="H51" i="13"/>
  <c r="H53" i="36"/>
  <c r="C54" i="13"/>
  <c r="A55" i="13"/>
  <c r="C56" i="36"/>
  <c r="A57" i="36"/>
  <c r="E56" i="36"/>
  <c r="D57" i="36"/>
  <c r="F53" i="13"/>
  <c r="E55" i="34"/>
  <c r="E55" i="35"/>
  <c r="F55" i="36"/>
  <c r="D56" i="35"/>
  <c r="G53" i="34"/>
  <c r="F54" i="34"/>
  <c r="G54" i="36"/>
  <c r="G52" i="13"/>
  <c r="F54" i="35"/>
  <c r="G55" i="38"/>
  <c r="D56" i="34"/>
  <c r="E54" i="13"/>
  <c r="F56" i="38"/>
  <c r="G53" i="35"/>
  <c r="E57" i="38"/>
  <c r="D58" i="38"/>
  <c r="D55" i="13"/>
  <c r="C56" i="34" l="1"/>
  <c r="H53" i="34"/>
  <c r="A58" i="34"/>
  <c r="H53" i="35"/>
  <c r="H55" i="38"/>
  <c r="C58" i="38"/>
  <c r="A59" i="38"/>
  <c r="C56" i="35"/>
  <c r="A57" i="35"/>
  <c r="H52" i="13"/>
  <c r="H54" i="36"/>
  <c r="C55" i="13"/>
  <c r="A56" i="13"/>
  <c r="C57" i="36"/>
  <c r="A58" i="36"/>
  <c r="E56" i="34"/>
  <c r="E55" i="13"/>
  <c r="E57" i="36"/>
  <c r="G54" i="35"/>
  <c r="G53" i="13"/>
  <c r="E58" i="38"/>
  <c r="G55" i="36"/>
  <c r="F54" i="13"/>
  <c r="G54" i="34"/>
  <c r="F55" i="34"/>
  <c r="G56" i="38"/>
  <c r="F56" i="36"/>
  <c r="D58" i="36"/>
  <c r="D59" i="38"/>
  <c r="D57" i="34"/>
  <c r="F57" i="38"/>
  <c r="E56" i="35"/>
  <c r="F55" i="35"/>
  <c r="D57" i="35"/>
  <c r="D56" i="13"/>
  <c r="C57" i="34" l="1"/>
  <c r="H54" i="34"/>
  <c r="A59" i="34"/>
  <c r="H56" i="38"/>
  <c r="H54" i="35"/>
  <c r="C59" i="38"/>
  <c r="A60" i="38"/>
  <c r="C57" i="35"/>
  <c r="H53" i="13"/>
  <c r="H55" i="36"/>
  <c r="C56" i="13"/>
  <c r="A57" i="13"/>
  <c r="C58" i="36"/>
  <c r="A59" i="36"/>
  <c r="E57" i="34"/>
  <c r="G54" i="13"/>
  <c r="E56" i="13"/>
  <c r="F56" i="35"/>
  <c r="G57" i="38"/>
  <c r="G55" i="35"/>
  <c r="E59" i="38"/>
  <c r="F55" i="13"/>
  <c r="G55" i="34"/>
  <c r="F56" i="34"/>
  <c r="F58" i="38"/>
  <c r="E58" i="36"/>
  <c r="E57" i="35"/>
  <c r="F57" i="36"/>
  <c r="D58" i="34"/>
  <c r="G56" i="36"/>
  <c r="D60" i="38"/>
  <c r="D57" i="13"/>
  <c r="D59" i="36"/>
  <c r="C58" i="34" l="1"/>
  <c r="H55" i="34"/>
  <c r="A60" i="34"/>
  <c r="H55" i="35"/>
  <c r="H57" i="38"/>
  <c r="E9" i="35"/>
  <c r="C60" i="38"/>
  <c r="A61" i="38"/>
  <c r="H54" i="13"/>
  <c r="H56" i="36"/>
  <c r="C57" i="13"/>
  <c r="A58" i="13"/>
  <c r="C59" i="36"/>
  <c r="A60" i="36"/>
  <c r="E58" i="34"/>
  <c r="D61" i="38"/>
  <c r="E57" i="13"/>
  <c r="F57" i="35"/>
  <c r="E60" i="38"/>
  <c r="G56" i="34"/>
  <c r="F56" i="13"/>
  <c r="F57" i="34"/>
  <c r="G58" i="38"/>
  <c r="G57" i="36"/>
  <c r="F59" i="38"/>
  <c r="D59" i="34"/>
  <c r="F58" i="36"/>
  <c r="D60" i="36"/>
  <c r="G56" i="35"/>
  <c r="G55" i="13"/>
  <c r="E59" i="36"/>
  <c r="D58" i="13"/>
  <c r="C59" i="34" l="1"/>
  <c r="H56" i="34"/>
  <c r="A61" i="34"/>
  <c r="H58" i="38"/>
  <c r="H56" i="35"/>
  <c r="I56" i="35" s="1"/>
  <c r="J56" i="35" s="1"/>
  <c r="K56" i="35" s="1"/>
  <c r="I55" i="35"/>
  <c r="J55" i="35" s="1"/>
  <c r="K55" i="35" s="1"/>
  <c r="I13" i="35"/>
  <c r="J13" i="35" s="1"/>
  <c r="I16" i="35"/>
  <c r="J16" i="35" s="1"/>
  <c r="I12" i="35"/>
  <c r="J12" i="35" s="1"/>
  <c r="I24" i="35"/>
  <c r="J24" i="35" s="1"/>
  <c r="I32" i="35"/>
  <c r="J32" i="35" s="1"/>
  <c r="I40" i="35"/>
  <c r="J40" i="35" s="1"/>
  <c r="I48" i="35"/>
  <c r="J48" i="35" s="1"/>
  <c r="K48" i="35" s="1"/>
  <c r="I26" i="35"/>
  <c r="J26" i="35" s="1"/>
  <c r="I42" i="35"/>
  <c r="J42" i="35" s="1"/>
  <c r="I19" i="35"/>
  <c r="J19" i="35" s="1"/>
  <c r="I35" i="35"/>
  <c r="J35" i="35" s="1"/>
  <c r="I17" i="35"/>
  <c r="J17" i="35" s="1"/>
  <c r="I25" i="35"/>
  <c r="J25" i="35" s="1"/>
  <c r="I33" i="35"/>
  <c r="J33" i="35" s="1"/>
  <c r="I41" i="35"/>
  <c r="J41" i="35" s="1"/>
  <c r="I49" i="35"/>
  <c r="J49" i="35" s="1"/>
  <c r="I18" i="35"/>
  <c r="J18" i="35" s="1"/>
  <c r="I34" i="35"/>
  <c r="J34" i="35" s="1"/>
  <c r="I50" i="35"/>
  <c r="J50" i="35" s="1"/>
  <c r="K50" i="35" s="1"/>
  <c r="I27" i="35"/>
  <c r="J27" i="35" s="1"/>
  <c r="I43" i="35"/>
  <c r="J43" i="35" s="1"/>
  <c r="I20" i="35"/>
  <c r="J20" i="35" s="1"/>
  <c r="I28" i="35"/>
  <c r="J28" i="35" s="1"/>
  <c r="I36" i="35"/>
  <c r="J36" i="35" s="1"/>
  <c r="I44" i="35"/>
  <c r="J44" i="35" s="1"/>
  <c r="I52" i="35"/>
  <c r="J52" i="35" s="1"/>
  <c r="K52" i="35" s="1"/>
  <c r="I15" i="35"/>
  <c r="J15" i="35" s="1"/>
  <c r="I21" i="35"/>
  <c r="J21" i="35" s="1"/>
  <c r="I29" i="35"/>
  <c r="J29" i="35" s="1"/>
  <c r="I37" i="35"/>
  <c r="J37" i="35" s="1"/>
  <c r="I45" i="35"/>
  <c r="J45" i="35" s="1"/>
  <c r="I54" i="35"/>
  <c r="J54" i="35" s="1"/>
  <c r="K54" i="35" s="1"/>
  <c r="I14" i="35"/>
  <c r="J14" i="35" s="1"/>
  <c r="I22" i="35"/>
  <c r="J22" i="35" s="1"/>
  <c r="K22" i="35" s="1"/>
  <c r="I30" i="35"/>
  <c r="J30" i="35" s="1"/>
  <c r="I38" i="35"/>
  <c r="J38" i="35" s="1"/>
  <c r="I46" i="35"/>
  <c r="J46" i="35" s="1"/>
  <c r="I53" i="35"/>
  <c r="J53" i="35" s="1"/>
  <c r="K53" i="35" s="1"/>
  <c r="I23" i="35"/>
  <c r="J23" i="35" s="1"/>
  <c r="I31" i="35"/>
  <c r="J31" i="35" s="1"/>
  <c r="I39" i="35"/>
  <c r="J39" i="35" s="1"/>
  <c r="I47" i="35"/>
  <c r="J47" i="35" s="1"/>
  <c r="I51" i="35"/>
  <c r="J51" i="35" s="1"/>
  <c r="K51" i="35" s="1"/>
  <c r="C61" i="38"/>
  <c r="A62" i="38"/>
  <c r="F10" i="3"/>
  <c r="F9" i="3"/>
  <c r="F18" i="3"/>
  <c r="F14" i="3"/>
  <c r="F33" i="3"/>
  <c r="F38" i="3"/>
  <c r="F21" i="3"/>
  <c r="F26" i="3"/>
  <c r="F37" i="3"/>
  <c r="F51" i="3"/>
  <c r="F42" i="3"/>
  <c r="F60" i="3"/>
  <c r="F59" i="3"/>
  <c r="F54" i="3"/>
  <c r="F57" i="3"/>
  <c r="F56" i="3"/>
  <c r="H55" i="13"/>
  <c r="H57" i="36"/>
  <c r="C58" i="13"/>
  <c r="A59" i="13"/>
  <c r="C60" i="36"/>
  <c r="A61" i="36"/>
  <c r="E59" i="34"/>
  <c r="F57" i="13"/>
  <c r="D59" i="13"/>
  <c r="F59" i="36"/>
  <c r="G58" i="36"/>
  <c r="E61" i="38"/>
  <c r="G56" i="13"/>
  <c r="G57" i="34"/>
  <c r="F60" i="38"/>
  <c r="D61" i="36"/>
  <c r="D62" i="38"/>
  <c r="F58" i="34"/>
  <c r="G57" i="35"/>
  <c r="G59" i="38"/>
  <c r="D60" i="34"/>
  <c r="E58" i="13"/>
  <c r="E60" i="36"/>
  <c r="C60" i="34" l="1"/>
  <c r="H57" i="34"/>
  <c r="A62" i="34"/>
  <c r="H59" i="38"/>
  <c r="H57" i="35"/>
  <c r="I57" i="35" s="1"/>
  <c r="J57" i="35" s="1"/>
  <c r="K57" i="35" s="1"/>
  <c r="C62" i="38"/>
  <c r="A63" i="38"/>
  <c r="H56" i="13"/>
  <c r="H58" i="36"/>
  <c r="C59" i="13"/>
  <c r="A60" i="13"/>
  <c r="C61" i="36"/>
  <c r="A62" i="36"/>
  <c r="E60" i="34"/>
  <c r="G57" i="13"/>
  <c r="E62" i="38"/>
  <c r="D62" i="36"/>
  <c r="F58" i="13"/>
  <c r="G60" i="38"/>
  <c r="D63" i="38"/>
  <c r="E59" i="13"/>
  <c r="F60" i="36"/>
  <c r="G58" i="34"/>
  <c r="F61" i="38"/>
  <c r="F59" i="34"/>
  <c r="E61" i="36"/>
  <c r="G59" i="36"/>
  <c r="D60" i="13"/>
  <c r="D61" i="34"/>
  <c r="C61" i="34" l="1"/>
  <c r="H58" i="34"/>
  <c r="A63" i="34"/>
  <c r="H60" i="38"/>
  <c r="J10" i="35"/>
  <c r="I9" i="35"/>
  <c r="C63" i="38"/>
  <c r="F17" i="3"/>
  <c r="F11" i="3"/>
  <c r="H57" i="13"/>
  <c r="H59" i="36"/>
  <c r="C60" i="13"/>
  <c r="A61" i="13"/>
  <c r="C62" i="36"/>
  <c r="A63" i="36"/>
  <c r="E61" i="34"/>
  <c r="E60" i="13"/>
  <c r="G60" i="36"/>
  <c r="G58" i="13"/>
  <c r="E62" i="36"/>
  <c r="G61" i="38"/>
  <c r="D61" i="13"/>
  <c r="G59" i="34"/>
  <c r="D63" i="36"/>
  <c r="E63" i="38"/>
  <c r="F60" i="34"/>
  <c r="F62" i="38"/>
  <c r="F59" i="13"/>
  <c r="D62" i="34"/>
  <c r="F61" i="36"/>
  <c r="C62" i="34" l="1"/>
  <c r="H59" i="34"/>
  <c r="A64" i="34"/>
  <c r="H61" i="38"/>
  <c r="E9" i="38"/>
  <c r="I60" i="38" s="1"/>
  <c r="J60" i="38" s="1"/>
  <c r="K60" i="38" s="1"/>
  <c r="G10" i="35"/>
  <c r="J9" i="35"/>
  <c r="H58" i="13"/>
  <c r="H60" i="36"/>
  <c r="C61" i="13"/>
  <c r="A62" i="13"/>
  <c r="C63" i="36"/>
  <c r="A64" i="36"/>
  <c r="E62" i="34"/>
  <c r="F62" i="36"/>
  <c r="D62" i="13"/>
  <c r="E61" i="13"/>
  <c r="F60" i="13"/>
  <c r="G60" i="34"/>
  <c r="G62" i="38"/>
  <c r="F61" i="34"/>
  <c r="D63" i="34"/>
  <c r="F63" i="38"/>
  <c r="G59" i="13"/>
  <c r="G61" i="36"/>
  <c r="E63" i="36"/>
  <c r="D64" i="36"/>
  <c r="C63" i="34" l="1"/>
  <c r="H60" i="34"/>
  <c r="A65" i="34"/>
  <c r="I61" i="38"/>
  <c r="J61" i="38" s="1"/>
  <c r="K61" i="38" s="1"/>
  <c r="H62" i="38"/>
  <c r="I62" i="38" s="1"/>
  <c r="J62" i="38" s="1"/>
  <c r="K62" i="38" s="1"/>
  <c r="K10" i="35"/>
  <c r="K26" i="35"/>
  <c r="F30" i="3" s="1"/>
  <c r="K19" i="35"/>
  <c r="F23" i="3" s="1"/>
  <c r="K31" i="35"/>
  <c r="F35" i="3" s="1"/>
  <c r="K27" i="35"/>
  <c r="F31" i="3" s="1"/>
  <c r="K28" i="35"/>
  <c r="K37" i="35"/>
  <c r="F43" i="3" s="1"/>
  <c r="K20" i="35"/>
  <c r="F24" i="3" s="1"/>
  <c r="K12" i="35"/>
  <c r="F12" i="3" s="1"/>
  <c r="K42" i="35"/>
  <c r="F48" i="3" s="1"/>
  <c r="K47" i="35"/>
  <c r="K45" i="35"/>
  <c r="F52" i="3" s="1"/>
  <c r="K38" i="35"/>
  <c r="F44" i="3" s="1"/>
  <c r="K13" i="35"/>
  <c r="F13" i="3" s="1"/>
  <c r="K46" i="35"/>
  <c r="F53" i="3" s="1"/>
  <c r="K29" i="35"/>
  <c r="F32" i="3" s="1"/>
  <c r="K34" i="35"/>
  <c r="K44" i="35"/>
  <c r="F50" i="3" s="1"/>
  <c r="K14" i="35"/>
  <c r="F15" i="3" s="1"/>
  <c r="K41" i="35"/>
  <c r="F47" i="3" s="1"/>
  <c r="K49" i="35"/>
  <c r="F55" i="3" s="1"/>
  <c r="K18" i="35"/>
  <c r="F22" i="3" s="1"/>
  <c r="K30" i="35"/>
  <c r="F34" i="3" s="1"/>
  <c r="K16" i="35"/>
  <c r="F19" i="3" s="1"/>
  <c r="K40" i="35"/>
  <c r="F46" i="3" s="1"/>
  <c r="K25" i="35"/>
  <c r="F29" i="3" s="1"/>
  <c r="K33" i="35"/>
  <c r="F39" i="3" s="1"/>
  <c r="K23" i="35"/>
  <c r="F27" i="3" s="1"/>
  <c r="K15" i="35"/>
  <c r="F16" i="3" s="1"/>
  <c r="K32" i="35"/>
  <c r="F36" i="3" s="1"/>
  <c r="K35" i="35"/>
  <c r="F40" i="3" s="1"/>
  <c r="K43" i="35"/>
  <c r="F49" i="3" s="1"/>
  <c r="K39" i="35"/>
  <c r="F45" i="3" s="1"/>
  <c r="K24" i="35"/>
  <c r="F28" i="3" s="1"/>
  <c r="K36" i="35"/>
  <c r="F41" i="3" s="1"/>
  <c r="K21" i="35"/>
  <c r="F25" i="3" s="1"/>
  <c r="K17" i="35"/>
  <c r="F20" i="3" s="1"/>
  <c r="I16" i="38"/>
  <c r="J16" i="38" s="1"/>
  <c r="I20" i="38"/>
  <c r="J20" i="38" s="1"/>
  <c r="I28" i="38"/>
  <c r="J28" i="38" s="1"/>
  <c r="K28" i="38" s="1"/>
  <c r="I36" i="38"/>
  <c r="J36" i="38" s="1"/>
  <c r="I44" i="38"/>
  <c r="J44" i="38" s="1"/>
  <c r="I52" i="38"/>
  <c r="J52" i="38" s="1"/>
  <c r="I57" i="38"/>
  <c r="J57" i="38" s="1"/>
  <c r="K57" i="38" s="1"/>
  <c r="I38" i="38"/>
  <c r="J38" i="38" s="1"/>
  <c r="I54" i="38"/>
  <c r="J54" i="38" s="1"/>
  <c r="I19" i="38"/>
  <c r="J19" i="38" s="1"/>
  <c r="I31" i="38"/>
  <c r="J31" i="38" s="1"/>
  <c r="I55" i="38"/>
  <c r="J55" i="38" s="1"/>
  <c r="K55" i="38" s="1"/>
  <c r="I17" i="38"/>
  <c r="J17" i="38" s="1"/>
  <c r="I21" i="38"/>
  <c r="J21" i="38" s="1"/>
  <c r="I29" i="38"/>
  <c r="J29" i="38" s="1"/>
  <c r="I37" i="38"/>
  <c r="J37" i="38" s="1"/>
  <c r="I45" i="38"/>
  <c r="J45" i="38" s="1"/>
  <c r="I53" i="38"/>
  <c r="J53" i="38" s="1"/>
  <c r="I13" i="38"/>
  <c r="J13" i="38" s="1"/>
  <c r="I22" i="38"/>
  <c r="J22" i="38" s="1"/>
  <c r="I30" i="38"/>
  <c r="J30" i="38" s="1"/>
  <c r="I46" i="38"/>
  <c r="J46" i="38" s="1"/>
  <c r="I39" i="38"/>
  <c r="J39" i="38" s="1"/>
  <c r="I18" i="38"/>
  <c r="J18" i="38" s="1"/>
  <c r="I24" i="38"/>
  <c r="J24" i="38" s="1"/>
  <c r="I32" i="38"/>
  <c r="J32" i="38" s="1"/>
  <c r="I40" i="38"/>
  <c r="J40" i="38" s="1"/>
  <c r="I48" i="38"/>
  <c r="J48" i="38" s="1"/>
  <c r="I56" i="38"/>
  <c r="J56" i="38" s="1"/>
  <c r="I12" i="38"/>
  <c r="I25" i="38"/>
  <c r="J25" i="38" s="1"/>
  <c r="I33" i="38"/>
  <c r="J33" i="38" s="1"/>
  <c r="I41" i="38"/>
  <c r="J41" i="38" s="1"/>
  <c r="I49" i="38"/>
  <c r="J49" i="38" s="1"/>
  <c r="I58" i="38"/>
  <c r="J58" i="38" s="1"/>
  <c r="K58" i="38" s="1"/>
  <c r="I15" i="38"/>
  <c r="J15" i="38" s="1"/>
  <c r="K15" i="38" s="1"/>
  <c r="I26" i="38"/>
  <c r="J26" i="38" s="1"/>
  <c r="I34" i="38"/>
  <c r="J34" i="38" s="1"/>
  <c r="I42" i="38"/>
  <c r="J42" i="38" s="1"/>
  <c r="I50" i="38"/>
  <c r="J50" i="38" s="1"/>
  <c r="I14" i="38"/>
  <c r="J14" i="38" s="1"/>
  <c r="K14" i="38" s="1"/>
  <c r="I27" i="38"/>
  <c r="J27" i="38" s="1"/>
  <c r="I35" i="38"/>
  <c r="J35" i="38" s="1"/>
  <c r="I43" i="38"/>
  <c r="J43" i="38" s="1"/>
  <c r="I51" i="38"/>
  <c r="J51" i="38" s="1"/>
  <c r="I59" i="38"/>
  <c r="J59" i="38" s="1"/>
  <c r="K59" i="38" s="1"/>
  <c r="I23" i="38"/>
  <c r="J23" i="38" s="1"/>
  <c r="I47" i="38"/>
  <c r="J47" i="38" s="1"/>
  <c r="N18" i="3"/>
  <c r="N9" i="3"/>
  <c r="N33" i="3"/>
  <c r="N38" i="3"/>
  <c r="N26" i="3"/>
  <c r="N30" i="3"/>
  <c r="N42" i="3"/>
  <c r="N59" i="3"/>
  <c r="N60" i="3"/>
  <c r="N57" i="3"/>
  <c r="N56" i="3"/>
  <c r="N54" i="3"/>
  <c r="H59" i="13"/>
  <c r="H61" i="36"/>
  <c r="C62" i="13"/>
  <c r="A63" i="13"/>
  <c r="C64" i="36"/>
  <c r="A65" i="36"/>
  <c r="E63" i="34"/>
  <c r="F63" i="36"/>
  <c r="G60" i="13"/>
  <c r="D63" i="13"/>
  <c r="G61" i="34"/>
  <c r="G63" i="38"/>
  <c r="F62" i="34"/>
  <c r="F61" i="13"/>
  <c r="E64" i="36"/>
  <c r="E62" i="13"/>
  <c r="G62" i="36"/>
  <c r="D65" i="36"/>
  <c r="D64" i="34"/>
  <c r="C64" i="34" l="1"/>
  <c r="H61" i="34"/>
  <c r="A66" i="34"/>
  <c r="H63" i="38"/>
  <c r="I63" i="38" s="1"/>
  <c r="J63" i="38" s="1"/>
  <c r="K63" i="38" s="1"/>
  <c r="J12" i="38"/>
  <c r="F58" i="3"/>
  <c r="G9" i="35"/>
  <c r="F8" i="3" s="1"/>
  <c r="K9" i="35"/>
  <c r="H60" i="13"/>
  <c r="H62" i="36"/>
  <c r="C63" i="13"/>
  <c r="A64" i="13"/>
  <c r="C65" i="36"/>
  <c r="A66" i="36"/>
  <c r="E64" i="34"/>
  <c r="D66" i="36"/>
  <c r="F62" i="13"/>
  <c r="E65" i="36"/>
  <c r="G62" i="34"/>
  <c r="F63" i="34"/>
  <c r="E63" i="13"/>
  <c r="G63" i="36"/>
  <c r="D64" i="13"/>
  <c r="D65" i="34"/>
  <c r="F64" i="36"/>
  <c r="G61" i="13"/>
  <c r="C65" i="34" l="1"/>
  <c r="H62" i="34"/>
  <c r="A67" i="34"/>
  <c r="I9" i="38"/>
  <c r="J10" i="38"/>
  <c r="K12" i="38"/>
  <c r="N14" i="3"/>
  <c r="N11" i="3"/>
  <c r="H61" i="13"/>
  <c r="H63" i="36"/>
  <c r="C64" i="13"/>
  <c r="A65" i="13"/>
  <c r="C66" i="36"/>
  <c r="A67" i="36"/>
  <c r="E65" i="34"/>
  <c r="D65" i="13"/>
  <c r="G62" i="13"/>
  <c r="F63" i="13"/>
  <c r="G64" i="36"/>
  <c r="G63" i="34"/>
  <c r="E66" i="36"/>
  <c r="F64" i="34"/>
  <c r="F65" i="36"/>
  <c r="E64" i="13"/>
  <c r="D66" i="34"/>
  <c r="D67" i="36"/>
  <c r="C66" i="34" l="1"/>
  <c r="H63" i="34"/>
  <c r="A68" i="34"/>
  <c r="G10" i="38"/>
  <c r="J9" i="38"/>
  <c r="H62" i="13"/>
  <c r="H64" i="36"/>
  <c r="C65" i="13"/>
  <c r="A66" i="13"/>
  <c r="C67" i="36"/>
  <c r="A68" i="36"/>
  <c r="E66" i="34"/>
  <c r="F66" i="36"/>
  <c r="E67" i="36"/>
  <c r="D68" i="36"/>
  <c r="G65" i="36"/>
  <c r="G63" i="13"/>
  <c r="G64" i="34"/>
  <c r="F65" i="34"/>
  <c r="E65" i="13"/>
  <c r="D67" i="34"/>
  <c r="F64" i="13"/>
  <c r="D66" i="13"/>
  <c r="C67" i="34" l="1"/>
  <c r="H64" i="34"/>
  <c r="A69" i="34"/>
  <c r="K10" i="38"/>
  <c r="K36" i="38"/>
  <c r="N35" i="3" s="1"/>
  <c r="K25" i="38"/>
  <c r="N23" i="3" s="1"/>
  <c r="K30" i="38"/>
  <c r="N28" i="3" s="1"/>
  <c r="K19" i="38"/>
  <c r="N16" i="3" s="1"/>
  <c r="K31" i="38"/>
  <c r="N29" i="3" s="1"/>
  <c r="K37" i="38"/>
  <c r="N36" i="3" s="1"/>
  <c r="K38" i="38"/>
  <c r="N37" i="3" s="1"/>
  <c r="K18" i="38"/>
  <c r="N15" i="3" s="1"/>
  <c r="K17" i="38"/>
  <c r="N13" i="3" s="1"/>
  <c r="K53" i="38"/>
  <c r="N53" i="3" s="1"/>
  <c r="K42" i="38"/>
  <c r="N41" i="3" s="1"/>
  <c r="K54" i="38"/>
  <c r="K43" i="38"/>
  <c r="N43" i="3" s="1"/>
  <c r="K52" i="38"/>
  <c r="N52" i="3" s="1"/>
  <c r="K26" i="38"/>
  <c r="N24" i="3" s="1"/>
  <c r="K27" i="38"/>
  <c r="N25" i="3" s="1"/>
  <c r="K32" i="38"/>
  <c r="N31" i="3" s="1"/>
  <c r="K21" i="38"/>
  <c r="N19" i="3" s="1"/>
  <c r="K49" i="38"/>
  <c r="N49" i="3" s="1"/>
  <c r="K22" i="38"/>
  <c r="N20" i="3" s="1"/>
  <c r="K56" i="38"/>
  <c r="N55" i="3" s="1"/>
  <c r="K41" i="38"/>
  <c r="N40" i="3" s="1"/>
  <c r="K46" i="38"/>
  <c r="N46" i="3" s="1"/>
  <c r="K35" i="38"/>
  <c r="N34" i="3" s="1"/>
  <c r="K47" i="38"/>
  <c r="N47" i="3" s="1"/>
  <c r="K50" i="38"/>
  <c r="N50" i="3" s="1"/>
  <c r="K16" i="38"/>
  <c r="N12" i="3" s="1"/>
  <c r="K44" i="38"/>
  <c r="N44" i="3" s="1"/>
  <c r="K33" i="38"/>
  <c r="K45" i="38"/>
  <c r="N45" i="3" s="1"/>
  <c r="K34" i="38"/>
  <c r="N32" i="3" s="1"/>
  <c r="K39" i="38"/>
  <c r="N39" i="3" s="1"/>
  <c r="K24" i="38"/>
  <c r="N22" i="3" s="1"/>
  <c r="K40" i="38"/>
  <c r="K29" i="38"/>
  <c r="N27" i="3" s="1"/>
  <c r="K48" i="38"/>
  <c r="N48" i="3" s="1"/>
  <c r="K13" i="38"/>
  <c r="N10" i="3" s="1"/>
  <c r="K23" i="38"/>
  <c r="N21" i="3" s="1"/>
  <c r="K51" i="38"/>
  <c r="N51" i="3" s="1"/>
  <c r="K20" i="38"/>
  <c r="N17" i="3" s="1"/>
  <c r="H63" i="13"/>
  <c r="H65" i="36"/>
  <c r="C66" i="13"/>
  <c r="A67" i="13"/>
  <c r="C68" i="36"/>
  <c r="A69" i="36"/>
  <c r="E67" i="34"/>
  <c r="G66" i="36"/>
  <c r="E68" i="36"/>
  <c r="D67" i="13"/>
  <c r="E66" i="13"/>
  <c r="G65" i="34"/>
  <c r="F65" i="13"/>
  <c r="G64" i="13"/>
  <c r="D69" i="36"/>
  <c r="F66" i="34"/>
  <c r="D68" i="34"/>
  <c r="F67" i="36"/>
  <c r="C68" i="34" l="1"/>
  <c r="H65" i="34"/>
  <c r="A70" i="34"/>
  <c r="N58" i="3"/>
  <c r="K9" i="38"/>
  <c r="G9" i="38"/>
  <c r="N8" i="3" s="1"/>
  <c r="H64" i="13"/>
  <c r="H66" i="36"/>
  <c r="C67" i="13"/>
  <c r="A68" i="13"/>
  <c r="C69" i="36"/>
  <c r="A70" i="36"/>
  <c r="E68" i="34"/>
  <c r="D68" i="13"/>
  <c r="D70" i="36"/>
  <c r="E67" i="13"/>
  <c r="G66" i="34"/>
  <c r="F66" i="13"/>
  <c r="G65" i="13"/>
  <c r="E69" i="36"/>
  <c r="F67" i="34"/>
  <c r="G67" i="36"/>
  <c r="F68" i="36"/>
  <c r="D69" i="34"/>
  <c r="C69" i="34" l="1"/>
  <c r="H66" i="34"/>
  <c r="A71" i="34"/>
  <c r="H65" i="13"/>
  <c r="H67" i="36"/>
  <c r="C68" i="13"/>
  <c r="A69" i="13"/>
  <c r="C70" i="36"/>
  <c r="A71" i="36"/>
  <c r="E69" i="34"/>
  <c r="G66" i="13"/>
  <c r="E70" i="36"/>
  <c r="D69" i="13"/>
  <c r="E68" i="13"/>
  <c r="G67" i="34"/>
  <c r="G68" i="36"/>
  <c r="F68" i="34"/>
  <c r="F69" i="36"/>
  <c r="F67" i="13"/>
  <c r="D70" i="34"/>
  <c r="D71" i="36"/>
  <c r="C70" i="34" l="1"/>
  <c r="H67" i="34"/>
  <c r="A72" i="34"/>
  <c r="H66" i="13"/>
  <c r="H68" i="36"/>
  <c r="C69" i="13"/>
  <c r="A70" i="13"/>
  <c r="C71" i="36"/>
  <c r="A72" i="36"/>
  <c r="E70" i="34"/>
  <c r="E69" i="13"/>
  <c r="F70" i="36"/>
  <c r="F68" i="13"/>
  <c r="E71" i="36"/>
  <c r="G68" i="34"/>
  <c r="D70" i="13"/>
  <c r="F69" i="34"/>
  <c r="G69" i="36"/>
  <c r="G67" i="13"/>
  <c r="D71" i="34"/>
  <c r="D72" i="36"/>
  <c r="C71" i="34" l="1"/>
  <c r="H68" i="34"/>
  <c r="A73" i="34"/>
  <c r="H67" i="13"/>
  <c r="H69" i="36"/>
  <c r="C70" i="13"/>
  <c r="A71" i="13"/>
  <c r="C72" i="36"/>
  <c r="A73" i="36"/>
  <c r="E71" i="34"/>
  <c r="F69" i="13"/>
  <c r="F71" i="36"/>
  <c r="G68" i="13"/>
  <c r="D71" i="13"/>
  <c r="G70" i="36"/>
  <c r="G69" i="34"/>
  <c r="D73" i="36"/>
  <c r="F70" i="34"/>
  <c r="D72" i="34"/>
  <c r="E72" i="36"/>
  <c r="E70" i="13"/>
  <c r="C72" i="34" l="1"/>
  <c r="H69" i="34"/>
  <c r="A74" i="34"/>
  <c r="H68" i="13"/>
  <c r="H70" i="36"/>
  <c r="C71" i="13"/>
  <c r="A72" i="13"/>
  <c r="C73" i="36"/>
  <c r="A74" i="36"/>
  <c r="E72" i="34"/>
  <c r="E73" i="36"/>
  <c r="F70" i="13"/>
  <c r="G69" i="13"/>
  <c r="G71" i="36"/>
  <c r="F72" i="36"/>
  <c r="G70" i="34"/>
  <c r="D72" i="13"/>
  <c r="F71" i="34"/>
  <c r="E71" i="13"/>
  <c r="D73" i="34"/>
  <c r="D74" i="36"/>
  <c r="C73" i="34" l="1"/>
  <c r="H70" i="34"/>
  <c r="A75" i="34"/>
  <c r="H69" i="13"/>
  <c r="H71" i="36"/>
  <c r="C72" i="13"/>
  <c r="A73" i="13"/>
  <c r="C74" i="36"/>
  <c r="A75" i="36"/>
  <c r="E73" i="34"/>
  <c r="E74" i="36"/>
  <c r="G70" i="13"/>
  <c r="F73" i="36"/>
  <c r="E72" i="13"/>
  <c r="G71" i="34"/>
  <c r="D73" i="13"/>
  <c r="F72" i="34"/>
  <c r="G72" i="36"/>
  <c r="F71" i="13"/>
  <c r="D74" i="34"/>
  <c r="D75" i="36"/>
  <c r="C74" i="34" l="1"/>
  <c r="H71" i="34"/>
  <c r="A76" i="34"/>
  <c r="H70" i="13"/>
  <c r="H72" i="36"/>
  <c r="C73" i="13"/>
  <c r="A74" i="13"/>
  <c r="C75" i="36"/>
  <c r="A76" i="36"/>
  <c r="E74" i="34"/>
  <c r="E75" i="36"/>
  <c r="G73" i="36"/>
  <c r="G71" i="13"/>
  <c r="G72" i="34"/>
  <c r="F74" i="36"/>
  <c r="D74" i="13"/>
  <c r="F73" i="34"/>
  <c r="F72" i="13"/>
  <c r="E73" i="13"/>
  <c r="D75" i="34"/>
  <c r="D76" i="36"/>
  <c r="C75" i="34" l="1"/>
  <c r="H72" i="34"/>
  <c r="A77" i="34"/>
  <c r="H71" i="13"/>
  <c r="H73" i="36"/>
  <c r="C74" i="13"/>
  <c r="A75" i="13"/>
  <c r="C76" i="36"/>
  <c r="A77" i="36"/>
  <c r="E75" i="34"/>
  <c r="F75" i="36"/>
  <c r="G72" i="13"/>
  <c r="G74" i="36"/>
  <c r="E74" i="13"/>
  <c r="G73" i="34"/>
  <c r="D75" i="13"/>
  <c r="F74" i="34"/>
  <c r="F73" i="13"/>
  <c r="E76" i="36"/>
  <c r="D76" i="34"/>
  <c r="D77" i="36"/>
  <c r="C76" i="34" l="1"/>
  <c r="H73" i="34"/>
  <c r="A78" i="34"/>
  <c r="H72" i="13"/>
  <c r="H74" i="36"/>
  <c r="C75" i="13"/>
  <c r="A76" i="13"/>
  <c r="C77" i="36"/>
  <c r="A78" i="36"/>
  <c r="E76" i="34"/>
  <c r="F76" i="36"/>
  <c r="E77" i="36"/>
  <c r="D76" i="13"/>
  <c r="G75" i="36"/>
  <c r="G74" i="34"/>
  <c r="E75" i="13"/>
  <c r="F75" i="34"/>
  <c r="G73" i="13"/>
  <c r="F74" i="13"/>
  <c r="D77" i="34"/>
  <c r="D78" i="36"/>
  <c r="C77" i="34" l="1"/>
  <c r="H74" i="34"/>
  <c r="A79" i="34"/>
  <c r="H73" i="13"/>
  <c r="H75" i="36"/>
  <c r="C76" i="13"/>
  <c r="A77" i="13"/>
  <c r="C78" i="36"/>
  <c r="A79" i="36"/>
  <c r="E77" i="34"/>
  <c r="G74" i="13"/>
  <c r="E76" i="13"/>
  <c r="F77" i="36"/>
  <c r="F75" i="13"/>
  <c r="D79" i="36"/>
  <c r="G75" i="34"/>
  <c r="D77" i="13"/>
  <c r="F76" i="34"/>
  <c r="G76" i="36"/>
  <c r="E78" i="36"/>
  <c r="D78" i="34"/>
  <c r="C78" i="34" l="1"/>
  <c r="H75" i="34"/>
  <c r="A80" i="34"/>
  <c r="H74" i="13"/>
  <c r="H76" i="36"/>
  <c r="C77" i="13"/>
  <c r="A78" i="13"/>
  <c r="C79" i="36"/>
  <c r="A80" i="36"/>
  <c r="E78" i="34"/>
  <c r="E79" i="36"/>
  <c r="F78" i="36"/>
  <c r="G75" i="13"/>
  <c r="G77" i="36"/>
  <c r="G76" i="34"/>
  <c r="E77" i="13"/>
  <c r="D78" i="13"/>
  <c r="F77" i="34"/>
  <c r="D79" i="34"/>
  <c r="F76" i="13"/>
  <c r="D80" i="36"/>
  <c r="C79" i="34" l="1"/>
  <c r="H76" i="34"/>
  <c r="A81" i="34"/>
  <c r="H75" i="13"/>
  <c r="H77" i="36"/>
  <c r="C78" i="13"/>
  <c r="A79" i="13"/>
  <c r="C80" i="36"/>
  <c r="A81" i="36"/>
  <c r="E79" i="34"/>
  <c r="E78" i="13"/>
  <c r="G76" i="13"/>
  <c r="F79" i="36"/>
  <c r="F77" i="13"/>
  <c r="G78" i="36"/>
  <c r="G77" i="34"/>
  <c r="D79" i="13"/>
  <c r="F78" i="34"/>
  <c r="D80" i="34"/>
  <c r="E80" i="36"/>
  <c r="D81" i="36"/>
  <c r="C80" i="34" l="1"/>
  <c r="H77" i="34"/>
  <c r="A82" i="34"/>
  <c r="H76" i="13"/>
  <c r="H78" i="36"/>
  <c r="C79" i="13"/>
  <c r="A80" i="13"/>
  <c r="C81" i="36"/>
  <c r="A82" i="36"/>
  <c r="E80" i="34"/>
  <c r="E79" i="13"/>
  <c r="E81" i="36"/>
  <c r="F80" i="36"/>
  <c r="G77" i="13"/>
  <c r="G79" i="36"/>
  <c r="G78" i="34"/>
  <c r="D82" i="36"/>
  <c r="D80" i="13"/>
  <c r="F79" i="34"/>
  <c r="D81" i="34"/>
  <c r="F78" i="13"/>
  <c r="C81" i="34" l="1"/>
  <c r="H78" i="34"/>
  <c r="A83" i="34"/>
  <c r="H77" i="13"/>
  <c r="H79" i="36"/>
  <c r="C80" i="13"/>
  <c r="A81" i="13"/>
  <c r="C82" i="36"/>
  <c r="A83" i="36"/>
  <c r="E81" i="34"/>
  <c r="F81" i="36"/>
  <c r="E82" i="36"/>
  <c r="G80" i="36"/>
  <c r="D81" i="13"/>
  <c r="G79" i="34"/>
  <c r="F79" i="13"/>
  <c r="F80" i="34"/>
  <c r="G78" i="13"/>
  <c r="E80" i="13"/>
  <c r="D82" i="34"/>
  <c r="D83" i="36"/>
  <c r="C82" i="34" l="1"/>
  <c r="H79" i="34"/>
  <c r="A84" i="34"/>
  <c r="H78" i="13"/>
  <c r="H80" i="36"/>
  <c r="C81" i="13"/>
  <c r="A82" i="13"/>
  <c r="C83" i="36"/>
  <c r="A84" i="36"/>
  <c r="E82" i="34"/>
  <c r="F80" i="13"/>
  <c r="E83" i="36"/>
  <c r="G79" i="13"/>
  <c r="G81" i="36"/>
  <c r="G80" i="34"/>
  <c r="D82" i="13"/>
  <c r="F81" i="34"/>
  <c r="F82" i="36"/>
  <c r="E81" i="13"/>
  <c r="D83" i="34"/>
  <c r="D84" i="36"/>
  <c r="C83" i="34" l="1"/>
  <c r="H80" i="34"/>
  <c r="A85" i="34"/>
  <c r="H79" i="13"/>
  <c r="H81" i="36"/>
  <c r="C82" i="13"/>
  <c r="A83" i="13"/>
  <c r="C84" i="36"/>
  <c r="A85" i="36"/>
  <c r="E83" i="34"/>
  <c r="F83" i="36"/>
  <c r="F81" i="13"/>
  <c r="G80" i="13"/>
  <c r="D83" i="13"/>
  <c r="E82" i="13"/>
  <c r="G81" i="34"/>
  <c r="G82" i="36"/>
  <c r="F82" i="34"/>
  <c r="D84" i="34"/>
  <c r="E84" i="36"/>
  <c r="D85" i="36"/>
  <c r="C84" i="34" l="1"/>
  <c r="H81" i="34"/>
  <c r="A86" i="34"/>
  <c r="H80" i="13"/>
  <c r="H82" i="36"/>
  <c r="C83" i="13"/>
  <c r="A84" i="13"/>
  <c r="C85" i="36"/>
  <c r="A86" i="36"/>
  <c r="E84" i="34"/>
  <c r="E83" i="13"/>
  <c r="F84" i="36"/>
  <c r="G81" i="13"/>
  <c r="F82" i="13"/>
  <c r="D84" i="13"/>
  <c r="E85" i="36"/>
  <c r="G82" i="34"/>
  <c r="G83" i="36"/>
  <c r="F83" i="34"/>
  <c r="D85" i="34"/>
  <c r="D86" i="36"/>
  <c r="C85" i="34" l="1"/>
  <c r="H82" i="34"/>
  <c r="A87" i="34"/>
  <c r="H81" i="13"/>
  <c r="H83" i="36"/>
  <c r="C84" i="13"/>
  <c r="A85" i="13"/>
  <c r="C86" i="36"/>
  <c r="A87" i="36"/>
  <c r="E85" i="34"/>
  <c r="G84" i="36"/>
  <c r="F85" i="36"/>
  <c r="F83" i="13"/>
  <c r="D85" i="13"/>
  <c r="G83" i="34"/>
  <c r="E86" i="36"/>
  <c r="F84" i="34"/>
  <c r="G82" i="13"/>
  <c r="E84" i="13"/>
  <c r="D86" i="34"/>
  <c r="D87" i="36"/>
  <c r="C86" i="34" l="1"/>
  <c r="H83" i="34"/>
  <c r="A88" i="34"/>
  <c r="H82" i="13"/>
  <c r="H84" i="36"/>
  <c r="C85" i="13"/>
  <c r="A86" i="13"/>
  <c r="C87" i="36"/>
  <c r="A88" i="36"/>
  <c r="E86" i="34"/>
  <c r="G85" i="36"/>
  <c r="F86" i="36"/>
  <c r="E85" i="13"/>
  <c r="D86" i="13"/>
  <c r="G84" i="34"/>
  <c r="F84" i="13"/>
  <c r="F85" i="34"/>
  <c r="G83" i="13"/>
  <c r="E87" i="36"/>
  <c r="D87" i="34"/>
  <c r="D88" i="36"/>
  <c r="C87" i="34" l="1"/>
  <c r="H84" i="34"/>
  <c r="A89" i="34"/>
  <c r="H83" i="13"/>
  <c r="H85" i="36"/>
  <c r="C86" i="13"/>
  <c r="A87" i="13"/>
  <c r="C88" i="36"/>
  <c r="A89" i="36"/>
  <c r="E87" i="34"/>
  <c r="F87" i="36"/>
  <c r="F85" i="13"/>
  <c r="G84" i="13"/>
  <c r="D87" i="13"/>
  <c r="E86" i="13"/>
  <c r="G85" i="34"/>
  <c r="G86" i="36"/>
  <c r="F86" i="34"/>
  <c r="E88" i="36"/>
  <c r="D88" i="34"/>
  <c r="D89" i="36"/>
  <c r="C88" i="34" l="1"/>
  <c r="H85" i="34"/>
  <c r="A90" i="34"/>
  <c r="H84" i="13"/>
  <c r="H86" i="36"/>
  <c r="C87" i="13"/>
  <c r="A88" i="13"/>
  <c r="C89" i="36"/>
  <c r="A90" i="36"/>
  <c r="E88" i="34"/>
  <c r="G87" i="36"/>
  <c r="G85" i="13"/>
  <c r="F86" i="13"/>
  <c r="F88" i="36"/>
  <c r="D88" i="13"/>
  <c r="G86" i="34"/>
  <c r="D90" i="36"/>
  <c r="F87" i="34"/>
  <c r="E89" i="36"/>
  <c r="E87" i="13"/>
  <c r="D89" i="34"/>
  <c r="C89" i="34" l="1"/>
  <c r="H86" i="34"/>
  <c r="A91" i="34"/>
  <c r="H85" i="13"/>
  <c r="H87" i="36"/>
  <c r="C88" i="13"/>
  <c r="A89" i="13"/>
  <c r="C90" i="36"/>
  <c r="A91" i="36"/>
  <c r="E89" i="34"/>
  <c r="E88" i="13"/>
  <c r="F87" i="13"/>
  <c r="G86" i="13"/>
  <c r="G88" i="36"/>
  <c r="F89" i="36"/>
  <c r="E90" i="36"/>
  <c r="G87" i="34"/>
  <c r="D89" i="13"/>
  <c r="F88" i="34"/>
  <c r="D90" i="34"/>
  <c r="D91" i="36"/>
  <c r="C90" i="34" l="1"/>
  <c r="H87" i="34"/>
  <c r="A92" i="34"/>
  <c r="H86" i="13"/>
  <c r="H88" i="36"/>
  <c r="C89" i="13"/>
  <c r="A90" i="13"/>
  <c r="C91" i="36"/>
  <c r="A92" i="36"/>
  <c r="E90" i="34"/>
  <c r="E91" i="36"/>
  <c r="E89" i="13"/>
  <c r="G87" i="13"/>
  <c r="D90" i="13"/>
  <c r="G88" i="34"/>
  <c r="F90" i="36"/>
  <c r="F89" i="34"/>
  <c r="F88" i="13"/>
  <c r="G89" i="36"/>
  <c r="D91" i="34"/>
  <c r="D92" i="36"/>
  <c r="C91" i="34" l="1"/>
  <c r="H88" i="34"/>
  <c r="A93" i="34"/>
  <c r="H87" i="13"/>
  <c r="H89" i="36"/>
  <c r="C90" i="13"/>
  <c r="A91" i="13"/>
  <c r="C92" i="36"/>
  <c r="A93" i="36"/>
  <c r="E91" i="34"/>
  <c r="E90" i="13"/>
  <c r="F89" i="13"/>
  <c r="G90" i="36"/>
  <c r="G88" i="13"/>
  <c r="G89" i="34"/>
  <c r="D91" i="13"/>
  <c r="F90" i="34"/>
  <c r="F91" i="36"/>
  <c r="E92" i="36"/>
  <c r="D92" i="34"/>
  <c r="D93" i="36"/>
  <c r="C92" i="34" l="1"/>
  <c r="H89" i="34"/>
  <c r="A94" i="34"/>
  <c r="H88" i="13"/>
  <c r="H90" i="36"/>
  <c r="C91" i="13"/>
  <c r="A92" i="13"/>
  <c r="C93" i="36"/>
  <c r="A94" i="36"/>
  <c r="E92" i="34"/>
  <c r="G89" i="13"/>
  <c r="G91" i="36"/>
  <c r="E93" i="36"/>
  <c r="D92" i="13"/>
  <c r="F92" i="36"/>
  <c r="G90" i="34"/>
  <c r="F91" i="34"/>
  <c r="E91" i="13"/>
  <c r="F90" i="13"/>
  <c r="D93" i="34"/>
  <c r="D94" i="36"/>
  <c r="C93" i="34" l="1"/>
  <c r="H90" i="34"/>
  <c r="A95" i="34"/>
  <c r="H89" i="13"/>
  <c r="H91" i="36"/>
  <c r="C92" i="13"/>
  <c r="A93" i="13"/>
  <c r="C94" i="36"/>
  <c r="A95" i="36"/>
  <c r="E93" i="34"/>
  <c r="G92" i="36"/>
  <c r="F93" i="36"/>
  <c r="E92" i="13"/>
  <c r="G91" i="34"/>
  <c r="G90" i="13"/>
  <c r="D93" i="13"/>
  <c r="E94" i="36"/>
  <c r="F92" i="34"/>
  <c r="F91" i="13"/>
  <c r="D94" i="34"/>
  <c r="D95" i="36"/>
  <c r="C94" i="34" l="1"/>
  <c r="H91" i="34"/>
  <c r="A96" i="34"/>
  <c r="H90" i="13"/>
  <c r="H92" i="36"/>
  <c r="C93" i="13"/>
  <c r="A94" i="13"/>
  <c r="C95" i="36"/>
  <c r="A96" i="36"/>
  <c r="E94" i="34"/>
  <c r="E93" i="13"/>
  <c r="F92" i="13"/>
  <c r="G93" i="36"/>
  <c r="E95" i="36"/>
  <c r="G92" i="34"/>
  <c r="D94" i="13"/>
  <c r="F93" i="34"/>
  <c r="G91" i="13"/>
  <c r="F94" i="36"/>
  <c r="D95" i="34"/>
  <c r="D96" i="36"/>
  <c r="C95" i="34" l="1"/>
  <c r="H92" i="34"/>
  <c r="A97" i="34"/>
  <c r="H91" i="13"/>
  <c r="H93" i="36"/>
  <c r="C94" i="13"/>
  <c r="A95" i="13"/>
  <c r="C96" i="36"/>
  <c r="A97" i="36"/>
  <c r="G92" i="13"/>
  <c r="E96" i="36"/>
  <c r="E95" i="34"/>
  <c r="F93" i="13"/>
  <c r="E94" i="13"/>
  <c r="G94" i="36"/>
  <c r="G93" i="34"/>
  <c r="D95" i="13"/>
  <c r="F94" i="34"/>
  <c r="F95" i="36"/>
  <c r="D96" i="34"/>
  <c r="D97" i="36"/>
  <c r="C96" i="34" l="1"/>
  <c r="H93" i="34"/>
  <c r="A98" i="34"/>
  <c r="H92" i="13"/>
  <c r="H94" i="36"/>
  <c r="C95" i="13"/>
  <c r="A96" i="13"/>
  <c r="C97" i="36"/>
  <c r="A98" i="36"/>
  <c r="E96" i="34"/>
  <c r="F96" i="36"/>
  <c r="G93" i="13"/>
  <c r="F94" i="13"/>
  <c r="E97" i="36"/>
  <c r="G94" i="34"/>
  <c r="D96" i="13"/>
  <c r="F95" i="34"/>
  <c r="E95" i="13"/>
  <c r="D97" i="34"/>
  <c r="G95" i="36"/>
  <c r="D98" i="36"/>
  <c r="C97" i="34" l="1"/>
  <c r="H94" i="34"/>
  <c r="A99" i="34"/>
  <c r="H93" i="13"/>
  <c r="H95" i="36"/>
  <c r="C96" i="13"/>
  <c r="A97" i="13"/>
  <c r="C98" i="36"/>
  <c r="A99" i="36"/>
  <c r="E97" i="34"/>
  <c r="G96" i="36"/>
  <c r="E98" i="36"/>
  <c r="G94" i="13"/>
  <c r="D97" i="13"/>
  <c r="F95" i="13"/>
  <c r="G95" i="34"/>
  <c r="F96" i="34"/>
  <c r="E96" i="13"/>
  <c r="F97" i="36"/>
  <c r="D98" i="34"/>
  <c r="D99" i="36"/>
  <c r="C98" i="34" l="1"/>
  <c r="H95" i="34"/>
  <c r="A100" i="34"/>
  <c r="H94" i="13"/>
  <c r="H96" i="36"/>
  <c r="C97" i="13"/>
  <c r="A98" i="13"/>
  <c r="C99" i="36"/>
  <c r="A100" i="36"/>
  <c r="E98" i="34"/>
  <c r="D100" i="36"/>
  <c r="G96" i="34"/>
  <c r="F97" i="34"/>
  <c r="E97" i="13"/>
  <c r="G95" i="13"/>
  <c r="E99" i="36"/>
  <c r="F96" i="13"/>
  <c r="D99" i="34"/>
  <c r="D98" i="13"/>
  <c r="G97" i="36"/>
  <c r="F98" i="36"/>
  <c r="C99" i="34" l="1"/>
  <c r="H96" i="34"/>
  <c r="A101" i="34"/>
  <c r="H95" i="13"/>
  <c r="H97" i="36"/>
  <c r="C98" i="13"/>
  <c r="A99" i="13"/>
  <c r="C100" i="36"/>
  <c r="A101" i="36"/>
  <c r="E99" i="34"/>
  <c r="G96" i="13"/>
  <c r="D99" i="13"/>
  <c r="E98" i="13"/>
  <c r="E100" i="36"/>
  <c r="G97" i="34"/>
  <c r="F98" i="34"/>
  <c r="F99" i="36"/>
  <c r="G98" i="36"/>
  <c r="D100" i="34"/>
  <c r="F97" i="13"/>
  <c r="D101" i="36"/>
  <c r="C100" i="34" l="1"/>
  <c r="H97" i="34"/>
  <c r="A102" i="34"/>
  <c r="H96" i="13"/>
  <c r="H98" i="36"/>
  <c r="C99" i="13"/>
  <c r="A100" i="13"/>
  <c r="C101" i="36"/>
  <c r="A102" i="36"/>
  <c r="F98" i="13"/>
  <c r="G98" i="34"/>
  <c r="F99" i="34"/>
  <c r="G97" i="13"/>
  <c r="F100" i="36"/>
  <c r="E99" i="13"/>
  <c r="D100" i="13"/>
  <c r="D102" i="36"/>
  <c r="D101" i="34"/>
  <c r="E100" i="34"/>
  <c r="E101" i="36"/>
  <c r="G99" i="36"/>
  <c r="C101" i="34" l="1"/>
  <c r="H98" i="34"/>
  <c r="A103" i="34"/>
  <c r="H97" i="13"/>
  <c r="H99" i="36"/>
  <c r="C100" i="13"/>
  <c r="A101" i="13"/>
  <c r="C102" i="36"/>
  <c r="A103" i="36"/>
  <c r="F100" i="34"/>
  <c r="G100" i="36"/>
  <c r="E101" i="34"/>
  <c r="D103" i="36"/>
  <c r="G99" i="34"/>
  <c r="F101" i="36"/>
  <c r="E100" i="13"/>
  <c r="G98" i="13"/>
  <c r="D102" i="34"/>
  <c r="F99" i="13"/>
  <c r="E102" i="36"/>
  <c r="D101" i="13"/>
  <c r="C102" i="34" l="1"/>
  <c r="H99" i="34"/>
  <c r="A104" i="34"/>
  <c r="H98" i="13"/>
  <c r="H100" i="36"/>
  <c r="C101" i="13"/>
  <c r="A102" i="13"/>
  <c r="C103" i="36"/>
  <c r="A104" i="36"/>
  <c r="E102" i="34"/>
  <c r="F101" i="34"/>
  <c r="G100" i="34"/>
  <c r="E101" i="13"/>
  <c r="G101" i="36"/>
  <c r="G99" i="13"/>
  <c r="D102" i="13"/>
  <c r="D103" i="34"/>
  <c r="F100" i="13"/>
  <c r="E103" i="36"/>
  <c r="D104" i="36"/>
  <c r="F102" i="36"/>
  <c r="C103" i="34" l="1"/>
  <c r="H100" i="34"/>
  <c r="A105" i="34"/>
  <c r="H99" i="13"/>
  <c r="H101" i="36"/>
  <c r="C102" i="13"/>
  <c r="A103" i="13"/>
  <c r="C104" i="36"/>
  <c r="A105" i="36"/>
  <c r="E103" i="34"/>
  <c r="G100" i="13"/>
  <c r="D105" i="36"/>
  <c r="E102" i="13"/>
  <c r="F101" i="13"/>
  <c r="G101" i="34"/>
  <c r="F102" i="34"/>
  <c r="G102" i="36"/>
  <c r="F103" i="36"/>
  <c r="D103" i="13"/>
  <c r="D104" i="34"/>
  <c r="E104" i="36"/>
  <c r="C104" i="34" l="1"/>
  <c r="H101" i="34"/>
  <c r="A106" i="34"/>
  <c r="H100" i="13"/>
  <c r="H102" i="36"/>
  <c r="C103" i="13"/>
  <c r="A104" i="13"/>
  <c r="C105" i="36"/>
  <c r="A106" i="36"/>
  <c r="E103" i="13"/>
  <c r="D104" i="13"/>
  <c r="E104" i="34"/>
  <c r="G103" i="36"/>
  <c r="F104" i="36"/>
  <c r="G102" i="34"/>
  <c r="F103" i="34"/>
  <c r="D106" i="36"/>
  <c r="F102" i="13"/>
  <c r="D105" i="34"/>
  <c r="G101" i="13"/>
  <c r="E105" i="36"/>
  <c r="C105" i="34" l="1"/>
  <c r="H102" i="34"/>
  <c r="A107" i="34"/>
  <c r="H101" i="13"/>
  <c r="H103" i="36"/>
  <c r="C104" i="13"/>
  <c r="A105" i="13"/>
  <c r="C106" i="36"/>
  <c r="A107" i="36"/>
  <c r="G104" i="36"/>
  <c r="D105" i="13"/>
  <c r="E104" i="13"/>
  <c r="E105" i="34"/>
  <c r="F105" i="36"/>
  <c r="F103" i="13"/>
  <c r="G103" i="34"/>
  <c r="F104" i="34"/>
  <c r="E106" i="36"/>
  <c r="G102" i="13"/>
  <c r="D106" i="34"/>
  <c r="D107" i="36"/>
  <c r="C106" i="34" l="1"/>
  <c r="H103" i="34"/>
  <c r="A108" i="34"/>
  <c r="H102" i="13"/>
  <c r="H104" i="36"/>
  <c r="C105" i="13"/>
  <c r="A106" i="13"/>
  <c r="C107" i="36"/>
  <c r="A108" i="36"/>
  <c r="E106" i="34"/>
  <c r="E105" i="13"/>
  <c r="E107" i="36"/>
  <c r="F106" i="36"/>
  <c r="G105" i="36"/>
  <c r="D106" i="13"/>
  <c r="G104" i="34"/>
  <c r="F105" i="34"/>
  <c r="F104" i="13"/>
  <c r="G103" i="13"/>
  <c r="D107" i="34"/>
  <c r="D108" i="36"/>
  <c r="C107" i="34" l="1"/>
  <c r="H104" i="34"/>
  <c r="A109" i="34"/>
  <c r="H103" i="13"/>
  <c r="H105" i="36"/>
  <c r="C106" i="13"/>
  <c r="A107" i="13"/>
  <c r="C108" i="36"/>
  <c r="A109" i="36"/>
  <c r="G104" i="13"/>
  <c r="E108" i="36"/>
  <c r="E107" i="34"/>
  <c r="F105" i="13"/>
  <c r="D107" i="13"/>
  <c r="G106" i="36"/>
  <c r="G105" i="34"/>
  <c r="F106" i="34"/>
  <c r="F107" i="36"/>
  <c r="E106" i="13"/>
  <c r="D108" i="34"/>
  <c r="D109" i="36"/>
  <c r="C108" i="34" l="1"/>
  <c r="H105" i="34"/>
  <c r="A110" i="34"/>
  <c r="H104" i="13"/>
  <c r="H106" i="36"/>
  <c r="C107" i="13"/>
  <c r="A108" i="13"/>
  <c r="C109" i="36"/>
  <c r="A110" i="36"/>
  <c r="E108" i="34"/>
  <c r="F108" i="36"/>
  <c r="E109" i="36"/>
  <c r="D108" i="13"/>
  <c r="E107" i="13"/>
  <c r="G106" i="34"/>
  <c r="F107" i="34"/>
  <c r="F106" i="13"/>
  <c r="G105" i="13"/>
  <c r="G107" i="36"/>
  <c r="D109" i="34"/>
  <c r="D110" i="36"/>
  <c r="C109" i="34" l="1"/>
  <c r="H106" i="34"/>
  <c r="A111" i="34"/>
  <c r="H105" i="13"/>
  <c r="H107" i="36"/>
  <c r="C108" i="13"/>
  <c r="A109" i="13"/>
  <c r="C110" i="36"/>
  <c r="A111" i="36"/>
  <c r="F109" i="36"/>
  <c r="E109" i="34"/>
  <c r="E108" i="13"/>
  <c r="D109" i="13"/>
  <c r="D111" i="36"/>
  <c r="F107" i="13"/>
  <c r="G107" i="34"/>
  <c r="F108" i="34"/>
  <c r="D110" i="34"/>
  <c r="E110" i="36"/>
  <c r="G108" i="36"/>
  <c r="G106" i="13"/>
  <c r="C110" i="34" l="1"/>
  <c r="H107" i="34"/>
  <c r="A112" i="34"/>
  <c r="H106" i="13"/>
  <c r="H108" i="36"/>
  <c r="C109" i="13"/>
  <c r="A110" i="13"/>
  <c r="C111" i="36"/>
  <c r="A112" i="36"/>
  <c r="E110" i="34"/>
  <c r="G109" i="36"/>
  <c r="E109" i="13"/>
  <c r="F108" i="13"/>
  <c r="D110" i="13"/>
  <c r="G107" i="13"/>
  <c r="E111" i="36"/>
  <c r="G108" i="34"/>
  <c r="F109" i="34"/>
  <c r="D111" i="34"/>
  <c r="D112" i="36"/>
  <c r="F110" i="36"/>
  <c r="C111" i="34" l="1"/>
  <c r="H108" i="34"/>
  <c r="A113" i="34"/>
  <c r="H107" i="13"/>
  <c r="H109" i="36"/>
  <c r="C110" i="13"/>
  <c r="A111" i="13"/>
  <c r="C112" i="36"/>
  <c r="A113" i="36"/>
  <c r="E111" i="34"/>
  <c r="E110" i="13"/>
  <c r="F111" i="36"/>
  <c r="G108" i="13"/>
  <c r="D113" i="36"/>
  <c r="E112" i="36"/>
  <c r="G109" i="34"/>
  <c r="F110" i="34"/>
  <c r="G110" i="36"/>
  <c r="D111" i="13"/>
  <c r="D112" i="34"/>
  <c r="F109" i="13"/>
  <c r="C112" i="34" l="1"/>
  <c r="H109" i="34"/>
  <c r="A114" i="34"/>
  <c r="H108" i="13"/>
  <c r="H110" i="36"/>
  <c r="C111" i="13"/>
  <c r="A112" i="13"/>
  <c r="C113" i="36"/>
  <c r="A114" i="36"/>
  <c r="D112" i="13"/>
  <c r="G109" i="13"/>
  <c r="D114" i="36"/>
  <c r="E113" i="36"/>
  <c r="E112" i="34"/>
  <c r="F112" i="36"/>
  <c r="G111" i="36"/>
  <c r="G110" i="34"/>
  <c r="F111" i="34"/>
  <c r="E111" i="13"/>
  <c r="F110" i="13"/>
  <c r="D113" i="34"/>
  <c r="C113" i="34" l="1"/>
  <c r="H110" i="34"/>
  <c r="A115" i="34"/>
  <c r="H109" i="13"/>
  <c r="H111" i="36"/>
  <c r="C112" i="13"/>
  <c r="A113" i="13"/>
  <c r="C114" i="36"/>
  <c r="A115" i="36"/>
  <c r="E113" i="34"/>
  <c r="G112" i="36"/>
  <c r="F113" i="36"/>
  <c r="G110" i="13"/>
  <c r="F111" i="13"/>
  <c r="D113" i="13"/>
  <c r="E112" i="13"/>
  <c r="G111" i="34"/>
  <c r="D115" i="36"/>
  <c r="F112" i="34"/>
  <c r="E114" i="36"/>
  <c r="D114" i="34"/>
  <c r="C114" i="34" l="1"/>
  <c r="H111" i="34"/>
  <c r="A116" i="34"/>
  <c r="H110" i="13"/>
  <c r="H112" i="36"/>
  <c r="C113" i="13"/>
  <c r="A114" i="13"/>
  <c r="C115" i="36"/>
  <c r="A116" i="36"/>
  <c r="E114" i="34"/>
  <c r="G111" i="13"/>
  <c r="E113" i="13"/>
  <c r="G113" i="36"/>
  <c r="F112" i="13"/>
  <c r="D116" i="36"/>
  <c r="G112" i="34"/>
  <c r="D114" i="13"/>
  <c r="F113" i="34"/>
  <c r="D115" i="34"/>
  <c r="E115" i="36"/>
  <c r="F114" i="36"/>
  <c r="C115" i="34" l="1"/>
  <c r="H112" i="34"/>
  <c r="A117" i="34"/>
  <c r="H111" i="13"/>
  <c r="H113" i="36"/>
  <c r="C114" i="13"/>
  <c r="A115" i="13"/>
  <c r="C116" i="36"/>
  <c r="A117" i="36"/>
  <c r="E115" i="34"/>
  <c r="G114" i="36"/>
  <c r="D115" i="13"/>
  <c r="F115" i="36"/>
  <c r="G112" i="13"/>
  <c r="G113" i="34"/>
  <c r="F113" i="13"/>
  <c r="F114" i="34"/>
  <c r="E114" i="13"/>
  <c r="E116" i="36"/>
  <c r="D116" i="34"/>
  <c r="D117" i="36"/>
  <c r="C116" i="34" l="1"/>
  <c r="H113" i="34"/>
  <c r="A118" i="34"/>
  <c r="H112" i="13"/>
  <c r="H114" i="36"/>
  <c r="C115" i="13"/>
  <c r="A116" i="13"/>
  <c r="C117" i="36"/>
  <c r="A118" i="36"/>
  <c r="F116" i="36"/>
  <c r="E116" i="34"/>
  <c r="G114" i="34"/>
  <c r="G115" i="36"/>
  <c r="G113" i="13"/>
  <c r="D116" i="13"/>
  <c r="F115" i="34"/>
  <c r="D117" i="34"/>
  <c r="D118" i="36"/>
  <c r="E117" i="36"/>
  <c r="E115" i="13"/>
  <c r="F114" i="13"/>
  <c r="C117" i="34" l="1"/>
  <c r="H114" i="34"/>
  <c r="A119" i="34"/>
  <c r="H113" i="13"/>
  <c r="H115" i="36"/>
  <c r="C116" i="13"/>
  <c r="A117" i="13"/>
  <c r="C118" i="36"/>
  <c r="A119" i="36"/>
  <c r="E117" i="34"/>
  <c r="E118" i="36"/>
  <c r="F115" i="13"/>
  <c r="F117" i="36"/>
  <c r="D117" i="13"/>
  <c r="G115" i="34"/>
  <c r="G114" i="13"/>
  <c r="F116" i="34"/>
  <c r="G116" i="36"/>
  <c r="E116" i="13"/>
  <c r="D118" i="34"/>
  <c r="D119" i="36"/>
  <c r="C118" i="34" l="1"/>
  <c r="H115" i="34"/>
  <c r="A120" i="34"/>
  <c r="H114" i="13"/>
  <c r="H116" i="36"/>
  <c r="C117" i="13"/>
  <c r="A118" i="13"/>
  <c r="C119" i="36"/>
  <c r="A120" i="36"/>
  <c r="E118" i="34"/>
  <c r="F118" i="36"/>
  <c r="G117" i="36"/>
  <c r="E117" i="13"/>
  <c r="D118" i="13"/>
  <c r="G116" i="34"/>
  <c r="F117" i="34"/>
  <c r="G115" i="13"/>
  <c r="E119" i="36"/>
  <c r="F116" i="13"/>
  <c r="D119" i="34"/>
  <c r="D120" i="36"/>
  <c r="C119" i="34" l="1"/>
  <c r="H116" i="34"/>
  <c r="A121" i="34"/>
  <c r="H115" i="13"/>
  <c r="H117" i="36"/>
  <c r="C118" i="13"/>
  <c r="A119" i="13"/>
  <c r="C120" i="36"/>
  <c r="A121" i="36"/>
  <c r="E119" i="34"/>
  <c r="E120" i="36"/>
  <c r="G116" i="13"/>
  <c r="D119" i="13"/>
  <c r="E118" i="13"/>
  <c r="G118" i="36"/>
  <c r="G117" i="34"/>
  <c r="F118" i="34"/>
  <c r="D120" i="34"/>
  <c r="F119" i="36"/>
  <c r="F117" i="13"/>
  <c r="D121" i="36"/>
  <c r="C120" i="34" l="1"/>
  <c r="H117" i="34"/>
  <c r="A122" i="34"/>
  <c r="H116" i="13"/>
  <c r="H118" i="36"/>
  <c r="C119" i="13"/>
  <c r="A120" i="13"/>
  <c r="C121" i="36"/>
  <c r="A122" i="36"/>
  <c r="E120" i="34"/>
  <c r="E119" i="13"/>
  <c r="F120" i="36"/>
  <c r="G119" i="36"/>
  <c r="D120" i="13"/>
  <c r="G118" i="34"/>
  <c r="F119" i="34"/>
  <c r="F118" i="13"/>
  <c r="G117" i="13"/>
  <c r="E121" i="36"/>
  <c r="D121" i="34"/>
  <c r="D122" i="36"/>
  <c r="C121" i="34" l="1"/>
  <c r="H118" i="34"/>
  <c r="A123" i="34"/>
  <c r="H117" i="13"/>
  <c r="H119" i="36"/>
  <c r="C120" i="13"/>
  <c r="A121" i="13"/>
  <c r="C122" i="36"/>
  <c r="A123" i="36"/>
  <c r="E121" i="34"/>
  <c r="E122" i="36"/>
  <c r="E120" i="13"/>
  <c r="G120" i="36"/>
  <c r="G118" i="13"/>
  <c r="F119" i="13"/>
  <c r="G119" i="34"/>
  <c r="D121" i="13"/>
  <c r="F120" i="34"/>
  <c r="F121" i="36"/>
  <c r="D122" i="34"/>
  <c r="D123" i="36"/>
  <c r="C122" i="34" l="1"/>
  <c r="H119" i="34"/>
  <c r="A124" i="34"/>
  <c r="H118" i="13"/>
  <c r="H120" i="36"/>
  <c r="C121" i="13"/>
  <c r="A122" i="13"/>
  <c r="C123" i="36"/>
  <c r="A124" i="36"/>
  <c r="E122" i="34"/>
  <c r="F120" i="13"/>
  <c r="E121" i="13"/>
  <c r="G120" i="34"/>
  <c r="E123" i="36"/>
  <c r="G119" i="13"/>
  <c r="D122" i="13"/>
  <c r="F121" i="34"/>
  <c r="D123" i="34"/>
  <c r="G121" i="36"/>
  <c r="F122" i="36"/>
  <c r="D124" i="36"/>
  <c r="C123" i="34" l="1"/>
  <c r="H120" i="34"/>
  <c r="A125" i="34"/>
  <c r="H119" i="13"/>
  <c r="H121" i="36"/>
  <c r="C122" i="13"/>
  <c r="A123" i="13"/>
  <c r="C124" i="36"/>
  <c r="A125" i="36"/>
  <c r="E123" i="34"/>
  <c r="G120" i="13"/>
  <c r="F123" i="36"/>
  <c r="F121" i="13"/>
  <c r="E124" i="36"/>
  <c r="G121" i="34"/>
  <c r="D123" i="13"/>
  <c r="F122" i="34"/>
  <c r="G122" i="36"/>
  <c r="E122" i="13"/>
  <c r="D124" i="34"/>
  <c r="D125" i="36"/>
  <c r="C124" i="34" l="1"/>
  <c r="H121" i="34"/>
  <c r="A126" i="34"/>
  <c r="H120" i="13"/>
  <c r="H122" i="36"/>
  <c r="C123" i="13"/>
  <c r="A124" i="13"/>
  <c r="C125" i="36"/>
  <c r="A126" i="36"/>
  <c r="E124" i="34"/>
  <c r="F122" i="13"/>
  <c r="E125" i="36"/>
  <c r="G121" i="13"/>
  <c r="G122" i="34"/>
  <c r="D124" i="13"/>
  <c r="E123" i="13"/>
  <c r="F123" i="34"/>
  <c r="G123" i="36"/>
  <c r="F124" i="36"/>
  <c r="D125" i="34"/>
  <c r="D126" i="36"/>
  <c r="C125" i="34" l="1"/>
  <c r="H122" i="34"/>
  <c r="A127" i="34"/>
  <c r="H121" i="13"/>
  <c r="H123" i="36"/>
  <c r="C124" i="13"/>
  <c r="A125" i="13"/>
  <c r="C126" i="36"/>
  <c r="A127" i="36"/>
  <c r="E125" i="34"/>
  <c r="G122" i="13"/>
  <c r="G124" i="36"/>
  <c r="D125" i="13"/>
  <c r="E124" i="13"/>
  <c r="G123" i="34"/>
  <c r="F125" i="36"/>
  <c r="E126" i="36"/>
  <c r="F124" i="34"/>
  <c r="F123" i="13"/>
  <c r="D126" i="34"/>
  <c r="D127" i="36"/>
  <c r="C126" i="34" l="1"/>
  <c r="H123" i="34"/>
  <c r="A128" i="34"/>
  <c r="H122" i="13"/>
  <c r="H124" i="36"/>
  <c r="C125" i="13"/>
  <c r="A126" i="13"/>
  <c r="C127" i="36"/>
  <c r="A128" i="36"/>
  <c r="E126" i="34"/>
  <c r="F124" i="13"/>
  <c r="F126" i="36"/>
  <c r="G123" i="13"/>
  <c r="D126" i="13"/>
  <c r="G124" i="34"/>
  <c r="E125" i="13"/>
  <c r="F125" i="34"/>
  <c r="E127" i="36"/>
  <c r="G125" i="36"/>
  <c r="D127" i="34"/>
  <c r="D128" i="36"/>
  <c r="C127" i="34" l="1"/>
  <c r="H124" i="34"/>
  <c r="A129" i="34"/>
  <c r="H123" i="13"/>
  <c r="H125" i="36"/>
  <c r="C126" i="13"/>
  <c r="A127" i="13"/>
  <c r="C128" i="36"/>
  <c r="A129" i="36"/>
  <c r="E127" i="34"/>
  <c r="F127" i="36"/>
  <c r="G124" i="13"/>
  <c r="F125" i="13"/>
  <c r="E126" i="13"/>
  <c r="G125" i="34"/>
  <c r="D127" i="13"/>
  <c r="F126" i="34"/>
  <c r="E128" i="36"/>
  <c r="G126" i="36"/>
  <c r="D128" i="34"/>
  <c r="D129" i="36"/>
  <c r="C128" i="34" l="1"/>
  <c r="H125" i="34"/>
  <c r="A130" i="34"/>
  <c r="H124" i="13"/>
  <c r="H126" i="36"/>
  <c r="C127" i="13"/>
  <c r="A128" i="13"/>
  <c r="C129" i="36"/>
  <c r="A130" i="36"/>
  <c r="E128" i="34"/>
  <c r="F126" i="13"/>
  <c r="G127" i="36"/>
  <c r="F128" i="36"/>
  <c r="E129" i="36"/>
  <c r="D128" i="13"/>
  <c r="G126" i="34"/>
  <c r="G125" i="13"/>
  <c r="F127" i="34"/>
  <c r="E127" i="13"/>
  <c r="D129" i="34"/>
  <c r="D130" i="36"/>
  <c r="C129" i="34" l="1"/>
  <c r="H126" i="34"/>
  <c r="A131" i="34"/>
  <c r="H125" i="13"/>
  <c r="H127" i="36"/>
  <c r="C128" i="13"/>
  <c r="A129" i="13"/>
  <c r="C130" i="36"/>
  <c r="A131" i="36"/>
  <c r="E129" i="34"/>
  <c r="G126" i="13"/>
  <c r="E130" i="36"/>
  <c r="F129" i="36"/>
  <c r="E128" i="13"/>
  <c r="G127" i="34"/>
  <c r="D131" i="36"/>
  <c r="D129" i="13"/>
  <c r="F128" i="34"/>
  <c r="G128" i="36"/>
  <c r="F127" i="13"/>
  <c r="D130" i="34"/>
  <c r="C130" i="34" l="1"/>
  <c r="H127" i="34"/>
  <c r="A132" i="34"/>
  <c r="H126" i="13"/>
  <c r="H128" i="36"/>
  <c r="C129" i="13"/>
  <c r="A130" i="13"/>
  <c r="C131" i="36"/>
  <c r="A132" i="36"/>
  <c r="E130" i="34"/>
  <c r="E129" i="13"/>
  <c r="F128" i="13"/>
  <c r="E131" i="36"/>
  <c r="G127" i="13"/>
  <c r="F130" i="36"/>
  <c r="D132" i="36"/>
  <c r="G128" i="34"/>
  <c r="D130" i="13"/>
  <c r="F129" i="34"/>
  <c r="G129" i="36"/>
  <c r="D131" i="34"/>
  <c r="C131" i="34" l="1"/>
  <c r="H128" i="34"/>
  <c r="A133" i="34"/>
  <c r="H127" i="13"/>
  <c r="H129" i="36"/>
  <c r="C130" i="13"/>
  <c r="A131" i="13"/>
  <c r="C132" i="36"/>
  <c r="A133" i="36"/>
  <c r="E131" i="34"/>
  <c r="F129" i="13"/>
  <c r="E132" i="36"/>
  <c r="F131" i="36"/>
  <c r="E130" i="13"/>
  <c r="D131" i="13"/>
  <c r="G129" i="34"/>
  <c r="F130" i="34"/>
  <c r="D133" i="36"/>
  <c r="G130" i="36"/>
  <c r="D132" i="34"/>
  <c r="G128" i="13"/>
  <c r="C132" i="34" l="1"/>
  <c r="H129" i="34"/>
  <c r="A134" i="34"/>
  <c r="H128" i="13"/>
  <c r="H130" i="36"/>
  <c r="C131" i="13"/>
  <c r="A132" i="13"/>
  <c r="C133" i="36"/>
  <c r="A134" i="36"/>
  <c r="E132" i="34"/>
  <c r="F130" i="13"/>
  <c r="E133" i="36"/>
  <c r="E131" i="13"/>
  <c r="G129" i="13"/>
  <c r="D132" i="13"/>
  <c r="G130" i="34"/>
  <c r="D134" i="36"/>
  <c r="F131" i="34"/>
  <c r="F132" i="36"/>
  <c r="G131" i="36"/>
  <c r="D133" i="34"/>
  <c r="C133" i="34" l="1"/>
  <c r="H130" i="34"/>
  <c r="A135" i="34"/>
  <c r="H129" i="13"/>
  <c r="H131" i="36"/>
  <c r="C132" i="13"/>
  <c r="A133" i="13"/>
  <c r="C134" i="36"/>
  <c r="A135" i="36"/>
  <c r="E133" i="34"/>
  <c r="G130" i="13"/>
  <c r="E134" i="36"/>
  <c r="F131" i="13"/>
  <c r="D133" i="13"/>
  <c r="G131" i="34"/>
  <c r="G132" i="36"/>
  <c r="F132" i="34"/>
  <c r="F133" i="36"/>
  <c r="E132" i="13"/>
  <c r="D134" i="34"/>
  <c r="D135" i="36"/>
  <c r="C134" i="34" l="1"/>
  <c r="H131" i="34"/>
  <c r="A136" i="34"/>
  <c r="H130" i="13"/>
  <c r="H132" i="36"/>
  <c r="C133" i="13"/>
  <c r="A134" i="13"/>
  <c r="C135" i="36"/>
  <c r="A136" i="36"/>
  <c r="E134" i="34"/>
  <c r="F132" i="13"/>
  <c r="F134" i="36"/>
  <c r="E135" i="36"/>
  <c r="G133" i="36"/>
  <c r="G131" i="13"/>
  <c r="D134" i="13"/>
  <c r="G132" i="34"/>
  <c r="F133" i="34"/>
  <c r="D135" i="34"/>
  <c r="E133" i="13"/>
  <c r="D136" i="36"/>
  <c r="C135" i="34" l="1"/>
  <c r="H132" i="34"/>
  <c r="A137" i="34"/>
  <c r="H131" i="13"/>
  <c r="H133" i="36"/>
  <c r="C134" i="13"/>
  <c r="A135" i="13"/>
  <c r="C136" i="36"/>
  <c r="A137" i="36"/>
  <c r="E135" i="34"/>
  <c r="G132" i="13"/>
  <c r="F135" i="36"/>
  <c r="F133" i="13"/>
  <c r="E136" i="36"/>
  <c r="D135" i="13"/>
  <c r="G134" i="36"/>
  <c r="G133" i="34"/>
  <c r="F134" i="34"/>
  <c r="E134" i="13"/>
  <c r="D136" i="34"/>
  <c r="D137" i="36"/>
  <c r="C136" i="34" l="1"/>
  <c r="H133" i="34"/>
  <c r="A138" i="34"/>
  <c r="H132" i="13"/>
  <c r="H134" i="36"/>
  <c r="C135" i="13"/>
  <c r="A136" i="13"/>
  <c r="C137" i="36"/>
  <c r="A138" i="36"/>
  <c r="E136" i="34"/>
  <c r="F134" i="13"/>
  <c r="G135" i="36"/>
  <c r="E137" i="36"/>
  <c r="E135" i="13"/>
  <c r="G134" i="34"/>
  <c r="F135" i="34"/>
  <c r="F136" i="36"/>
  <c r="D138" i="36"/>
  <c r="D137" i="34"/>
  <c r="G133" i="13"/>
  <c r="D136" i="13"/>
  <c r="C137" i="34" l="1"/>
  <c r="H134" i="34"/>
  <c r="A139" i="34"/>
  <c r="H133" i="13"/>
  <c r="H135" i="36"/>
  <c r="C136" i="13"/>
  <c r="A137" i="13"/>
  <c r="C138" i="36"/>
  <c r="A139" i="36"/>
  <c r="E137" i="34"/>
  <c r="F135" i="13"/>
  <c r="F137" i="36"/>
  <c r="E138" i="36"/>
  <c r="D137" i="13"/>
  <c r="G135" i="34"/>
  <c r="G134" i="13"/>
  <c r="F136" i="34"/>
  <c r="E136" i="13"/>
  <c r="G136" i="36"/>
  <c r="D138" i="34"/>
  <c r="D139" i="36"/>
  <c r="C138" i="34" l="1"/>
  <c r="H135" i="34"/>
  <c r="A140" i="34"/>
  <c r="H134" i="13"/>
  <c r="H136" i="36"/>
  <c r="C137" i="13"/>
  <c r="A138" i="13"/>
  <c r="C139" i="36"/>
  <c r="A140" i="36"/>
  <c r="E138" i="34"/>
  <c r="G135" i="13"/>
  <c r="E137" i="13"/>
  <c r="E139" i="36"/>
  <c r="G136" i="34"/>
  <c r="D138" i="13"/>
  <c r="F137" i="34"/>
  <c r="G137" i="36"/>
  <c r="F136" i="13"/>
  <c r="D139" i="34"/>
  <c r="F138" i="36"/>
  <c r="D140" i="36"/>
  <c r="C139" i="34" l="1"/>
  <c r="H136" i="34"/>
  <c r="A141" i="34"/>
  <c r="H135" i="13"/>
  <c r="H137" i="36"/>
  <c r="C138" i="13"/>
  <c r="A139" i="13"/>
  <c r="C140" i="36"/>
  <c r="A141" i="36"/>
  <c r="E139" i="34"/>
  <c r="F139" i="36"/>
  <c r="F137" i="13"/>
  <c r="G136" i="13"/>
  <c r="G138" i="36"/>
  <c r="E140" i="36"/>
  <c r="E138" i="13"/>
  <c r="G137" i="34"/>
  <c r="D139" i="13"/>
  <c r="F138" i="34"/>
  <c r="D141" i="36"/>
  <c r="D140" i="34"/>
  <c r="C140" i="34" l="1"/>
  <c r="H137" i="34"/>
  <c r="A142" i="34"/>
  <c r="H136" i="13"/>
  <c r="H138" i="36"/>
  <c r="C139" i="13"/>
  <c r="A140" i="13"/>
  <c r="C141" i="36"/>
  <c r="A142" i="36"/>
  <c r="E140" i="34"/>
  <c r="G139" i="36"/>
  <c r="E139" i="13"/>
  <c r="F138" i="13"/>
  <c r="G138" i="34"/>
  <c r="F139" i="34"/>
  <c r="G137" i="13"/>
  <c r="D142" i="36"/>
  <c r="D141" i="34"/>
  <c r="F140" i="36"/>
  <c r="E141" i="36"/>
  <c r="D140" i="13"/>
  <c r="C141" i="34" l="1"/>
  <c r="H138" i="34"/>
  <c r="A143" i="34"/>
  <c r="H137" i="13"/>
  <c r="H139" i="36"/>
  <c r="C140" i="13"/>
  <c r="A141" i="13"/>
  <c r="C142" i="36"/>
  <c r="A143" i="36"/>
  <c r="E141" i="34"/>
  <c r="G139" i="34"/>
  <c r="G140" i="36"/>
  <c r="F140" i="34"/>
  <c r="G138" i="13"/>
  <c r="F141" i="36"/>
  <c r="E140" i="13"/>
  <c r="F139" i="13"/>
  <c r="E142" i="36"/>
  <c r="D142" i="34"/>
  <c r="D143" i="36"/>
  <c r="D141" i="13"/>
  <c r="C142" i="34" l="1"/>
  <c r="H139" i="34"/>
  <c r="A144" i="34"/>
  <c r="H138" i="13"/>
  <c r="H140" i="36"/>
  <c r="C141" i="13"/>
  <c r="A142" i="13"/>
  <c r="C143" i="36"/>
  <c r="A144" i="36"/>
  <c r="E142" i="34"/>
  <c r="F141" i="34"/>
  <c r="E143" i="36"/>
  <c r="G139" i="13"/>
  <c r="E141" i="13"/>
  <c r="F140" i="13"/>
  <c r="D143" i="34"/>
  <c r="G141" i="36"/>
  <c r="D142" i="13"/>
  <c r="G140" i="34"/>
  <c r="F142" i="36"/>
  <c r="D144" i="36"/>
  <c r="H140" i="34" l="1"/>
  <c r="C143" i="34"/>
  <c r="A145" i="34"/>
  <c r="H139" i="13"/>
  <c r="H141" i="36"/>
  <c r="C142" i="13"/>
  <c r="A143" i="13"/>
  <c r="C144" i="36"/>
  <c r="A145" i="36"/>
  <c r="E142" i="13"/>
  <c r="E144" i="36"/>
  <c r="F143" i="36"/>
  <c r="E143" i="34"/>
  <c r="G140" i="13"/>
  <c r="D145" i="34"/>
  <c r="G142" i="36"/>
  <c r="D144" i="34"/>
  <c r="F142" i="34"/>
  <c r="F141" i="13"/>
  <c r="G141" i="34"/>
  <c r="D143" i="13"/>
  <c r="D145" i="36"/>
  <c r="H141" i="34" l="1"/>
  <c r="C144" i="34"/>
  <c r="C145" i="34"/>
  <c r="H140" i="13"/>
  <c r="H142" i="36"/>
  <c r="C143" i="13"/>
  <c r="A144" i="13"/>
  <c r="C145" i="36"/>
  <c r="A146" i="36"/>
  <c r="F142" i="13"/>
  <c r="G143" i="36"/>
  <c r="G142" i="34"/>
  <c r="F144" i="36"/>
  <c r="E145" i="36"/>
  <c r="E144" i="34"/>
  <c r="E145" i="34"/>
  <c r="E143" i="13"/>
  <c r="F143" i="34"/>
  <c r="G141" i="13"/>
  <c r="D146" i="36"/>
  <c r="D144" i="13"/>
  <c r="I106" i="34" l="1"/>
  <c r="J106" i="34" s="1"/>
  <c r="I59" i="34"/>
  <c r="J59" i="34" s="1"/>
  <c r="K59" i="34" s="1"/>
  <c r="E9" i="34"/>
  <c r="I105" i="34"/>
  <c r="J105" i="34" s="1"/>
  <c r="I58" i="34"/>
  <c r="J58" i="34" s="1"/>
  <c r="K58" i="34" s="1"/>
  <c r="H142" i="34"/>
  <c r="I142" i="34" s="1"/>
  <c r="J142" i="34" s="1"/>
  <c r="I141" i="34"/>
  <c r="J141" i="34" s="1"/>
  <c r="H141" i="13"/>
  <c r="H143" i="36"/>
  <c r="C144" i="13"/>
  <c r="A145" i="13"/>
  <c r="C146" i="36"/>
  <c r="A147" i="36"/>
  <c r="G143" i="34"/>
  <c r="F145" i="36"/>
  <c r="E146" i="36"/>
  <c r="G142" i="13"/>
  <c r="F145" i="34"/>
  <c r="F144" i="34"/>
  <c r="G144" i="36"/>
  <c r="F143" i="13"/>
  <c r="E144" i="13"/>
  <c r="D147" i="36"/>
  <c r="D145" i="13"/>
  <c r="H143" i="34" l="1"/>
  <c r="I143" i="34" s="1"/>
  <c r="J143" i="34" s="1"/>
  <c r="I67" i="34"/>
  <c r="J67" i="34" s="1"/>
  <c r="I107" i="34"/>
  <c r="J107" i="34" s="1"/>
  <c r="I42" i="34"/>
  <c r="J42" i="34" s="1"/>
  <c r="I100" i="34"/>
  <c r="J100" i="34" s="1"/>
  <c r="I83" i="34"/>
  <c r="J83" i="34" s="1"/>
  <c r="I123" i="34"/>
  <c r="J123" i="34" s="1"/>
  <c r="I52" i="34"/>
  <c r="J52" i="34" s="1"/>
  <c r="I44" i="34"/>
  <c r="J44" i="34" s="1"/>
  <c r="I49" i="34"/>
  <c r="J49" i="34" s="1"/>
  <c r="I111" i="34"/>
  <c r="J111" i="34" s="1"/>
  <c r="I64" i="34"/>
  <c r="J64" i="34" s="1"/>
  <c r="I71" i="34"/>
  <c r="J71" i="34" s="1"/>
  <c r="I30" i="34"/>
  <c r="J30" i="34" s="1"/>
  <c r="I34" i="34"/>
  <c r="J34" i="34" s="1"/>
  <c r="I125" i="34"/>
  <c r="J125" i="34" s="1"/>
  <c r="I25" i="34"/>
  <c r="J25" i="34" s="1"/>
  <c r="K25" i="34" s="1"/>
  <c r="I140" i="34"/>
  <c r="J140" i="34" s="1"/>
  <c r="I108" i="34"/>
  <c r="J108" i="34" s="1"/>
  <c r="I89" i="34"/>
  <c r="J89" i="34" s="1"/>
  <c r="I131" i="34"/>
  <c r="J131" i="34" s="1"/>
  <c r="I114" i="34"/>
  <c r="J114" i="34" s="1"/>
  <c r="I45" i="34"/>
  <c r="J45" i="34" s="1"/>
  <c r="I121" i="34"/>
  <c r="J121" i="34" s="1"/>
  <c r="I103" i="34"/>
  <c r="J103" i="34" s="1"/>
  <c r="I74" i="34"/>
  <c r="J74" i="34" s="1"/>
  <c r="I35" i="34"/>
  <c r="J35" i="34" s="1"/>
  <c r="I75" i="34"/>
  <c r="J75" i="34" s="1"/>
  <c r="I56" i="34"/>
  <c r="J56" i="34" s="1"/>
  <c r="K56" i="34" s="1"/>
  <c r="I117" i="34"/>
  <c r="J117" i="34" s="1"/>
  <c r="I12" i="34"/>
  <c r="I53" i="34"/>
  <c r="J53" i="34" s="1"/>
  <c r="K53" i="34" s="1"/>
  <c r="I40" i="34"/>
  <c r="J40" i="34" s="1"/>
  <c r="I23" i="34"/>
  <c r="J23" i="34" s="1"/>
  <c r="I15" i="34"/>
  <c r="J15" i="34" s="1"/>
  <c r="I78" i="34"/>
  <c r="J78" i="34" s="1"/>
  <c r="I27" i="34"/>
  <c r="J27" i="34" s="1"/>
  <c r="I31" i="34"/>
  <c r="J31" i="34" s="1"/>
  <c r="I98" i="34"/>
  <c r="J98" i="34" s="1"/>
  <c r="I109" i="34"/>
  <c r="J109" i="34" s="1"/>
  <c r="I120" i="34"/>
  <c r="J120" i="34" s="1"/>
  <c r="I72" i="34"/>
  <c r="J72" i="34" s="1"/>
  <c r="I66" i="34"/>
  <c r="J66" i="34" s="1"/>
  <c r="I130" i="34"/>
  <c r="J130" i="34" s="1"/>
  <c r="I113" i="34"/>
  <c r="J113" i="34" s="1"/>
  <c r="I99" i="34"/>
  <c r="J99" i="34" s="1"/>
  <c r="I65" i="34"/>
  <c r="J65" i="34" s="1"/>
  <c r="I129" i="34"/>
  <c r="J129" i="34" s="1"/>
  <c r="I139" i="34"/>
  <c r="J139" i="34" s="1"/>
  <c r="I70" i="34"/>
  <c r="J70" i="34" s="1"/>
  <c r="I116" i="34"/>
  <c r="J116" i="34" s="1"/>
  <c r="I80" i="34"/>
  <c r="J80" i="34" s="1"/>
  <c r="I133" i="34"/>
  <c r="J133" i="34" s="1"/>
  <c r="I57" i="34"/>
  <c r="J57" i="34" s="1"/>
  <c r="K57" i="34" s="1"/>
  <c r="I63" i="34"/>
  <c r="J63" i="34" s="1"/>
  <c r="I21" i="34"/>
  <c r="J21" i="34" s="1"/>
  <c r="I81" i="34"/>
  <c r="J81" i="34" s="1"/>
  <c r="I79" i="34"/>
  <c r="J79" i="34" s="1"/>
  <c r="I127" i="34"/>
  <c r="J127" i="34" s="1"/>
  <c r="I46" i="34"/>
  <c r="J46" i="34" s="1"/>
  <c r="I124" i="34"/>
  <c r="J124" i="34" s="1"/>
  <c r="I48" i="34"/>
  <c r="J48" i="34" s="1"/>
  <c r="I14" i="34"/>
  <c r="J14" i="34" s="1"/>
  <c r="I134" i="34"/>
  <c r="J134" i="34" s="1"/>
  <c r="I90" i="34"/>
  <c r="J90" i="34" s="1"/>
  <c r="I60" i="34"/>
  <c r="J60" i="34" s="1"/>
  <c r="I91" i="34"/>
  <c r="J91" i="34" s="1"/>
  <c r="I47" i="34"/>
  <c r="J47" i="34" s="1"/>
  <c r="I68" i="34"/>
  <c r="J68" i="34" s="1"/>
  <c r="I132" i="34"/>
  <c r="J132" i="34" s="1"/>
  <c r="I19" i="34"/>
  <c r="J19" i="34" s="1"/>
  <c r="I69" i="34"/>
  <c r="J69" i="34" s="1"/>
  <c r="I96" i="34"/>
  <c r="J96" i="34" s="1"/>
  <c r="I128" i="34"/>
  <c r="J128" i="34" s="1"/>
  <c r="I115" i="34"/>
  <c r="J115" i="34" s="1"/>
  <c r="I28" i="34"/>
  <c r="J28" i="34" s="1"/>
  <c r="I138" i="34"/>
  <c r="J138" i="34" s="1"/>
  <c r="I22" i="34"/>
  <c r="J22" i="34" s="1"/>
  <c r="I137" i="34"/>
  <c r="J137" i="34" s="1"/>
  <c r="I33" i="34"/>
  <c r="J33" i="34" s="1"/>
  <c r="I39" i="34"/>
  <c r="J39" i="34" s="1"/>
  <c r="I38" i="34"/>
  <c r="J38" i="34" s="1"/>
  <c r="I16" i="34"/>
  <c r="J16" i="34" s="1"/>
  <c r="I95" i="34"/>
  <c r="J95" i="34" s="1"/>
  <c r="I119" i="34"/>
  <c r="J119" i="34" s="1"/>
  <c r="I18" i="34"/>
  <c r="J18" i="34" s="1"/>
  <c r="I82" i="34"/>
  <c r="J82" i="34" s="1"/>
  <c r="I13" i="34"/>
  <c r="J13" i="34" s="1"/>
  <c r="I61" i="34"/>
  <c r="J61" i="34" s="1"/>
  <c r="I136" i="34"/>
  <c r="J136" i="34" s="1"/>
  <c r="I76" i="34"/>
  <c r="J76" i="34" s="1"/>
  <c r="I84" i="34"/>
  <c r="J84" i="34" s="1"/>
  <c r="I17" i="34"/>
  <c r="J17" i="34" s="1"/>
  <c r="I122" i="34"/>
  <c r="J122" i="34" s="1"/>
  <c r="I37" i="34"/>
  <c r="J37" i="34" s="1"/>
  <c r="I29" i="34"/>
  <c r="J29" i="34" s="1"/>
  <c r="I32" i="34"/>
  <c r="J32" i="34" s="1"/>
  <c r="I86" i="34"/>
  <c r="J86" i="34" s="1"/>
  <c r="I85" i="34"/>
  <c r="J85" i="34" s="1"/>
  <c r="I50" i="34"/>
  <c r="J50" i="34" s="1"/>
  <c r="I92" i="34"/>
  <c r="J92" i="34" s="1"/>
  <c r="I102" i="34"/>
  <c r="J102" i="34" s="1"/>
  <c r="I97" i="34"/>
  <c r="J97" i="34" s="1"/>
  <c r="I55" i="34"/>
  <c r="J55" i="34" s="1"/>
  <c r="K55" i="34" s="1"/>
  <c r="I87" i="34"/>
  <c r="J87" i="34" s="1"/>
  <c r="I24" i="34"/>
  <c r="J24" i="34" s="1"/>
  <c r="I88" i="34"/>
  <c r="J88" i="34" s="1"/>
  <c r="I62" i="34"/>
  <c r="J62" i="34" s="1"/>
  <c r="I51" i="34"/>
  <c r="J51" i="34" s="1"/>
  <c r="K51" i="34" s="1"/>
  <c r="I77" i="34"/>
  <c r="J77" i="34" s="1"/>
  <c r="I20" i="34"/>
  <c r="J20" i="34" s="1"/>
  <c r="I54" i="34"/>
  <c r="J54" i="34" s="1"/>
  <c r="K54" i="34" s="1"/>
  <c r="I26" i="34"/>
  <c r="J26" i="34" s="1"/>
  <c r="I43" i="34"/>
  <c r="J43" i="34" s="1"/>
  <c r="I41" i="34"/>
  <c r="J41" i="34" s="1"/>
  <c r="I135" i="34"/>
  <c r="J135" i="34" s="1"/>
  <c r="I112" i="34"/>
  <c r="J112" i="34" s="1"/>
  <c r="I93" i="34"/>
  <c r="J93" i="34" s="1"/>
  <c r="I94" i="34"/>
  <c r="J94" i="34" s="1"/>
  <c r="I126" i="34"/>
  <c r="J126" i="34" s="1"/>
  <c r="I110" i="34"/>
  <c r="J110" i="34" s="1"/>
  <c r="I101" i="34"/>
  <c r="J101" i="34" s="1"/>
  <c r="K101" i="34" s="1"/>
  <c r="I73" i="34"/>
  <c r="J73" i="34" s="1"/>
  <c r="I36" i="34"/>
  <c r="J36" i="34" s="1"/>
  <c r="I118" i="34"/>
  <c r="J118" i="34" s="1"/>
  <c r="I104" i="34"/>
  <c r="J104" i="34" s="1"/>
  <c r="H142" i="13"/>
  <c r="H144" i="36"/>
  <c r="C145" i="13"/>
  <c r="A146" i="13"/>
  <c r="C147" i="36"/>
  <c r="A148" i="36"/>
  <c r="G144" i="34"/>
  <c r="D148" i="36"/>
  <c r="G145" i="36"/>
  <c r="F144" i="13"/>
  <c r="G145" i="34"/>
  <c r="G143" i="13"/>
  <c r="D146" i="13"/>
  <c r="F146" i="36"/>
  <c r="E145" i="13"/>
  <c r="E147" i="36"/>
  <c r="H145" i="34" l="1"/>
  <c r="I145" i="34" s="1"/>
  <c r="J145" i="34" s="1"/>
  <c r="H144" i="34"/>
  <c r="I144" i="34" s="1"/>
  <c r="J144" i="34" s="1"/>
  <c r="J12" i="34"/>
  <c r="L14" i="3"/>
  <c r="I18" i="3"/>
  <c r="I9" i="3"/>
  <c r="G9" i="3"/>
  <c r="L18" i="3"/>
  <c r="G14" i="3"/>
  <c r="L9" i="3"/>
  <c r="G18" i="3"/>
  <c r="I14" i="3"/>
  <c r="I33" i="3"/>
  <c r="G33" i="3"/>
  <c r="L33" i="3"/>
  <c r="I38" i="3"/>
  <c r="G38" i="3"/>
  <c r="L38" i="3"/>
  <c r="L26" i="3"/>
  <c r="G26" i="3"/>
  <c r="I35" i="3"/>
  <c r="G35" i="3"/>
  <c r="L35" i="3"/>
  <c r="I26" i="3"/>
  <c r="G42" i="3"/>
  <c r="I42" i="3"/>
  <c r="I56" i="3"/>
  <c r="L42" i="3"/>
  <c r="G60" i="3"/>
  <c r="I57" i="3"/>
  <c r="L60" i="3"/>
  <c r="I59" i="3"/>
  <c r="G57" i="3"/>
  <c r="L56" i="3"/>
  <c r="L54" i="3"/>
  <c r="I60" i="3"/>
  <c r="L57" i="3"/>
  <c r="I54" i="3"/>
  <c r="G54" i="3"/>
  <c r="L59" i="3"/>
  <c r="G59" i="3"/>
  <c r="G56" i="3"/>
  <c r="H143" i="13"/>
  <c r="H145" i="36"/>
  <c r="C146" i="13"/>
  <c r="A147" i="13"/>
  <c r="C148" i="36"/>
  <c r="A149" i="36"/>
  <c r="F145" i="13"/>
  <c r="G146" i="36"/>
  <c r="E148" i="36"/>
  <c r="D149" i="36"/>
  <c r="G144" i="13"/>
  <c r="E146" i="13"/>
  <c r="F147" i="36"/>
  <c r="D147" i="13"/>
  <c r="I9" i="34" l="1"/>
  <c r="K12" i="34"/>
  <c r="J10" i="34"/>
  <c r="H144" i="13"/>
  <c r="H146" i="36"/>
  <c r="C147" i="13"/>
  <c r="A148" i="13"/>
  <c r="C149" i="36"/>
  <c r="A150" i="36"/>
  <c r="E149" i="36"/>
  <c r="G147" i="36"/>
  <c r="F148" i="36"/>
  <c r="D150" i="36"/>
  <c r="G145" i="13"/>
  <c r="F146" i="13"/>
  <c r="E147" i="13"/>
  <c r="D148" i="13"/>
  <c r="J9" i="34" l="1"/>
  <c r="G10" i="34"/>
  <c r="H145" i="13"/>
  <c r="H147" i="36"/>
  <c r="C148" i="13"/>
  <c r="A149" i="13"/>
  <c r="C150" i="36"/>
  <c r="A151" i="36"/>
  <c r="F147" i="13"/>
  <c r="G148" i="36"/>
  <c r="G146" i="13"/>
  <c r="E148" i="13"/>
  <c r="E150" i="36"/>
  <c r="F149" i="36"/>
  <c r="D149" i="13"/>
  <c r="D151" i="36"/>
  <c r="K10" i="34" l="1"/>
  <c r="K106" i="34"/>
  <c r="K41" i="34"/>
  <c r="K83" i="34"/>
  <c r="K87" i="34"/>
  <c r="K40" i="34"/>
  <c r="K137" i="34"/>
  <c r="K116" i="34"/>
  <c r="K43" i="34"/>
  <c r="K20" i="34"/>
  <c r="K35" i="34"/>
  <c r="K134" i="34"/>
  <c r="K13" i="34"/>
  <c r="K74" i="34"/>
  <c r="K52" i="34"/>
  <c r="K114" i="34"/>
  <c r="K128" i="34"/>
  <c r="K44" i="34"/>
  <c r="K76" i="34"/>
  <c r="K99" i="34"/>
  <c r="K21" i="34"/>
  <c r="K29" i="34"/>
  <c r="K64" i="34"/>
  <c r="K143" i="34"/>
  <c r="K111" i="34"/>
  <c r="K70" i="34"/>
  <c r="K141" i="34"/>
  <c r="K90" i="34"/>
  <c r="K94" i="34"/>
  <c r="K42" i="34"/>
  <c r="K61" i="34"/>
  <c r="K82" i="34"/>
  <c r="K108" i="34"/>
  <c r="K129" i="34"/>
  <c r="K103" i="34"/>
  <c r="K79" i="34"/>
  <c r="K109" i="34"/>
  <c r="K132" i="34"/>
  <c r="K72" i="34"/>
  <c r="K32" i="34"/>
  <c r="K39" i="34"/>
  <c r="K30" i="34"/>
  <c r="K120" i="34"/>
  <c r="K89" i="34"/>
  <c r="K93" i="34"/>
  <c r="K115" i="34"/>
  <c r="K18" i="34"/>
  <c r="K65" i="34"/>
  <c r="K85" i="34"/>
  <c r="K66" i="34"/>
  <c r="K98" i="34"/>
  <c r="K117" i="34"/>
  <c r="K23" i="34"/>
  <c r="K121" i="34"/>
  <c r="K126" i="34"/>
  <c r="K24" i="34"/>
  <c r="K33" i="34"/>
  <c r="K127" i="34"/>
  <c r="K45" i="34"/>
  <c r="K48" i="34"/>
  <c r="K102" i="34"/>
  <c r="K34" i="34"/>
  <c r="K15" i="34"/>
  <c r="K22" i="34"/>
  <c r="K142" i="34"/>
  <c r="K38" i="34"/>
  <c r="K73" i="34"/>
  <c r="K135" i="34"/>
  <c r="K49" i="34"/>
  <c r="K31" i="34"/>
  <c r="K26" i="34"/>
  <c r="K136" i="34"/>
  <c r="K124" i="34"/>
  <c r="K88" i="34"/>
  <c r="K96" i="34"/>
  <c r="K69" i="34"/>
  <c r="K19" i="34"/>
  <c r="K122" i="34"/>
  <c r="K123" i="34"/>
  <c r="K37" i="34"/>
  <c r="K125" i="34"/>
  <c r="K110" i="34"/>
  <c r="K105" i="34"/>
  <c r="K91" i="34"/>
  <c r="K14" i="34"/>
  <c r="K140" i="34"/>
  <c r="K75" i="34"/>
  <c r="K139" i="34"/>
  <c r="K86" i="34"/>
  <c r="K16" i="34"/>
  <c r="K81" i="34"/>
  <c r="K107" i="34"/>
  <c r="K97" i="34"/>
  <c r="K67" i="34"/>
  <c r="K60" i="34"/>
  <c r="K63" i="34"/>
  <c r="K77" i="34"/>
  <c r="K92" i="34"/>
  <c r="K46" i="34"/>
  <c r="K84" i="34"/>
  <c r="K27" i="34"/>
  <c r="K119" i="34"/>
  <c r="K47" i="34"/>
  <c r="K138" i="34"/>
  <c r="K62" i="34"/>
  <c r="K131" i="34"/>
  <c r="K130" i="34"/>
  <c r="K17" i="34"/>
  <c r="K28" i="34"/>
  <c r="K50" i="34"/>
  <c r="K104" i="34"/>
  <c r="K78" i="34"/>
  <c r="K95" i="34"/>
  <c r="K113" i="34"/>
  <c r="K118" i="34"/>
  <c r="K80" i="34"/>
  <c r="K36" i="34"/>
  <c r="K71" i="34"/>
  <c r="K133" i="34"/>
  <c r="K112" i="34"/>
  <c r="K100" i="34"/>
  <c r="K68" i="34"/>
  <c r="K144" i="34"/>
  <c r="K145" i="34"/>
  <c r="H146" i="13"/>
  <c r="H148" i="36"/>
  <c r="C149" i="13"/>
  <c r="A150" i="13"/>
  <c r="C151" i="36"/>
  <c r="A152" i="36"/>
  <c r="D152" i="36"/>
  <c r="G147" i="13"/>
  <c r="E151" i="36"/>
  <c r="F150" i="36"/>
  <c r="E149" i="13"/>
  <c r="G149" i="36"/>
  <c r="F148" i="13"/>
  <c r="D150" i="13"/>
  <c r="I32" i="3" l="1"/>
  <c r="G32" i="3"/>
  <c r="L32" i="3"/>
  <c r="I50" i="3"/>
  <c r="L50" i="3"/>
  <c r="G50" i="3"/>
  <c r="G11" i="3"/>
  <c r="I11" i="3"/>
  <c r="L11" i="3"/>
  <c r="L27" i="3"/>
  <c r="G27" i="3"/>
  <c r="I27" i="3"/>
  <c r="L13" i="3"/>
  <c r="I13" i="3"/>
  <c r="G13" i="3"/>
  <c r="G17" i="3"/>
  <c r="I17" i="3"/>
  <c r="L17" i="3"/>
  <c r="I55" i="3"/>
  <c r="L55" i="3"/>
  <c r="G55" i="3"/>
  <c r="L36" i="3"/>
  <c r="G36" i="3"/>
  <c r="I36" i="3"/>
  <c r="I45" i="3"/>
  <c r="G45" i="3"/>
  <c r="L45" i="3"/>
  <c r="L30" i="3"/>
  <c r="G30" i="3"/>
  <c r="I30" i="3"/>
  <c r="G43" i="3"/>
  <c r="L43" i="3"/>
  <c r="I43" i="3"/>
  <c r="I29" i="3"/>
  <c r="L29" i="3"/>
  <c r="G29" i="3"/>
  <c r="G12" i="3"/>
  <c r="L12" i="3"/>
  <c r="I12" i="3"/>
  <c r="G19" i="3"/>
  <c r="I19" i="3"/>
  <c r="L19" i="3"/>
  <c r="I53" i="3"/>
  <c r="G53" i="3"/>
  <c r="L53" i="3"/>
  <c r="L24" i="3"/>
  <c r="G24" i="3"/>
  <c r="I24" i="3"/>
  <c r="I51" i="3"/>
  <c r="L51" i="3"/>
  <c r="G51" i="3"/>
  <c r="G22" i="3"/>
  <c r="L22" i="3"/>
  <c r="I22" i="3"/>
  <c r="I10" i="3"/>
  <c r="G10" i="3"/>
  <c r="L10" i="3"/>
  <c r="G16" i="3"/>
  <c r="I16" i="3"/>
  <c r="L16" i="3"/>
  <c r="G52" i="3"/>
  <c r="I52" i="3"/>
  <c r="L52" i="3"/>
  <c r="G25" i="3"/>
  <c r="I25" i="3"/>
  <c r="L25" i="3"/>
  <c r="L39" i="3"/>
  <c r="I39" i="3"/>
  <c r="G39" i="3"/>
  <c r="I28" i="3"/>
  <c r="G28" i="3"/>
  <c r="L28" i="3"/>
  <c r="G49" i="3"/>
  <c r="L49" i="3"/>
  <c r="I49" i="3"/>
  <c r="G48" i="3"/>
  <c r="L48" i="3"/>
  <c r="I48" i="3"/>
  <c r="L37" i="3"/>
  <c r="G37" i="3"/>
  <c r="I37" i="3"/>
  <c r="L44" i="3"/>
  <c r="I44" i="3"/>
  <c r="G44" i="3"/>
  <c r="G21" i="3"/>
  <c r="L21" i="3"/>
  <c r="I21" i="3"/>
  <c r="G23" i="3"/>
  <c r="I23" i="3"/>
  <c r="L23" i="3"/>
  <c r="L15" i="3"/>
  <c r="G15" i="3"/>
  <c r="I15" i="3"/>
  <c r="I40" i="3"/>
  <c r="G40" i="3"/>
  <c r="L40" i="3"/>
  <c r="L31" i="3"/>
  <c r="I31" i="3"/>
  <c r="G31" i="3"/>
  <c r="L47" i="3"/>
  <c r="G47" i="3"/>
  <c r="I47" i="3"/>
  <c r="I20" i="3"/>
  <c r="L20" i="3"/>
  <c r="G20" i="3"/>
  <c r="G34" i="3"/>
  <c r="L34" i="3"/>
  <c r="I34" i="3"/>
  <c r="I41" i="3"/>
  <c r="G41" i="3"/>
  <c r="L41" i="3"/>
  <c r="L46" i="3"/>
  <c r="G46" i="3"/>
  <c r="I46" i="3"/>
  <c r="I58" i="3"/>
  <c r="G58" i="3"/>
  <c r="L58" i="3"/>
  <c r="K9" i="34"/>
  <c r="G9" i="34"/>
  <c r="H147" i="13"/>
  <c r="H149" i="36"/>
  <c r="C150" i="13"/>
  <c r="A151" i="13"/>
  <c r="C152" i="36"/>
  <c r="A153" i="36"/>
  <c r="E152" i="36"/>
  <c r="G150" i="36"/>
  <c r="G148" i="13"/>
  <c r="E150" i="13"/>
  <c r="F149" i="13"/>
  <c r="D153" i="36"/>
  <c r="F151" i="36"/>
  <c r="D151" i="13"/>
  <c r="L8" i="3" l="1"/>
  <c r="I8" i="3"/>
  <c r="G8" i="3"/>
  <c r="H148" i="13"/>
  <c r="H150" i="36"/>
  <c r="C151" i="13"/>
  <c r="A152" i="13"/>
  <c r="C153" i="36"/>
  <c r="A154" i="36"/>
  <c r="E151" i="13"/>
  <c r="F152" i="36"/>
  <c r="D154" i="36"/>
  <c r="E153" i="36"/>
  <c r="G151" i="36"/>
  <c r="G149" i="13"/>
  <c r="F150" i="13"/>
  <c r="D152" i="13"/>
  <c r="H149" i="13" l="1"/>
  <c r="H151" i="36"/>
  <c r="C152" i="13"/>
  <c r="A153" i="13"/>
  <c r="C154" i="36"/>
  <c r="A155" i="36"/>
  <c r="G150" i="13"/>
  <c r="D155" i="36"/>
  <c r="G152" i="36"/>
  <c r="E154" i="36"/>
  <c r="F151" i="13"/>
  <c r="F153" i="36"/>
  <c r="D153" i="13"/>
  <c r="E152" i="13"/>
  <c r="H150" i="13" l="1"/>
  <c r="H152" i="36"/>
  <c r="C153" i="13"/>
  <c r="A154" i="13"/>
  <c r="C155" i="36"/>
  <c r="A156" i="36"/>
  <c r="G151" i="13"/>
  <c r="F154" i="36"/>
  <c r="E153" i="13"/>
  <c r="F152" i="13"/>
  <c r="D156" i="36"/>
  <c r="D154" i="13"/>
  <c r="E155" i="36"/>
  <c r="G153" i="36"/>
  <c r="H151" i="13" l="1"/>
  <c r="H153" i="36"/>
  <c r="C154" i="13"/>
  <c r="A155" i="13"/>
  <c r="C156" i="36"/>
  <c r="A157" i="36"/>
  <c r="D157" i="36"/>
  <c r="F155" i="36"/>
  <c r="G152" i="13"/>
  <c r="G154" i="36"/>
  <c r="E156" i="36"/>
  <c r="E154" i="13"/>
  <c r="D155" i="13"/>
  <c r="F153" i="13"/>
  <c r="H152" i="13" l="1"/>
  <c r="H154" i="36"/>
  <c r="C155" i="13"/>
  <c r="A156" i="13"/>
  <c r="C157" i="36"/>
  <c r="A158" i="36"/>
  <c r="D158" i="36"/>
  <c r="F154" i="13"/>
  <c r="D156" i="13"/>
  <c r="E155" i="13"/>
  <c r="F156" i="36"/>
  <c r="G153" i="13"/>
  <c r="G155" i="36"/>
  <c r="E157" i="36"/>
  <c r="H153" i="13" l="1"/>
  <c r="H155" i="36"/>
  <c r="C156" i="13"/>
  <c r="A157" i="13"/>
  <c r="C158" i="36"/>
  <c r="A159" i="36"/>
  <c r="G154" i="13"/>
  <c r="F157" i="36"/>
  <c r="D157" i="13"/>
  <c r="E158" i="36"/>
  <c r="D159" i="36"/>
  <c r="F155" i="13"/>
  <c r="G156" i="36"/>
  <c r="E156" i="13"/>
  <c r="H154" i="13" l="1"/>
  <c r="H156" i="36"/>
  <c r="C157" i="13"/>
  <c r="A158" i="13"/>
  <c r="C159" i="36"/>
  <c r="A160" i="36"/>
  <c r="D158" i="13"/>
  <c r="G155" i="13"/>
  <c r="F156" i="13"/>
  <c r="G157" i="36"/>
  <c r="F158" i="36"/>
  <c r="E157" i="13"/>
  <c r="E159" i="36"/>
  <c r="D160" i="36"/>
  <c r="H155" i="13" l="1"/>
  <c r="H157" i="36"/>
  <c r="C158" i="13"/>
  <c r="A159" i="13"/>
  <c r="C160" i="36"/>
  <c r="A161" i="36"/>
  <c r="E158" i="13"/>
  <c r="G156" i="13"/>
  <c r="F159" i="36"/>
  <c r="D159" i="13"/>
  <c r="F157" i="13"/>
  <c r="E160" i="36"/>
  <c r="D161" i="36"/>
  <c r="G158" i="36"/>
  <c r="H156" i="13" l="1"/>
  <c r="H158" i="36"/>
  <c r="C159" i="13"/>
  <c r="A160" i="13"/>
  <c r="C161" i="36"/>
  <c r="A162" i="36"/>
  <c r="D160" i="13"/>
  <c r="E161" i="36"/>
  <c r="E159" i="13"/>
  <c r="F158" i="13"/>
  <c r="F160" i="36"/>
  <c r="D162" i="36"/>
  <c r="G159" i="36"/>
  <c r="G157" i="13"/>
  <c r="H157" i="13" l="1"/>
  <c r="H159" i="36"/>
  <c r="C160" i="13"/>
  <c r="A161" i="13"/>
  <c r="C162" i="36"/>
  <c r="A163" i="36"/>
  <c r="E162" i="36"/>
  <c r="E160" i="13"/>
  <c r="G158" i="13"/>
  <c r="D163" i="36"/>
  <c r="D161" i="13"/>
  <c r="F159" i="13"/>
  <c r="G160" i="36"/>
  <c r="F161" i="36"/>
  <c r="H158" i="13" l="1"/>
  <c r="H160" i="36"/>
  <c r="C161" i="13"/>
  <c r="A162" i="13"/>
  <c r="C163" i="36"/>
  <c r="A164" i="36"/>
  <c r="F162" i="36"/>
  <c r="D162" i="13"/>
  <c r="E163" i="36"/>
  <c r="F160" i="13"/>
  <c r="D164" i="36"/>
  <c r="E161" i="13"/>
  <c r="G159" i="13"/>
  <c r="G161" i="36"/>
  <c r="H159" i="13" l="1"/>
  <c r="H161" i="36"/>
  <c r="C162" i="13"/>
  <c r="A163" i="13"/>
  <c r="C164" i="36"/>
  <c r="A165" i="36"/>
  <c r="G162" i="36"/>
  <c r="F163" i="36"/>
  <c r="D163" i="13"/>
  <c r="F161" i="13"/>
  <c r="G160" i="13"/>
  <c r="D165" i="36"/>
  <c r="E164" i="36"/>
  <c r="E162" i="13"/>
  <c r="H160" i="13" l="1"/>
  <c r="H162" i="36"/>
  <c r="C163" i="13"/>
  <c r="A164" i="13"/>
  <c r="C165" i="36"/>
  <c r="A166" i="36"/>
  <c r="E163" i="13"/>
  <c r="F164" i="36"/>
  <c r="G161" i="13"/>
  <c r="D164" i="13"/>
  <c r="G163" i="36"/>
  <c r="D166" i="36"/>
  <c r="F162" i="13"/>
  <c r="E165" i="36"/>
  <c r="H161" i="13" l="1"/>
  <c r="H163" i="36"/>
  <c r="C164" i="13"/>
  <c r="A165" i="13"/>
  <c r="C166" i="36"/>
  <c r="A167" i="36"/>
  <c r="G164" i="36"/>
  <c r="E166" i="36"/>
  <c r="F163" i="13"/>
  <c r="F165" i="36"/>
  <c r="D167" i="36"/>
  <c r="D165" i="13"/>
  <c r="G162" i="13"/>
  <c r="E164" i="13"/>
  <c r="H162" i="13" l="1"/>
  <c r="H164" i="36"/>
  <c r="C165" i="13"/>
  <c r="A166" i="13"/>
  <c r="C167" i="36"/>
  <c r="A168" i="36"/>
  <c r="F164" i="13"/>
  <c r="E165" i="13"/>
  <c r="D168" i="36"/>
  <c r="E167" i="36"/>
  <c r="F166" i="36"/>
  <c r="G165" i="36"/>
  <c r="G163" i="13"/>
  <c r="D166" i="13"/>
  <c r="H163" i="13" l="1"/>
  <c r="H165" i="36"/>
  <c r="C166" i="13"/>
  <c r="A167" i="13"/>
  <c r="C168" i="36"/>
  <c r="A169" i="36"/>
  <c r="G166" i="36"/>
  <c r="E166" i="13"/>
  <c r="E168" i="36"/>
  <c r="F167" i="36"/>
  <c r="F165" i="13"/>
  <c r="D167" i="13"/>
  <c r="G164" i="13"/>
  <c r="D169" i="36"/>
  <c r="H164" i="13" l="1"/>
  <c r="H166" i="36"/>
  <c r="C167" i="13"/>
  <c r="A168" i="13"/>
  <c r="C169" i="36"/>
  <c r="A170" i="36"/>
  <c r="G165" i="13"/>
  <c r="E167" i="13"/>
  <c r="F166" i="13"/>
  <c r="F168" i="36"/>
  <c r="D170" i="36"/>
  <c r="G167" i="36"/>
  <c r="D168" i="13"/>
  <c r="E169" i="36"/>
  <c r="H165" i="13" l="1"/>
  <c r="H167" i="36"/>
  <c r="C168" i="13"/>
  <c r="A169" i="13"/>
  <c r="C170" i="36"/>
  <c r="A171" i="36"/>
  <c r="E168" i="13"/>
  <c r="G168" i="36"/>
  <c r="D169" i="13"/>
  <c r="G166" i="13"/>
  <c r="D171" i="36"/>
  <c r="E170" i="36"/>
  <c r="F167" i="13"/>
  <c r="F169" i="36"/>
  <c r="H166" i="13" l="1"/>
  <c r="H168" i="36"/>
  <c r="C169" i="13"/>
  <c r="A170" i="13"/>
  <c r="C171" i="36"/>
  <c r="A172" i="36"/>
  <c r="G169" i="36"/>
  <c r="F170" i="36"/>
  <c r="E171" i="36"/>
  <c r="F168" i="13"/>
  <c r="D172" i="36"/>
  <c r="G167" i="13"/>
  <c r="E169" i="13"/>
  <c r="D170" i="13"/>
  <c r="H167" i="13" l="1"/>
  <c r="H169" i="36"/>
  <c r="C170" i="13"/>
  <c r="A171" i="13"/>
  <c r="C172" i="36"/>
  <c r="A173" i="36"/>
  <c r="D171" i="13"/>
  <c r="F171" i="36"/>
  <c r="F169" i="13"/>
  <c r="E172" i="36"/>
  <c r="E170" i="13"/>
  <c r="G168" i="13"/>
  <c r="G170" i="36"/>
  <c r="D173" i="36"/>
  <c r="H168" i="13" l="1"/>
  <c r="H170" i="36"/>
  <c r="C171" i="13"/>
  <c r="A172" i="13"/>
  <c r="C173" i="36"/>
  <c r="A174" i="36"/>
  <c r="E171" i="13"/>
  <c r="G169" i="13"/>
  <c r="E173" i="36"/>
  <c r="D172" i="13"/>
  <c r="D174" i="36"/>
  <c r="G171" i="36"/>
  <c r="F172" i="36"/>
  <c r="F170" i="13"/>
  <c r="H169" i="13" l="1"/>
  <c r="H171" i="36"/>
  <c r="C172" i="13"/>
  <c r="A173" i="13"/>
  <c r="C174" i="36"/>
  <c r="A175" i="36"/>
  <c r="F171" i="13"/>
  <c r="F173" i="36"/>
  <c r="E174" i="36"/>
  <c r="E172" i="13"/>
  <c r="D175" i="36"/>
  <c r="D173" i="13"/>
  <c r="G170" i="13"/>
  <c r="G172" i="36"/>
  <c r="H170" i="13" l="1"/>
  <c r="H172" i="36"/>
  <c r="C173" i="13"/>
  <c r="A174" i="13"/>
  <c r="C175" i="36"/>
  <c r="A176" i="36"/>
  <c r="G173" i="36"/>
  <c r="E173" i="13"/>
  <c r="D174" i="13"/>
  <c r="F174" i="36"/>
  <c r="E175" i="36"/>
  <c r="D176" i="36"/>
  <c r="G171" i="13"/>
  <c r="F172" i="13"/>
  <c r="H171" i="13" l="1"/>
  <c r="H173" i="36"/>
  <c r="C174" i="13"/>
  <c r="A175" i="13"/>
  <c r="C176" i="36"/>
  <c r="A177" i="36"/>
  <c r="E176" i="36"/>
  <c r="D175" i="13"/>
  <c r="F175" i="36"/>
  <c r="F173" i="13"/>
  <c r="G172" i="13"/>
  <c r="E174" i="13"/>
  <c r="D177" i="36"/>
  <c r="G174" i="36"/>
  <c r="H172" i="13" l="1"/>
  <c r="H174" i="36"/>
  <c r="C175" i="13"/>
  <c r="A176" i="13"/>
  <c r="C177" i="36"/>
  <c r="A178" i="36"/>
  <c r="D176" i="13"/>
  <c r="F174" i="13"/>
  <c r="E177" i="36"/>
  <c r="E175" i="13"/>
  <c r="G173" i="13"/>
  <c r="F176" i="36"/>
  <c r="D178" i="36"/>
  <c r="G175" i="36"/>
  <c r="H173" i="13" l="1"/>
  <c r="H175" i="36"/>
  <c r="C176" i="13"/>
  <c r="A177" i="13"/>
  <c r="C178" i="36"/>
  <c r="A179" i="36"/>
  <c r="F175" i="13"/>
  <c r="G174" i="13"/>
  <c r="G176" i="36"/>
  <c r="E176" i="13"/>
  <c r="D177" i="13"/>
  <c r="D179" i="36"/>
  <c r="E178" i="36"/>
  <c r="F177" i="36"/>
  <c r="H174" i="13" l="1"/>
  <c r="H176" i="36"/>
  <c r="C177" i="13"/>
  <c r="A178" i="13"/>
  <c r="C179" i="36"/>
  <c r="A180" i="36"/>
  <c r="E177" i="13"/>
  <c r="G177" i="36"/>
  <c r="G175" i="13"/>
  <c r="F176" i="13"/>
  <c r="D178" i="13"/>
  <c r="E179" i="36"/>
  <c r="F178" i="36"/>
  <c r="D180" i="36"/>
  <c r="H175" i="13" l="1"/>
  <c r="H177" i="36"/>
  <c r="C178" i="13"/>
  <c r="A179" i="13"/>
  <c r="C180" i="36"/>
  <c r="A181" i="36"/>
  <c r="G178" i="36"/>
  <c r="F177" i="13"/>
  <c r="E180" i="36"/>
  <c r="F179" i="36"/>
  <c r="G176" i="13"/>
  <c r="D181" i="36"/>
  <c r="D179" i="13"/>
  <c r="E178" i="13"/>
  <c r="H176" i="13" l="1"/>
  <c r="H178" i="36"/>
  <c r="C179" i="13"/>
  <c r="A180" i="13"/>
  <c r="C181" i="36"/>
  <c r="A182" i="36"/>
  <c r="G179" i="36"/>
  <c r="F178" i="13"/>
  <c r="G177" i="13"/>
  <c r="F180" i="36"/>
  <c r="D180" i="13"/>
  <c r="D182" i="36"/>
  <c r="E181" i="36"/>
  <c r="E179" i="13"/>
  <c r="H177" i="13" l="1"/>
  <c r="H179" i="36"/>
  <c r="C180" i="13"/>
  <c r="A181" i="13"/>
  <c r="C182" i="36"/>
  <c r="A183" i="36"/>
  <c r="F179" i="13"/>
  <c r="D181" i="13"/>
  <c r="E180" i="13"/>
  <c r="G178" i="13"/>
  <c r="E182" i="36"/>
  <c r="F181" i="36"/>
  <c r="D183" i="36"/>
  <c r="G180" i="36"/>
  <c r="H178" i="13" l="1"/>
  <c r="H180" i="36"/>
  <c r="C181" i="13"/>
  <c r="A182" i="13"/>
  <c r="C183" i="36"/>
  <c r="A184" i="36"/>
  <c r="F180" i="13"/>
  <c r="F182" i="36"/>
  <c r="G179" i="13"/>
  <c r="G181" i="36"/>
  <c r="D182" i="13"/>
  <c r="E183" i="36"/>
  <c r="E181" i="13"/>
  <c r="D184" i="36"/>
  <c r="H179" i="13" l="1"/>
  <c r="H181" i="36"/>
  <c r="C182" i="13"/>
  <c r="A183" i="13"/>
  <c r="C184" i="36"/>
  <c r="A185" i="36"/>
  <c r="D183" i="13"/>
  <c r="E184" i="36"/>
  <c r="G180" i="13"/>
  <c r="G182" i="36"/>
  <c r="F183" i="36"/>
  <c r="D185" i="36"/>
  <c r="F181" i="13"/>
  <c r="E182" i="13"/>
  <c r="H180" i="13" l="1"/>
  <c r="H182" i="36"/>
  <c r="C183" i="13"/>
  <c r="A184" i="13"/>
  <c r="C185" i="36"/>
  <c r="A186" i="36"/>
  <c r="G181" i="13"/>
  <c r="E183" i="13"/>
  <c r="D184" i="13"/>
  <c r="G183" i="36"/>
  <c r="E185" i="36"/>
  <c r="D186" i="36"/>
  <c r="F184" i="36"/>
  <c r="F182" i="13"/>
  <c r="H181" i="13" l="1"/>
  <c r="H183" i="36"/>
  <c r="C184" i="13"/>
  <c r="A185" i="13"/>
  <c r="C186" i="36"/>
  <c r="A187" i="36"/>
  <c r="E186" i="36"/>
  <c r="D187" i="36"/>
  <c r="F185" i="36"/>
  <c r="G182" i="13"/>
  <c r="G184" i="36"/>
  <c r="E184" i="13"/>
  <c r="D185" i="13"/>
  <c r="F183" i="13"/>
  <c r="H182" i="13" l="1"/>
  <c r="H184" i="36"/>
  <c r="C185" i="13"/>
  <c r="A186" i="13"/>
  <c r="C187" i="36"/>
  <c r="A188" i="36"/>
  <c r="F186" i="36"/>
  <c r="G183" i="13"/>
  <c r="D186" i="13"/>
  <c r="G185" i="36"/>
  <c r="D188" i="36"/>
  <c r="F184" i="13"/>
  <c r="E187" i="36"/>
  <c r="E185" i="13"/>
  <c r="H183" i="13" l="1"/>
  <c r="H185" i="36"/>
  <c r="C186" i="13"/>
  <c r="A187" i="13"/>
  <c r="C188" i="36"/>
  <c r="A189" i="36"/>
  <c r="F185" i="13"/>
  <c r="G184" i="13"/>
  <c r="D187" i="13"/>
  <c r="E188" i="36"/>
  <c r="G186" i="36"/>
  <c r="D189" i="36"/>
  <c r="E186" i="13"/>
  <c r="F187" i="36"/>
  <c r="H184" i="13" l="1"/>
  <c r="H186" i="36"/>
  <c r="C187" i="13"/>
  <c r="A188" i="13"/>
  <c r="C189" i="36"/>
  <c r="A190" i="36"/>
  <c r="F186" i="13"/>
  <c r="G187" i="36"/>
  <c r="G185" i="13"/>
  <c r="E187" i="13"/>
  <c r="F188" i="36"/>
  <c r="D188" i="13"/>
  <c r="E189" i="36"/>
  <c r="D190" i="36"/>
  <c r="H185" i="13" l="1"/>
  <c r="H187" i="36"/>
  <c r="C188" i="13"/>
  <c r="A189" i="13"/>
  <c r="C190" i="36"/>
  <c r="A191" i="36"/>
  <c r="F187" i="13"/>
  <c r="F189" i="36"/>
  <c r="G188" i="36"/>
  <c r="E190" i="36"/>
  <c r="D189" i="13"/>
  <c r="G186" i="13"/>
  <c r="E188" i="13"/>
  <c r="D191" i="36"/>
  <c r="H186" i="13" l="1"/>
  <c r="H188" i="36"/>
  <c r="C189" i="13"/>
  <c r="A190" i="13"/>
  <c r="C191" i="36"/>
  <c r="A192" i="36"/>
  <c r="D190" i="13"/>
  <c r="F188" i="13"/>
  <c r="F190" i="36"/>
  <c r="G187" i="13"/>
  <c r="D192" i="36"/>
  <c r="E191" i="36"/>
  <c r="G189" i="36"/>
  <c r="E189" i="13"/>
  <c r="H187" i="13" l="1"/>
  <c r="H189" i="36"/>
  <c r="C190" i="13"/>
  <c r="A191" i="13"/>
  <c r="C192" i="36"/>
  <c r="A193" i="36"/>
  <c r="D193" i="36"/>
  <c r="G190" i="36"/>
  <c r="E192" i="36"/>
  <c r="E190" i="13"/>
  <c r="D191" i="13"/>
  <c r="G188" i="13"/>
  <c r="F189" i="13"/>
  <c r="F191" i="36"/>
  <c r="H188" i="13" l="1"/>
  <c r="H190" i="36"/>
  <c r="C191" i="13"/>
  <c r="A192" i="13"/>
  <c r="C193" i="36"/>
  <c r="A194" i="36"/>
  <c r="G191" i="36"/>
  <c r="F190" i="13"/>
  <c r="G189" i="13"/>
  <c r="E193" i="36"/>
  <c r="F192" i="36"/>
  <c r="E191" i="13"/>
  <c r="D192" i="13"/>
  <c r="D194" i="36"/>
  <c r="H189" i="13" l="1"/>
  <c r="H191" i="36"/>
  <c r="C192" i="13"/>
  <c r="A193" i="13"/>
  <c r="C194" i="36"/>
  <c r="A195" i="36"/>
  <c r="D193" i="13"/>
  <c r="G190" i="13"/>
  <c r="E194" i="36"/>
  <c r="G192" i="36"/>
  <c r="E192" i="13"/>
  <c r="D195" i="36"/>
  <c r="F193" i="36"/>
  <c r="F191" i="13"/>
  <c r="H190" i="13" l="1"/>
  <c r="H192" i="36"/>
  <c r="C193" i="13"/>
  <c r="A194" i="13"/>
  <c r="C195" i="36"/>
  <c r="A196" i="36"/>
  <c r="G191" i="13"/>
  <c r="D194" i="13"/>
  <c r="F194" i="36"/>
  <c r="F192" i="13"/>
  <c r="G193" i="36"/>
  <c r="E195" i="36"/>
  <c r="D196" i="36"/>
  <c r="E193" i="13"/>
  <c r="H191" i="13" l="1"/>
  <c r="H193" i="36"/>
  <c r="C194" i="13"/>
  <c r="A195" i="13"/>
  <c r="C196" i="36"/>
  <c r="A197" i="36"/>
  <c r="F193" i="13"/>
  <c r="G192" i="13"/>
  <c r="E194" i="13"/>
  <c r="E196" i="36"/>
  <c r="D197" i="36"/>
  <c r="F195" i="36"/>
  <c r="D195" i="13"/>
  <c r="G194" i="36"/>
  <c r="H192" i="13" l="1"/>
  <c r="H194" i="36"/>
  <c r="C195" i="13"/>
  <c r="A196" i="13"/>
  <c r="C197" i="36"/>
  <c r="A198" i="36"/>
  <c r="F196" i="36"/>
  <c r="G195" i="36"/>
  <c r="F194" i="13"/>
  <c r="G193" i="13"/>
  <c r="E195" i="13"/>
  <c r="D196" i="13"/>
  <c r="E197" i="36"/>
  <c r="D198" i="36"/>
  <c r="H193" i="13" l="1"/>
  <c r="H195" i="36"/>
  <c r="C196" i="13"/>
  <c r="A197" i="13"/>
  <c r="C198" i="36"/>
  <c r="A199" i="36"/>
  <c r="G194" i="13"/>
  <c r="E198" i="36"/>
  <c r="G196" i="36"/>
  <c r="F197" i="36"/>
  <c r="D197" i="13"/>
  <c r="D199" i="36"/>
  <c r="E196" i="13"/>
  <c r="F195" i="13"/>
  <c r="H194" i="13" l="1"/>
  <c r="H196" i="36"/>
  <c r="C197" i="13"/>
  <c r="A198" i="13"/>
  <c r="C199" i="36"/>
  <c r="A200" i="36"/>
  <c r="D198" i="13"/>
  <c r="G195" i="13"/>
  <c r="E197" i="13"/>
  <c r="D200" i="36"/>
  <c r="F196" i="13"/>
  <c r="E199" i="36"/>
  <c r="F198" i="36"/>
  <c r="G197" i="36"/>
  <c r="H195" i="13" l="1"/>
  <c r="H197" i="36"/>
  <c r="C198" i="13"/>
  <c r="A199" i="13"/>
  <c r="C200" i="36"/>
  <c r="A201" i="36"/>
  <c r="D199" i="13"/>
  <c r="E200" i="36"/>
  <c r="F199" i="36"/>
  <c r="G196" i="13"/>
  <c r="F197" i="13"/>
  <c r="E198" i="13"/>
  <c r="D201" i="36"/>
  <c r="G198" i="36"/>
  <c r="H196" i="13" l="1"/>
  <c r="H198" i="36"/>
  <c r="C199" i="13"/>
  <c r="A200" i="13"/>
  <c r="C201" i="36"/>
  <c r="A202" i="36"/>
  <c r="F198" i="13"/>
  <c r="G197" i="13"/>
  <c r="E199" i="13"/>
  <c r="G199" i="36"/>
  <c r="D200" i="13"/>
  <c r="D202" i="36"/>
  <c r="E201" i="36"/>
  <c r="F200" i="36"/>
  <c r="H197" i="13" l="1"/>
  <c r="H199" i="36"/>
  <c r="C200" i="13"/>
  <c r="A201" i="13"/>
  <c r="C202" i="36"/>
  <c r="A203" i="36"/>
  <c r="D201" i="13"/>
  <c r="G198" i="13"/>
  <c r="F201" i="36"/>
  <c r="E202" i="36"/>
  <c r="F199" i="13"/>
  <c r="D203" i="36"/>
  <c r="E200" i="13"/>
  <c r="G200" i="36"/>
  <c r="H198" i="13" l="1"/>
  <c r="H200" i="36"/>
  <c r="C201" i="13"/>
  <c r="A202" i="13"/>
  <c r="C203" i="36"/>
  <c r="A204" i="36"/>
  <c r="F200" i="13"/>
  <c r="D204" i="36"/>
  <c r="G201" i="36"/>
  <c r="F202" i="36"/>
  <c r="E203" i="36"/>
  <c r="G199" i="13"/>
  <c r="E201" i="13"/>
  <c r="D202" i="13"/>
  <c r="H199" i="13" l="1"/>
  <c r="H201" i="36"/>
  <c r="C202" i="13"/>
  <c r="A203" i="13"/>
  <c r="C204" i="36"/>
  <c r="A205" i="36"/>
  <c r="E204" i="36"/>
  <c r="G202" i="36"/>
  <c r="E202" i="13"/>
  <c r="F201" i="13"/>
  <c r="D203" i="13"/>
  <c r="F203" i="36"/>
  <c r="G200" i="13"/>
  <c r="D205" i="36"/>
  <c r="H200" i="13" l="1"/>
  <c r="H202" i="36"/>
  <c r="C203" i="13"/>
  <c r="A204" i="13"/>
  <c r="C205" i="36"/>
  <c r="A206" i="36"/>
  <c r="G203" i="36"/>
  <c r="G201" i="13"/>
  <c r="F202" i="13"/>
  <c r="D206" i="36"/>
  <c r="D204" i="13"/>
  <c r="E205" i="36"/>
  <c r="F204" i="36"/>
  <c r="E203" i="13"/>
  <c r="H201" i="13" l="1"/>
  <c r="H203" i="36"/>
  <c r="C204" i="13"/>
  <c r="A205" i="13"/>
  <c r="C206" i="36"/>
  <c r="A207" i="36"/>
  <c r="F203" i="13"/>
  <c r="E204" i="13"/>
  <c r="F205" i="36"/>
  <c r="E206" i="36"/>
  <c r="G204" i="36"/>
  <c r="D205" i="13"/>
  <c r="G202" i="13"/>
  <c r="D207" i="36"/>
  <c r="H202" i="13" l="1"/>
  <c r="H204" i="36"/>
  <c r="C205" i="13"/>
  <c r="A206" i="13"/>
  <c r="C207" i="36"/>
  <c r="A208" i="36"/>
  <c r="G205" i="36"/>
  <c r="E205" i="13"/>
  <c r="E207" i="36"/>
  <c r="F206" i="36"/>
  <c r="G203" i="13"/>
  <c r="D206" i="13"/>
  <c r="F204" i="13"/>
  <c r="D208" i="36"/>
  <c r="H203" i="13" l="1"/>
  <c r="H205" i="36"/>
  <c r="C206" i="13"/>
  <c r="A207" i="13"/>
  <c r="C208" i="36"/>
  <c r="A209" i="36"/>
  <c r="F205" i="13"/>
  <c r="G206" i="36"/>
  <c r="E206" i="13"/>
  <c r="E208" i="36"/>
  <c r="F207" i="36"/>
  <c r="D209" i="36"/>
  <c r="D207" i="13"/>
  <c r="G204" i="13"/>
  <c r="H204" i="13" l="1"/>
  <c r="H206" i="36"/>
  <c r="C207" i="13"/>
  <c r="A208" i="13"/>
  <c r="C209" i="36"/>
  <c r="A210" i="36"/>
  <c r="D208" i="13"/>
  <c r="D210" i="36"/>
  <c r="E209" i="36"/>
  <c r="G205" i="13"/>
  <c r="F208" i="36"/>
  <c r="F206" i="13"/>
  <c r="G207" i="36"/>
  <c r="E207" i="13"/>
  <c r="H205" i="13" l="1"/>
  <c r="H207" i="36"/>
  <c r="C208" i="13"/>
  <c r="A209" i="13"/>
  <c r="C210" i="36"/>
  <c r="A211" i="36"/>
  <c r="E208" i="13"/>
  <c r="F209" i="36"/>
  <c r="D209" i="13"/>
  <c r="G208" i="36"/>
  <c r="E210" i="36"/>
  <c r="F207" i="13"/>
  <c r="G206" i="13"/>
  <c r="D211" i="36"/>
  <c r="H206" i="13" l="1"/>
  <c r="H208" i="36"/>
  <c r="C209" i="13"/>
  <c r="A210" i="13"/>
  <c r="C211" i="36"/>
  <c r="A212" i="36"/>
  <c r="E211" i="36"/>
  <c r="G207" i="13"/>
  <c r="G209" i="36"/>
  <c r="D210" i="13"/>
  <c r="F208" i="13"/>
  <c r="D212" i="36"/>
  <c r="F210" i="36"/>
  <c r="E209" i="13"/>
  <c r="H207" i="13" l="1"/>
  <c r="H209" i="36"/>
  <c r="C210" i="13"/>
  <c r="A211" i="13"/>
  <c r="C212" i="36"/>
  <c r="A213" i="36"/>
  <c r="G210" i="36"/>
  <c r="E210" i="13"/>
  <c r="F211" i="36"/>
  <c r="G208" i="13"/>
  <c r="E212" i="36"/>
  <c r="D211" i="13"/>
  <c r="F209" i="13"/>
  <c r="D213" i="36"/>
  <c r="H208" i="13" l="1"/>
  <c r="H210" i="36"/>
  <c r="C211" i="13"/>
  <c r="A212" i="13"/>
  <c r="C213" i="36"/>
  <c r="A214" i="36"/>
  <c r="F210" i="13"/>
  <c r="F212" i="36"/>
  <c r="E213" i="36"/>
  <c r="E211" i="13"/>
  <c r="G211" i="36"/>
  <c r="D214" i="36"/>
  <c r="G209" i="13"/>
  <c r="D212" i="13"/>
  <c r="H209" i="13" l="1"/>
  <c r="H211" i="36"/>
  <c r="C212" i="13"/>
  <c r="A213" i="13"/>
  <c r="C214" i="36"/>
  <c r="A215" i="36"/>
  <c r="F211" i="13"/>
  <c r="G212" i="36"/>
  <c r="E212" i="13"/>
  <c r="E214" i="36"/>
  <c r="F213" i="36"/>
  <c r="D215" i="36"/>
  <c r="D213" i="13"/>
  <c r="G210" i="13"/>
  <c r="H210" i="13" l="1"/>
  <c r="H212" i="36"/>
  <c r="C213" i="13"/>
  <c r="A214" i="13"/>
  <c r="C215" i="36"/>
  <c r="A216" i="36"/>
  <c r="E213" i="13"/>
  <c r="G213" i="36"/>
  <c r="D216" i="36"/>
  <c r="F212" i="13"/>
  <c r="E215" i="36"/>
  <c r="F214" i="36"/>
  <c r="D214" i="13"/>
  <c r="G211" i="13"/>
  <c r="H211" i="13" l="1"/>
  <c r="H213" i="36"/>
  <c r="C214" i="13"/>
  <c r="A215" i="13"/>
  <c r="C216" i="36"/>
  <c r="A217" i="36"/>
  <c r="F215" i="36"/>
  <c r="E214" i="13"/>
  <c r="D215" i="13"/>
  <c r="F213" i="13"/>
  <c r="E216" i="36"/>
  <c r="D217" i="36"/>
  <c r="G212" i="13"/>
  <c r="G214" i="36"/>
  <c r="H212" i="13" l="1"/>
  <c r="H214" i="36"/>
  <c r="C215" i="13"/>
  <c r="A216" i="13"/>
  <c r="C217" i="36"/>
  <c r="A218" i="36"/>
  <c r="G213" i="13"/>
  <c r="F214" i="13"/>
  <c r="G215" i="36"/>
  <c r="E215" i="13"/>
  <c r="D218" i="36"/>
  <c r="D216" i="13"/>
  <c r="E217" i="36"/>
  <c r="F216" i="36"/>
  <c r="H213" i="13" l="1"/>
  <c r="H215" i="36"/>
  <c r="C216" i="13"/>
  <c r="A217" i="13"/>
  <c r="C218" i="36"/>
  <c r="A219" i="36"/>
  <c r="E216" i="13"/>
  <c r="F215" i="13"/>
  <c r="D217" i="13"/>
  <c r="G214" i="13"/>
  <c r="D219" i="36"/>
  <c r="F217" i="36"/>
  <c r="E218" i="36"/>
  <c r="G216" i="36"/>
  <c r="H214" i="13" l="1"/>
  <c r="H216" i="36"/>
  <c r="C217" i="13"/>
  <c r="A218" i="13"/>
  <c r="C219" i="36"/>
  <c r="A220" i="36"/>
  <c r="F218" i="36"/>
  <c r="E217" i="13"/>
  <c r="E219" i="36"/>
  <c r="D220" i="36"/>
  <c r="G217" i="36"/>
  <c r="D218" i="13"/>
  <c r="F216" i="13"/>
  <c r="G215" i="13"/>
  <c r="H215" i="13" l="1"/>
  <c r="H217" i="36"/>
  <c r="C218" i="13"/>
  <c r="A219" i="13"/>
  <c r="C220" i="36"/>
  <c r="A221" i="36"/>
  <c r="F217" i="13"/>
  <c r="D219" i="13"/>
  <c r="E218" i="13"/>
  <c r="E220" i="36"/>
  <c r="G218" i="36"/>
  <c r="F219" i="36"/>
  <c r="G216" i="13"/>
  <c r="D221" i="36"/>
  <c r="H216" i="13" l="1"/>
  <c r="H218" i="36"/>
  <c r="C219" i="13"/>
  <c r="A220" i="13"/>
  <c r="C221" i="36"/>
  <c r="A222" i="36"/>
  <c r="F220" i="36"/>
  <c r="E219" i="13"/>
  <c r="E221" i="36"/>
  <c r="D222" i="36"/>
  <c r="G219" i="36"/>
  <c r="F218" i="13"/>
  <c r="G217" i="13"/>
  <c r="D220" i="13"/>
  <c r="H217" i="13" l="1"/>
  <c r="H219" i="36"/>
  <c r="C220" i="13"/>
  <c r="A221" i="13"/>
  <c r="C222" i="36"/>
  <c r="A223" i="36"/>
  <c r="F221" i="36"/>
  <c r="F219" i="13"/>
  <c r="G218" i="13"/>
  <c r="E220" i="13"/>
  <c r="E222" i="36"/>
  <c r="G220" i="36"/>
  <c r="D221" i="13"/>
  <c r="D223" i="36"/>
  <c r="H218" i="13" l="1"/>
  <c r="H220" i="36"/>
  <c r="C221" i="13"/>
  <c r="A222" i="13"/>
  <c r="C223" i="36"/>
  <c r="A224" i="36"/>
  <c r="G221" i="36"/>
  <c r="F220" i="13"/>
  <c r="D224" i="36"/>
  <c r="D222" i="13"/>
  <c r="G219" i="13"/>
  <c r="F222" i="36"/>
  <c r="E223" i="36"/>
  <c r="E221" i="13"/>
  <c r="H219" i="13" l="1"/>
  <c r="H221" i="36"/>
  <c r="C222" i="13"/>
  <c r="A223" i="13"/>
  <c r="C224" i="36"/>
  <c r="A225" i="36"/>
  <c r="G222" i="36"/>
  <c r="G220" i="13"/>
  <c r="D223" i="13"/>
  <c r="E224" i="36"/>
  <c r="E222" i="13"/>
  <c r="F223" i="36"/>
  <c r="F221" i="13"/>
  <c r="D225" i="36"/>
  <c r="H220" i="13" l="1"/>
  <c r="H222" i="36"/>
  <c r="C223" i="13"/>
  <c r="A224" i="13"/>
  <c r="C225" i="36"/>
  <c r="A226" i="36"/>
  <c r="F222" i="13"/>
  <c r="E225" i="36"/>
  <c r="D224" i="13"/>
  <c r="F224" i="36"/>
  <c r="E223" i="13"/>
  <c r="D226" i="36"/>
  <c r="G223" i="36"/>
  <c r="G221" i="13"/>
  <c r="H221" i="13" l="1"/>
  <c r="H223" i="36"/>
  <c r="C224" i="13"/>
  <c r="A225" i="13"/>
  <c r="C226" i="36"/>
  <c r="A227" i="36"/>
  <c r="D225" i="13"/>
  <c r="E224" i="13"/>
  <c r="F223" i="13"/>
  <c r="D227" i="36"/>
  <c r="G222" i="13"/>
  <c r="F225" i="36"/>
  <c r="E226" i="36"/>
  <c r="G224" i="36"/>
  <c r="H222" i="13" l="1"/>
  <c r="H224" i="36"/>
  <c r="C225" i="13"/>
  <c r="A226" i="13"/>
  <c r="C227" i="36"/>
  <c r="A228" i="36"/>
  <c r="G223" i="13"/>
  <c r="F226" i="36"/>
  <c r="G225" i="36"/>
  <c r="E225" i="13"/>
  <c r="E227" i="36"/>
  <c r="F224" i="13"/>
  <c r="D226" i="13"/>
  <c r="D228" i="36"/>
  <c r="H223" i="13" l="1"/>
  <c r="H225" i="36"/>
  <c r="C226" i="13"/>
  <c r="A227" i="13"/>
  <c r="C228" i="36"/>
  <c r="A229" i="36"/>
  <c r="F227" i="36"/>
  <c r="G224" i="13"/>
  <c r="E226" i="13"/>
  <c r="E228" i="36"/>
  <c r="F225" i="13"/>
  <c r="G226" i="36"/>
  <c r="D227" i="13"/>
  <c r="D229" i="36"/>
  <c r="H224" i="13" l="1"/>
  <c r="H226" i="36"/>
  <c r="C227" i="13"/>
  <c r="A228" i="13"/>
  <c r="C229" i="36"/>
  <c r="A230" i="36"/>
  <c r="G225" i="13"/>
  <c r="E227" i="13"/>
  <c r="D228" i="13"/>
  <c r="G227" i="36"/>
  <c r="F226" i="13"/>
  <c r="E229" i="36"/>
  <c r="F228" i="36"/>
  <c r="D230" i="36"/>
  <c r="H225" i="13" l="1"/>
  <c r="H227" i="36"/>
  <c r="C228" i="13"/>
  <c r="A229" i="13"/>
  <c r="C230" i="36"/>
  <c r="A231" i="36"/>
  <c r="D229" i="13"/>
  <c r="E228" i="13"/>
  <c r="G226" i="13"/>
  <c r="F229" i="36"/>
  <c r="G228" i="36"/>
  <c r="F227" i="13"/>
  <c r="E230" i="36"/>
  <c r="D231" i="36"/>
  <c r="H226" i="13" l="1"/>
  <c r="H228" i="36"/>
  <c r="C229" i="13"/>
  <c r="A230" i="13"/>
  <c r="C231" i="36"/>
  <c r="A232" i="36"/>
  <c r="F230" i="36"/>
  <c r="G229" i="36"/>
  <c r="D232" i="36"/>
  <c r="G227" i="13"/>
  <c r="F228" i="13"/>
  <c r="D230" i="13"/>
  <c r="E229" i="13"/>
  <c r="E231" i="36"/>
  <c r="H227" i="13" l="1"/>
  <c r="H229" i="36"/>
  <c r="C230" i="13"/>
  <c r="A231" i="13"/>
  <c r="C232" i="36"/>
  <c r="A233" i="36"/>
  <c r="G228" i="13"/>
  <c r="F231" i="36"/>
  <c r="E230" i="13"/>
  <c r="D233" i="36"/>
  <c r="E232" i="36"/>
  <c r="F229" i="13"/>
  <c r="G230" i="36"/>
  <c r="D231" i="13"/>
  <c r="H228" i="13" l="1"/>
  <c r="H230" i="36"/>
  <c r="C231" i="13"/>
  <c r="A232" i="13"/>
  <c r="C233" i="36"/>
  <c r="A234" i="36"/>
  <c r="D232" i="13"/>
  <c r="F230" i="13"/>
  <c r="F232" i="36"/>
  <c r="E233" i="36"/>
  <c r="G231" i="36"/>
  <c r="D234" i="36"/>
  <c r="E231" i="13"/>
  <c r="G229" i="13"/>
  <c r="H229" i="13" l="1"/>
  <c r="H231" i="36"/>
  <c r="C232" i="13"/>
  <c r="A233" i="13"/>
  <c r="C234" i="36"/>
  <c r="A235" i="36"/>
  <c r="F231" i="13"/>
  <c r="D235" i="36"/>
  <c r="E232" i="13"/>
  <c r="G230" i="13"/>
  <c r="D233" i="13"/>
  <c r="E234" i="36"/>
  <c r="F233" i="36"/>
  <c r="G232" i="36"/>
  <c r="H230" i="13" l="1"/>
  <c r="H232" i="36"/>
  <c r="C233" i="13"/>
  <c r="A234" i="13"/>
  <c r="C235" i="36"/>
  <c r="A236" i="36"/>
  <c r="D236" i="36"/>
  <c r="F232" i="13"/>
  <c r="E235" i="36"/>
  <c r="G233" i="36"/>
  <c r="G231" i="13"/>
  <c r="F234" i="36"/>
  <c r="E233" i="13"/>
  <c r="D234" i="13"/>
  <c r="H231" i="13" l="1"/>
  <c r="H233" i="36"/>
  <c r="C234" i="13"/>
  <c r="A235" i="13"/>
  <c r="C236" i="36"/>
  <c r="A237" i="36"/>
  <c r="E236" i="36"/>
  <c r="G234" i="36"/>
  <c r="D237" i="36"/>
  <c r="E234" i="13"/>
  <c r="D235" i="13"/>
  <c r="F235" i="36"/>
  <c r="G232" i="13"/>
  <c r="F233" i="13"/>
  <c r="H232" i="13" l="1"/>
  <c r="H234" i="36"/>
  <c r="C235" i="13"/>
  <c r="A236" i="13"/>
  <c r="C237" i="36"/>
  <c r="A238" i="36"/>
  <c r="D238" i="36"/>
  <c r="G235" i="36"/>
  <c r="E235" i="13"/>
  <c r="F236" i="36"/>
  <c r="E237" i="36"/>
  <c r="G233" i="13"/>
  <c r="F234" i="13"/>
  <c r="D236" i="13"/>
  <c r="H233" i="13" l="1"/>
  <c r="H235" i="36"/>
  <c r="C236" i="13"/>
  <c r="A237" i="13"/>
  <c r="C238" i="36"/>
  <c r="A239" i="36"/>
  <c r="D239" i="36"/>
  <c r="E236" i="13"/>
  <c r="F237" i="36"/>
  <c r="E238" i="36"/>
  <c r="D237" i="13"/>
  <c r="G236" i="36"/>
  <c r="G234" i="13"/>
  <c r="F235" i="13"/>
  <c r="H234" i="13" l="1"/>
  <c r="H236" i="36"/>
  <c r="C237" i="13"/>
  <c r="A238" i="13"/>
  <c r="C239" i="36"/>
  <c r="A240" i="36"/>
  <c r="F238" i="36"/>
  <c r="F236" i="13"/>
  <c r="E239" i="36"/>
  <c r="E237" i="13"/>
  <c r="G235" i="13"/>
  <c r="D238" i="13"/>
  <c r="G237" i="36"/>
  <c r="D240" i="36"/>
  <c r="H235" i="13" l="1"/>
  <c r="H237" i="36"/>
  <c r="C238" i="13"/>
  <c r="A239" i="13"/>
  <c r="C240" i="36"/>
  <c r="A241" i="36"/>
  <c r="D239" i="13"/>
  <c r="F239" i="36"/>
  <c r="G238" i="36"/>
  <c r="E238" i="13"/>
  <c r="G236" i="13"/>
  <c r="F237" i="13"/>
  <c r="E240" i="36"/>
  <c r="D241" i="36"/>
  <c r="H236" i="13" l="1"/>
  <c r="H238" i="36"/>
  <c r="C239" i="13"/>
  <c r="A240" i="13"/>
  <c r="C241" i="36"/>
  <c r="A242" i="36"/>
  <c r="E241" i="36"/>
  <c r="F238" i="13"/>
  <c r="D242" i="36"/>
  <c r="F240" i="36"/>
  <c r="G239" i="36"/>
  <c r="E239" i="13"/>
  <c r="D240" i="13"/>
  <c r="G237" i="13"/>
  <c r="H237" i="13" l="1"/>
  <c r="H239" i="36"/>
  <c r="C240" i="13"/>
  <c r="A241" i="13"/>
  <c r="C242" i="36"/>
  <c r="A243" i="36"/>
  <c r="D241" i="13"/>
  <c r="E242" i="36"/>
  <c r="G240" i="36"/>
  <c r="F241" i="36"/>
  <c r="F239" i="13"/>
  <c r="E240" i="13"/>
  <c r="G238" i="13"/>
  <c r="D243" i="36"/>
  <c r="H238" i="13" l="1"/>
  <c r="H240" i="36"/>
  <c r="C241" i="13"/>
  <c r="A242" i="13"/>
  <c r="C243" i="36"/>
  <c r="A244" i="36"/>
  <c r="F242" i="36"/>
  <c r="G239" i="13"/>
  <c r="G241" i="36"/>
  <c r="E241" i="13"/>
  <c r="F240" i="13"/>
  <c r="D242" i="13"/>
  <c r="E243" i="36"/>
  <c r="D244" i="36"/>
  <c r="H239" i="13" l="1"/>
  <c r="H241" i="36"/>
  <c r="C242" i="13"/>
  <c r="A243" i="13"/>
  <c r="C244" i="36"/>
  <c r="A245" i="36"/>
  <c r="F241" i="13"/>
  <c r="E242" i="13"/>
  <c r="G240" i="13"/>
  <c r="F243" i="36"/>
  <c r="D243" i="13"/>
  <c r="D245" i="36"/>
  <c r="E244" i="36"/>
  <c r="G242" i="36"/>
  <c r="H240" i="13" l="1"/>
  <c r="H242" i="36"/>
  <c r="C243" i="13"/>
  <c r="A244" i="13"/>
  <c r="C245" i="36"/>
  <c r="A246" i="36"/>
  <c r="F242" i="13"/>
  <c r="D244" i="13"/>
  <c r="D246" i="36"/>
  <c r="E243" i="13"/>
  <c r="G243" i="36"/>
  <c r="E245" i="36"/>
  <c r="F244" i="36"/>
  <c r="G241" i="13"/>
  <c r="H241" i="13" l="1"/>
  <c r="H243" i="36"/>
  <c r="C244" i="13"/>
  <c r="A245" i="13"/>
  <c r="C246" i="36"/>
  <c r="A247" i="36"/>
  <c r="D247" i="36"/>
  <c r="F245" i="36"/>
  <c r="G242" i="13"/>
  <c r="G244" i="36"/>
  <c r="F243" i="13"/>
  <c r="D245" i="13"/>
  <c r="E246" i="36"/>
  <c r="E244" i="13"/>
  <c r="H242" i="13" l="1"/>
  <c r="H244" i="36"/>
  <c r="C245" i="13"/>
  <c r="A246" i="13"/>
  <c r="C247" i="36"/>
  <c r="A248" i="36"/>
  <c r="F246" i="36"/>
  <c r="E247" i="36"/>
  <c r="E245" i="13"/>
  <c r="F244" i="13"/>
  <c r="D246" i="13"/>
  <c r="G243" i="13"/>
  <c r="G245" i="36"/>
  <c r="D248" i="36"/>
  <c r="H243" i="13" l="1"/>
  <c r="H245" i="36"/>
  <c r="C246" i="13"/>
  <c r="A247" i="13"/>
  <c r="C248" i="36"/>
  <c r="A249" i="36"/>
  <c r="G246" i="36"/>
  <c r="F247" i="36"/>
  <c r="F245" i="13"/>
  <c r="G244" i="13"/>
  <c r="D249" i="36"/>
  <c r="E248" i="36"/>
  <c r="E246" i="13"/>
  <c r="D247" i="13"/>
  <c r="H244" i="13" l="1"/>
  <c r="H246" i="36"/>
  <c r="C247" i="13"/>
  <c r="A248" i="13"/>
  <c r="C249" i="36"/>
  <c r="A250" i="36"/>
  <c r="E247" i="13"/>
  <c r="D248" i="13"/>
  <c r="G245" i="13"/>
  <c r="F246" i="13"/>
  <c r="F248" i="36"/>
  <c r="E249" i="36"/>
  <c r="G247" i="36"/>
  <c r="D250" i="36"/>
  <c r="H245" i="13" l="1"/>
  <c r="H247" i="36"/>
  <c r="C248" i="13"/>
  <c r="A249" i="13"/>
  <c r="C250" i="36"/>
  <c r="A251" i="36"/>
  <c r="G248" i="36"/>
  <c r="F247" i="13"/>
  <c r="G246" i="13"/>
  <c r="E248" i="13"/>
  <c r="F249" i="36"/>
  <c r="E250" i="36"/>
  <c r="D251" i="36"/>
  <c r="D249" i="13"/>
  <c r="H246" i="13" l="1"/>
  <c r="H248" i="36"/>
  <c r="C249" i="13"/>
  <c r="A250" i="13"/>
  <c r="C251" i="36"/>
  <c r="A252" i="36"/>
  <c r="G247" i="13"/>
  <c r="F250" i="36"/>
  <c r="D250" i="13"/>
  <c r="E249" i="13"/>
  <c r="E251" i="36"/>
  <c r="D252" i="36"/>
  <c r="G249" i="36"/>
  <c r="F248" i="13"/>
  <c r="H247" i="13" l="1"/>
  <c r="H249" i="36"/>
  <c r="C250" i="13"/>
  <c r="A251" i="13"/>
  <c r="C252" i="36"/>
  <c r="A253" i="36"/>
  <c r="F251" i="36"/>
  <c r="D251" i="13"/>
  <c r="E252" i="36"/>
  <c r="E250" i="13"/>
  <c r="G248" i="13"/>
  <c r="D253" i="36"/>
  <c r="G250" i="36"/>
  <c r="F249" i="13"/>
  <c r="H248" i="13" l="1"/>
  <c r="H250" i="36"/>
  <c r="C251" i="13"/>
  <c r="A252" i="13"/>
  <c r="C253" i="36"/>
  <c r="A254" i="36"/>
  <c r="G249" i="13"/>
  <c r="F252" i="36"/>
  <c r="E251" i="13"/>
  <c r="G251" i="36"/>
  <c r="D254" i="36"/>
  <c r="D252" i="13"/>
  <c r="F250" i="13"/>
  <c r="E253" i="36"/>
  <c r="H249" i="13" l="1"/>
  <c r="H251" i="36"/>
  <c r="C252" i="13"/>
  <c r="A253" i="13"/>
  <c r="C254" i="36"/>
  <c r="A255" i="36"/>
  <c r="E254" i="36"/>
  <c r="E252" i="13"/>
  <c r="G252" i="36"/>
  <c r="F253" i="36"/>
  <c r="D253" i="13"/>
  <c r="D255" i="36"/>
  <c r="F251" i="13"/>
  <c r="G250" i="13"/>
  <c r="H250" i="13" l="1"/>
  <c r="H252" i="36"/>
  <c r="C253" i="13"/>
  <c r="A254" i="13"/>
  <c r="C255" i="36"/>
  <c r="A256" i="36"/>
  <c r="E255" i="36"/>
  <c r="G251" i="13"/>
  <c r="E253" i="13"/>
  <c r="F254" i="36"/>
  <c r="D254" i="13"/>
  <c r="G253" i="36"/>
  <c r="F252" i="13"/>
  <c r="D256" i="36"/>
  <c r="H251" i="13" l="1"/>
  <c r="H253" i="36"/>
  <c r="C254" i="13"/>
  <c r="A255" i="13"/>
  <c r="C256" i="36"/>
  <c r="A257" i="36"/>
  <c r="F255" i="36"/>
  <c r="G252" i="13"/>
  <c r="E254" i="13"/>
  <c r="G254" i="36"/>
  <c r="F253" i="13"/>
  <c r="D257" i="36"/>
  <c r="D255" i="13"/>
  <c r="E256" i="36"/>
  <c r="H252" i="13" l="1"/>
  <c r="H254" i="36"/>
  <c r="C255" i="13"/>
  <c r="A256" i="13"/>
  <c r="C257" i="36"/>
  <c r="A258" i="36"/>
  <c r="F254" i="13"/>
  <c r="D258" i="36"/>
  <c r="E257" i="36"/>
  <c r="G255" i="36"/>
  <c r="F256" i="36"/>
  <c r="D256" i="13"/>
  <c r="E255" i="13"/>
  <c r="G253" i="13"/>
  <c r="H253" i="13" l="1"/>
  <c r="H255" i="36"/>
  <c r="C256" i="13"/>
  <c r="A257" i="13"/>
  <c r="C258" i="36"/>
  <c r="A259" i="36"/>
  <c r="F257" i="36"/>
  <c r="G254" i="13"/>
  <c r="D257" i="13"/>
  <c r="E256" i="13"/>
  <c r="E258" i="36"/>
  <c r="D259" i="36"/>
  <c r="G256" i="36"/>
  <c r="F255" i="13"/>
  <c r="H254" i="13" l="1"/>
  <c r="H256" i="36"/>
  <c r="C257" i="13"/>
  <c r="A258" i="13"/>
  <c r="C259" i="36"/>
  <c r="A260" i="36"/>
  <c r="G255" i="13"/>
  <c r="E259" i="36"/>
  <c r="E257" i="13"/>
  <c r="G257" i="36"/>
  <c r="F256" i="13"/>
  <c r="F258" i="36"/>
  <c r="D258" i="13"/>
  <c r="D260" i="36"/>
  <c r="H255" i="13" l="1"/>
  <c r="H257" i="36"/>
  <c r="C258" i="13"/>
  <c r="A259" i="13"/>
  <c r="C260" i="36"/>
  <c r="A261" i="36"/>
  <c r="F259" i="36"/>
  <c r="E260" i="36"/>
  <c r="G258" i="36"/>
  <c r="D261" i="36"/>
  <c r="E258" i="13"/>
  <c r="D259" i="13"/>
  <c r="G256" i="13"/>
  <c r="F257" i="13"/>
  <c r="H256" i="13" l="1"/>
  <c r="H258" i="36"/>
  <c r="C259" i="13"/>
  <c r="A260" i="13"/>
  <c r="C261" i="36"/>
  <c r="A262" i="36"/>
  <c r="F260" i="36"/>
  <c r="F258" i="13"/>
  <c r="E261" i="36"/>
  <c r="E259" i="13"/>
  <c r="G259" i="36"/>
  <c r="D260" i="13"/>
  <c r="G257" i="13"/>
  <c r="D262" i="36"/>
  <c r="H257" i="13" l="1"/>
  <c r="H259" i="36"/>
  <c r="C260" i="13"/>
  <c r="A261" i="13"/>
  <c r="C262" i="36"/>
  <c r="A263" i="36"/>
  <c r="F259" i="13"/>
  <c r="G258" i="13"/>
  <c r="E260" i="13"/>
  <c r="G260" i="36"/>
  <c r="F261" i="36"/>
  <c r="D263" i="36"/>
  <c r="D261" i="13"/>
  <c r="E262" i="36"/>
  <c r="H258" i="13" l="1"/>
  <c r="H260" i="36"/>
  <c r="C261" i="13"/>
  <c r="A262" i="13"/>
  <c r="C263" i="36"/>
  <c r="A264" i="36"/>
  <c r="F262" i="36"/>
  <c r="G259" i="13"/>
  <c r="E263" i="36"/>
  <c r="F260" i="13"/>
  <c r="D262" i="13"/>
  <c r="D264" i="36"/>
  <c r="G261" i="36"/>
  <c r="E261" i="13"/>
  <c r="H259" i="13" l="1"/>
  <c r="H261" i="36"/>
  <c r="C262" i="13"/>
  <c r="A263" i="13"/>
  <c r="C264" i="36"/>
  <c r="A265" i="36"/>
  <c r="D263" i="13"/>
  <c r="E262" i="13"/>
  <c r="G262" i="36"/>
  <c r="E264" i="36"/>
  <c r="F261" i="13"/>
  <c r="D265" i="36"/>
  <c r="F263" i="36"/>
  <c r="G260" i="13"/>
  <c r="H260" i="13" l="1"/>
  <c r="H262" i="36"/>
  <c r="C263" i="13"/>
  <c r="A264" i="13"/>
  <c r="C265" i="36"/>
  <c r="A266" i="36"/>
  <c r="F264" i="36"/>
  <c r="E263" i="13"/>
  <c r="D264" i="13"/>
  <c r="F262" i="13"/>
  <c r="D266" i="36"/>
  <c r="G261" i="13"/>
  <c r="E265" i="36"/>
  <c r="G263" i="36"/>
  <c r="H261" i="13" l="1"/>
  <c r="H263" i="36"/>
  <c r="C264" i="13"/>
  <c r="A265" i="13"/>
  <c r="C266" i="36"/>
  <c r="A267" i="36"/>
  <c r="F265" i="36"/>
  <c r="F263" i="13"/>
  <c r="D265" i="13"/>
  <c r="G262" i="13"/>
  <c r="D267" i="36"/>
  <c r="E266" i="36"/>
  <c r="G264" i="36"/>
  <c r="E264" i="13"/>
  <c r="H262" i="13" l="1"/>
  <c r="H264" i="36"/>
  <c r="C265" i="13"/>
  <c r="A266" i="13"/>
  <c r="C267" i="36"/>
  <c r="A268" i="36"/>
  <c r="D266" i="13"/>
  <c r="F266" i="36"/>
  <c r="D268" i="36"/>
  <c r="E267" i="36"/>
  <c r="G263" i="13"/>
  <c r="F264" i="13"/>
  <c r="E265" i="13"/>
  <c r="G265" i="36"/>
  <c r="H263" i="13" l="1"/>
  <c r="H265" i="36"/>
  <c r="C266" i="13"/>
  <c r="A267" i="13"/>
  <c r="C268" i="36"/>
  <c r="A269" i="36"/>
  <c r="E268" i="36"/>
  <c r="G266" i="36"/>
  <c r="D267" i="13"/>
  <c r="G264" i="13"/>
  <c r="D269" i="36"/>
  <c r="F265" i="13"/>
  <c r="E266" i="13"/>
  <c r="F267" i="36"/>
  <c r="H264" i="13" l="1"/>
  <c r="H266" i="36"/>
  <c r="C267" i="13"/>
  <c r="A268" i="13"/>
  <c r="C269" i="36"/>
  <c r="A270" i="36"/>
  <c r="F268" i="36"/>
  <c r="G265" i="13"/>
  <c r="G267" i="36"/>
  <c r="E267" i="13"/>
  <c r="D268" i="13"/>
  <c r="F266" i="13"/>
  <c r="E269" i="36"/>
  <c r="D270" i="36"/>
  <c r="H265" i="13" l="1"/>
  <c r="H267" i="36"/>
  <c r="C268" i="13"/>
  <c r="A269" i="13"/>
  <c r="C270" i="36"/>
  <c r="A271" i="36"/>
  <c r="G268" i="36"/>
  <c r="F269" i="36"/>
  <c r="G266" i="13"/>
  <c r="D269" i="13"/>
  <c r="E270" i="36"/>
  <c r="F267" i="13"/>
  <c r="D271" i="36"/>
  <c r="E268" i="13"/>
  <c r="H266" i="13" l="1"/>
  <c r="H268" i="36"/>
  <c r="C269" i="13"/>
  <c r="A270" i="13"/>
  <c r="C271" i="36"/>
  <c r="A272" i="36"/>
  <c r="E271" i="36"/>
  <c r="F268" i="13"/>
  <c r="G267" i="13"/>
  <c r="G269" i="36"/>
  <c r="D272" i="36"/>
  <c r="E269" i="13"/>
  <c r="F270" i="36"/>
  <c r="D270" i="13"/>
  <c r="H267" i="13" l="1"/>
  <c r="H269" i="36"/>
  <c r="C270" i="13"/>
  <c r="A271" i="13"/>
  <c r="C272" i="36"/>
  <c r="A273" i="36"/>
  <c r="F269" i="13"/>
  <c r="E270" i="13"/>
  <c r="G268" i="13"/>
  <c r="D271" i="13"/>
  <c r="F271" i="36"/>
  <c r="D273" i="36"/>
  <c r="E272" i="36"/>
  <c r="G270" i="36"/>
  <c r="H268" i="13" l="1"/>
  <c r="H270" i="36"/>
  <c r="C271" i="13"/>
  <c r="A272" i="13"/>
  <c r="C273" i="36"/>
  <c r="A274" i="36"/>
  <c r="F272" i="36"/>
  <c r="G269" i="13"/>
  <c r="D272" i="13"/>
  <c r="G271" i="36"/>
  <c r="F270" i="13"/>
  <c r="D274" i="36"/>
  <c r="E271" i="13"/>
  <c r="E273" i="36"/>
  <c r="H269" i="13" l="1"/>
  <c r="H271" i="36"/>
  <c r="C272" i="13"/>
  <c r="A273" i="13"/>
  <c r="C274" i="36"/>
  <c r="A275" i="36"/>
  <c r="E272" i="13"/>
  <c r="F271" i="13"/>
  <c r="D275" i="36"/>
  <c r="E274" i="36"/>
  <c r="D273" i="13"/>
  <c r="G272" i="36"/>
  <c r="G270" i="13"/>
  <c r="F273" i="36"/>
  <c r="H270" i="13" l="1"/>
  <c r="H272" i="36"/>
  <c r="C273" i="13"/>
  <c r="A274" i="13"/>
  <c r="C275" i="36"/>
  <c r="A276" i="36"/>
  <c r="G273" i="36"/>
  <c r="F272" i="13"/>
  <c r="E275" i="36"/>
  <c r="E273" i="13"/>
  <c r="F274" i="36"/>
  <c r="D274" i="13"/>
  <c r="G271" i="13"/>
  <c r="D276" i="36"/>
  <c r="H271" i="13" l="1"/>
  <c r="H273" i="36"/>
  <c r="C274" i="13"/>
  <c r="A275" i="13"/>
  <c r="C276" i="36"/>
  <c r="A277" i="36"/>
  <c r="G274" i="36"/>
  <c r="F273" i="13"/>
  <c r="E274" i="13"/>
  <c r="E276" i="36"/>
  <c r="D275" i="13"/>
  <c r="G272" i="13"/>
  <c r="F275" i="36"/>
  <c r="D277" i="36"/>
  <c r="H272" i="13" l="1"/>
  <c r="H274" i="36"/>
  <c r="C275" i="13"/>
  <c r="A276" i="13"/>
  <c r="C277" i="36"/>
  <c r="A278" i="36"/>
  <c r="D276" i="13"/>
  <c r="F274" i="13"/>
  <c r="D278" i="36"/>
  <c r="E275" i="13"/>
  <c r="E277" i="36"/>
  <c r="G275" i="36"/>
  <c r="G273" i="13"/>
  <c r="F276" i="36"/>
  <c r="H273" i="13" l="1"/>
  <c r="H275" i="36"/>
  <c r="C276" i="13"/>
  <c r="A277" i="13"/>
  <c r="C278" i="36"/>
  <c r="A279" i="36"/>
  <c r="G274" i="13"/>
  <c r="G276" i="36"/>
  <c r="D279" i="36"/>
  <c r="F277" i="36"/>
  <c r="D277" i="13"/>
  <c r="E278" i="36"/>
  <c r="F275" i="13"/>
  <c r="E276" i="13"/>
  <c r="H274" i="13" l="1"/>
  <c r="H276" i="36"/>
  <c r="C277" i="13"/>
  <c r="A278" i="13"/>
  <c r="C279" i="36"/>
  <c r="A280" i="36"/>
  <c r="G277" i="36"/>
  <c r="F278" i="36"/>
  <c r="G275" i="13"/>
  <c r="F276" i="13"/>
  <c r="E279" i="36"/>
  <c r="D278" i="13"/>
  <c r="D280" i="36"/>
  <c r="E277" i="13"/>
  <c r="H275" i="13" l="1"/>
  <c r="H277" i="36"/>
  <c r="C278" i="13"/>
  <c r="A279" i="13"/>
  <c r="C280" i="36"/>
  <c r="A281" i="36"/>
  <c r="G278" i="36"/>
  <c r="F279" i="36"/>
  <c r="G276" i="13"/>
  <c r="F277" i="13"/>
  <c r="E278" i="13"/>
  <c r="D281" i="36"/>
  <c r="E280" i="36"/>
  <c r="D279" i="13"/>
  <c r="H276" i="13" l="1"/>
  <c r="H278" i="36"/>
  <c r="C279" i="13"/>
  <c r="A280" i="13"/>
  <c r="C281" i="36"/>
  <c r="A282" i="36"/>
  <c r="G277" i="13"/>
  <c r="F278" i="13"/>
  <c r="D280" i="13"/>
  <c r="E281" i="36"/>
  <c r="E279" i="13"/>
  <c r="D282" i="36"/>
  <c r="G279" i="36"/>
  <c r="F280" i="36"/>
  <c r="H277" i="13" l="1"/>
  <c r="H279" i="36"/>
  <c r="C280" i="13"/>
  <c r="A281" i="13"/>
  <c r="C282" i="36"/>
  <c r="A283" i="36"/>
  <c r="E282" i="36"/>
  <c r="D281" i="13"/>
  <c r="D283" i="36"/>
  <c r="G280" i="36"/>
  <c r="G278" i="13"/>
  <c r="E280" i="13"/>
  <c r="F281" i="36"/>
  <c r="F279" i="13"/>
  <c r="H278" i="13" l="1"/>
  <c r="H280" i="36"/>
  <c r="C281" i="13"/>
  <c r="A282" i="13"/>
  <c r="C283" i="36"/>
  <c r="A284" i="36"/>
  <c r="D282" i="13"/>
  <c r="F280" i="13"/>
  <c r="F282" i="36"/>
  <c r="E281" i="13"/>
  <c r="E283" i="36"/>
  <c r="G281" i="36"/>
  <c r="D284" i="36"/>
  <c r="G279" i="13"/>
  <c r="H279" i="13" l="1"/>
  <c r="H281" i="36"/>
  <c r="C282" i="13"/>
  <c r="A283" i="13"/>
  <c r="C284" i="36"/>
  <c r="A285" i="36"/>
  <c r="D283" i="13"/>
  <c r="G280" i="13"/>
  <c r="E282" i="13"/>
  <c r="F283" i="36"/>
  <c r="E284" i="36"/>
  <c r="F281" i="13"/>
  <c r="G282" i="36"/>
  <c r="D285" i="36"/>
  <c r="H280" i="13" l="1"/>
  <c r="H282" i="36"/>
  <c r="C283" i="13"/>
  <c r="A284" i="13"/>
  <c r="C285" i="36"/>
  <c r="A286" i="36"/>
  <c r="F284" i="36"/>
  <c r="F282" i="13"/>
  <c r="G281" i="13"/>
  <c r="D284" i="13"/>
  <c r="E285" i="36"/>
  <c r="D286" i="36"/>
  <c r="G283" i="36"/>
  <c r="E283" i="13"/>
  <c r="H281" i="13" l="1"/>
  <c r="H283" i="36"/>
  <c r="C284" i="13"/>
  <c r="A285" i="13"/>
  <c r="C286" i="36"/>
  <c r="A287" i="36"/>
  <c r="D287" i="36"/>
  <c r="E286" i="36"/>
  <c r="G284" i="36"/>
  <c r="G282" i="13"/>
  <c r="F285" i="36"/>
  <c r="F283" i="13"/>
  <c r="D285" i="13"/>
  <c r="E284" i="13"/>
  <c r="H282" i="13" l="1"/>
  <c r="H284" i="36"/>
  <c r="C285" i="13"/>
  <c r="A286" i="13"/>
  <c r="C287" i="36"/>
  <c r="A288" i="36"/>
  <c r="G285" i="36"/>
  <c r="E287" i="36"/>
  <c r="E285" i="13"/>
  <c r="D286" i="13"/>
  <c r="F284" i="13"/>
  <c r="F286" i="36"/>
  <c r="D288" i="36"/>
  <c r="G283" i="13"/>
  <c r="H283" i="13" l="1"/>
  <c r="H285" i="36"/>
  <c r="C286" i="13"/>
  <c r="A287" i="13"/>
  <c r="C288" i="36"/>
  <c r="A289" i="36"/>
  <c r="D287" i="13"/>
  <c r="D289" i="36"/>
  <c r="E286" i="13"/>
  <c r="E288" i="36"/>
  <c r="F285" i="13"/>
  <c r="G286" i="36"/>
  <c r="F287" i="36"/>
  <c r="G284" i="13"/>
  <c r="H284" i="13" l="1"/>
  <c r="H286" i="36"/>
  <c r="C287" i="13"/>
  <c r="A288" i="13"/>
  <c r="C289" i="36"/>
  <c r="A290" i="36"/>
  <c r="F288" i="36"/>
  <c r="G287" i="36"/>
  <c r="G285" i="13"/>
  <c r="D288" i="13"/>
  <c r="E287" i="13"/>
  <c r="E289" i="36"/>
  <c r="F286" i="13"/>
  <c r="D290" i="36"/>
  <c r="H285" i="13" l="1"/>
  <c r="H287" i="36"/>
  <c r="C288" i="13"/>
  <c r="A289" i="13"/>
  <c r="C290" i="36"/>
  <c r="A291" i="36"/>
  <c r="D289" i="13"/>
  <c r="G286" i="13"/>
  <c r="G288" i="36"/>
  <c r="E290" i="36"/>
  <c r="F287" i="13"/>
  <c r="E288" i="13"/>
  <c r="F289" i="36"/>
  <c r="D291" i="36"/>
  <c r="H286" i="13" l="1"/>
  <c r="H288" i="36"/>
  <c r="C289" i="13"/>
  <c r="A290" i="13"/>
  <c r="C291" i="36"/>
  <c r="A292" i="36"/>
  <c r="E289" i="13"/>
  <c r="G287" i="13"/>
  <c r="F288" i="13"/>
  <c r="F290" i="36"/>
  <c r="D290" i="13"/>
  <c r="E291" i="36"/>
  <c r="D292" i="36"/>
  <c r="G289" i="36"/>
  <c r="H287" i="13" l="1"/>
  <c r="H289" i="36"/>
  <c r="C290" i="13"/>
  <c r="A291" i="13"/>
  <c r="C292" i="36"/>
  <c r="A293" i="36"/>
  <c r="F289" i="13"/>
  <c r="F291" i="36"/>
  <c r="G290" i="36"/>
  <c r="E292" i="36"/>
  <c r="D291" i="13"/>
  <c r="E290" i="13"/>
  <c r="D293" i="36"/>
  <c r="G288" i="13"/>
  <c r="H288" i="13" l="1"/>
  <c r="H290" i="36"/>
  <c r="C291" i="13"/>
  <c r="A292" i="13"/>
  <c r="C293" i="36"/>
  <c r="A294" i="36"/>
  <c r="G291" i="36"/>
  <c r="D294" i="36"/>
  <c r="E293" i="36"/>
  <c r="G289" i="13"/>
  <c r="D292" i="13"/>
  <c r="F290" i="13"/>
  <c r="F292" i="36"/>
  <c r="E291" i="13"/>
  <c r="H289" i="13" l="1"/>
  <c r="H291" i="36"/>
  <c r="C292" i="13"/>
  <c r="A293" i="13"/>
  <c r="C294" i="36"/>
  <c r="A295" i="36"/>
  <c r="F293" i="36"/>
  <c r="D295" i="36"/>
  <c r="E292" i="13"/>
  <c r="G290" i="13"/>
  <c r="E294" i="36"/>
  <c r="G292" i="36"/>
  <c r="F291" i="13"/>
  <c r="D293" i="13"/>
  <c r="H290" i="13" l="1"/>
  <c r="H292" i="36"/>
  <c r="C293" i="13"/>
  <c r="A294" i="13"/>
  <c r="C295" i="36"/>
  <c r="A296" i="36"/>
  <c r="D294" i="13"/>
  <c r="E293" i="13"/>
  <c r="F294" i="36"/>
  <c r="G291" i="13"/>
  <c r="D296" i="36"/>
  <c r="E295" i="36"/>
  <c r="G293" i="36"/>
  <c r="F292" i="13"/>
  <c r="H291" i="13" l="1"/>
  <c r="H293" i="36"/>
  <c r="C294" i="13"/>
  <c r="A295" i="13"/>
  <c r="C296" i="36"/>
  <c r="A297" i="36"/>
  <c r="F295" i="36"/>
  <c r="E294" i="13"/>
  <c r="F293" i="13"/>
  <c r="G294" i="36"/>
  <c r="E296" i="36"/>
  <c r="G292" i="13"/>
  <c r="D295" i="13"/>
  <c r="D297" i="36"/>
  <c r="H292" i="13" l="1"/>
  <c r="H294" i="36"/>
  <c r="C295" i="13"/>
  <c r="A296" i="13"/>
  <c r="C297" i="36"/>
  <c r="A298" i="36"/>
  <c r="G293" i="13"/>
  <c r="D298" i="36"/>
  <c r="F294" i="13"/>
  <c r="D296" i="13"/>
  <c r="E297" i="36"/>
  <c r="G295" i="36"/>
  <c r="E295" i="13"/>
  <c r="F296" i="36"/>
  <c r="H293" i="13" l="1"/>
  <c r="H295" i="36"/>
  <c r="C296" i="13"/>
  <c r="A297" i="13"/>
  <c r="C298" i="36"/>
  <c r="A299" i="36"/>
  <c r="E296" i="13"/>
  <c r="D299" i="36"/>
  <c r="F297" i="36"/>
  <c r="G296" i="36"/>
  <c r="G294" i="13"/>
  <c r="F295" i="13"/>
  <c r="E298" i="36"/>
  <c r="D297" i="13"/>
  <c r="H294" i="13" l="1"/>
  <c r="H296" i="36"/>
  <c r="C297" i="13"/>
  <c r="A298" i="13"/>
  <c r="C299" i="36"/>
  <c r="A300" i="36"/>
  <c r="F298" i="36"/>
  <c r="G295" i="13"/>
  <c r="F296" i="13"/>
  <c r="E299" i="36"/>
  <c r="E297" i="13"/>
  <c r="D298" i="13"/>
  <c r="D300" i="36"/>
  <c r="G297" i="36"/>
  <c r="H295" i="13" l="1"/>
  <c r="H297" i="36"/>
  <c r="C298" i="13"/>
  <c r="A299" i="13"/>
  <c r="C300" i="36"/>
  <c r="A301" i="36"/>
  <c r="D301" i="36"/>
  <c r="F297" i="13"/>
  <c r="F299" i="36"/>
  <c r="G296" i="13"/>
  <c r="E300" i="36"/>
  <c r="D299" i="13"/>
  <c r="E298" i="13"/>
  <c r="G298" i="36"/>
  <c r="H296" i="13" l="1"/>
  <c r="H298" i="36"/>
  <c r="C299" i="13"/>
  <c r="A300" i="13"/>
  <c r="C301" i="36"/>
  <c r="A302" i="36"/>
  <c r="F298" i="13"/>
  <c r="E299" i="13"/>
  <c r="F300" i="36"/>
  <c r="G299" i="36"/>
  <c r="E301" i="36"/>
  <c r="D300" i="13"/>
  <c r="D302" i="36"/>
  <c r="G297" i="13"/>
  <c r="H297" i="13" l="1"/>
  <c r="H299" i="36"/>
  <c r="C300" i="13"/>
  <c r="A301" i="13"/>
  <c r="C302" i="36"/>
  <c r="A303" i="36"/>
  <c r="G300" i="36"/>
  <c r="E302" i="36"/>
  <c r="F299" i="13"/>
  <c r="E300" i="13"/>
  <c r="D301" i="13"/>
  <c r="G298" i="13"/>
  <c r="F301" i="36"/>
  <c r="D303" i="36"/>
  <c r="H298" i="13" l="1"/>
  <c r="H300" i="36"/>
  <c r="C301" i="13"/>
  <c r="A302" i="13"/>
  <c r="C303" i="36"/>
  <c r="A304" i="36"/>
  <c r="F302" i="36"/>
  <c r="D302" i="13"/>
  <c r="E303" i="36"/>
  <c r="G299" i="13"/>
  <c r="G301" i="36"/>
  <c r="F300" i="13"/>
  <c r="E301" i="13"/>
  <c r="D304" i="36"/>
  <c r="H299" i="13" l="1"/>
  <c r="H301" i="36"/>
  <c r="C302" i="13"/>
  <c r="A303" i="13"/>
  <c r="C304" i="36"/>
  <c r="A305" i="36"/>
  <c r="E302" i="13"/>
  <c r="F301" i="13"/>
  <c r="G300" i="13"/>
  <c r="F303" i="36"/>
  <c r="E304" i="36"/>
  <c r="D305" i="36"/>
  <c r="D303" i="13"/>
  <c r="G302" i="36"/>
  <c r="H300" i="13" l="1"/>
  <c r="H302" i="36"/>
  <c r="C303" i="13"/>
  <c r="A304" i="13"/>
  <c r="C305" i="36"/>
  <c r="A306" i="36"/>
  <c r="G301" i="13"/>
  <c r="F302" i="13"/>
  <c r="F304" i="36"/>
  <c r="E303" i="13"/>
  <c r="G303" i="36"/>
  <c r="D306" i="36"/>
  <c r="E305" i="36"/>
  <c r="D304" i="13"/>
  <c r="H301" i="13" l="1"/>
  <c r="H303" i="36"/>
  <c r="C304" i="13"/>
  <c r="A305" i="13"/>
  <c r="C306" i="36"/>
  <c r="A307" i="36"/>
  <c r="G304" i="36"/>
  <c r="F303" i="13"/>
  <c r="D305" i="13"/>
  <c r="D307" i="36"/>
  <c r="F305" i="36"/>
  <c r="G302" i="13"/>
  <c r="E306" i="36"/>
  <c r="E304" i="13"/>
  <c r="H302" i="13" l="1"/>
  <c r="H304" i="36"/>
  <c r="C305" i="13"/>
  <c r="A306" i="13"/>
  <c r="C307" i="36"/>
  <c r="A308" i="36"/>
  <c r="F306" i="36"/>
  <c r="G305" i="36"/>
  <c r="F304" i="13"/>
  <c r="D306" i="13"/>
  <c r="G303" i="13"/>
  <c r="D308" i="36"/>
  <c r="E305" i="13"/>
  <c r="E307" i="36"/>
  <c r="H303" i="13" l="1"/>
  <c r="H305" i="36"/>
  <c r="C306" i="13"/>
  <c r="A307" i="13"/>
  <c r="C308" i="36"/>
  <c r="A309" i="36"/>
  <c r="E306" i="13"/>
  <c r="F307" i="36"/>
  <c r="D307" i="13"/>
  <c r="G304" i="13"/>
  <c r="G306" i="36"/>
  <c r="F305" i="13"/>
  <c r="D309" i="36"/>
  <c r="E308" i="36"/>
  <c r="H304" i="13" l="1"/>
  <c r="H306" i="36"/>
  <c r="C307" i="13"/>
  <c r="A308" i="13"/>
  <c r="C309" i="36"/>
  <c r="A310" i="36"/>
  <c r="E309" i="36"/>
  <c r="E307" i="13"/>
  <c r="G305" i="13"/>
  <c r="F306" i="13"/>
  <c r="G307" i="36"/>
  <c r="D308" i="13"/>
  <c r="F308" i="36"/>
  <c r="D310" i="36"/>
  <c r="H305" i="13" l="1"/>
  <c r="H307" i="36"/>
  <c r="C308" i="13"/>
  <c r="A309" i="13"/>
  <c r="C310" i="36"/>
  <c r="A311" i="36"/>
  <c r="E308" i="13"/>
  <c r="G306" i="13"/>
  <c r="G308" i="36"/>
  <c r="F307" i="13"/>
  <c r="D311" i="36"/>
  <c r="E310" i="36"/>
  <c r="D309" i="13"/>
  <c r="F309" i="36"/>
  <c r="H306" i="13" l="1"/>
  <c r="H308" i="36"/>
  <c r="C309" i="13"/>
  <c r="A310" i="13"/>
  <c r="C311" i="36"/>
  <c r="A312" i="36"/>
  <c r="D312" i="36"/>
  <c r="F308" i="13"/>
  <c r="E309" i="13"/>
  <c r="D310" i="13"/>
  <c r="F310" i="36"/>
  <c r="E311" i="36"/>
  <c r="G307" i="13"/>
  <c r="G309" i="36"/>
  <c r="H307" i="13" l="1"/>
  <c r="H309" i="36"/>
  <c r="C310" i="13"/>
  <c r="A311" i="13"/>
  <c r="C312" i="36"/>
  <c r="A313" i="36"/>
  <c r="E312" i="36"/>
  <c r="G308" i="13"/>
  <c r="G310" i="36"/>
  <c r="D311" i="13"/>
  <c r="F311" i="36"/>
  <c r="F309" i="13"/>
  <c r="E310" i="13"/>
  <c r="D313" i="36"/>
  <c r="H308" i="13" l="1"/>
  <c r="H310" i="36"/>
  <c r="C311" i="13"/>
  <c r="A312" i="13"/>
  <c r="C313" i="36"/>
  <c r="A314" i="36"/>
  <c r="D314" i="36"/>
  <c r="F312" i="36"/>
  <c r="D312" i="13"/>
  <c r="F310" i="13"/>
  <c r="G311" i="36"/>
  <c r="G309" i="13"/>
  <c r="E313" i="36"/>
  <c r="E311" i="13"/>
  <c r="H309" i="13" l="1"/>
  <c r="H311" i="36"/>
  <c r="C312" i="13"/>
  <c r="A313" i="13"/>
  <c r="C314" i="36"/>
  <c r="A315" i="36"/>
  <c r="F311" i="13"/>
  <c r="E314" i="36"/>
  <c r="E312" i="13"/>
  <c r="F313" i="36"/>
  <c r="G312" i="36"/>
  <c r="D313" i="13"/>
  <c r="D315" i="36"/>
  <c r="G310" i="13"/>
  <c r="H310" i="13" l="1"/>
  <c r="H312" i="36"/>
  <c r="C313" i="13"/>
  <c r="A314" i="13"/>
  <c r="C315" i="36"/>
  <c r="A316" i="36"/>
  <c r="G311" i="13"/>
  <c r="E313" i="13"/>
  <c r="F314" i="36"/>
  <c r="G313" i="36"/>
  <c r="D316" i="36"/>
  <c r="D314" i="13"/>
  <c r="F312" i="13"/>
  <c r="E315" i="36"/>
  <c r="H311" i="13" l="1"/>
  <c r="H313" i="36"/>
  <c r="C314" i="13"/>
  <c r="A315" i="13"/>
  <c r="C316" i="36"/>
  <c r="A317" i="36"/>
  <c r="D317" i="36"/>
  <c r="F315" i="36"/>
  <c r="E314" i="13"/>
  <c r="E316" i="36"/>
  <c r="G312" i="13"/>
  <c r="G314" i="36"/>
  <c r="D315" i="13"/>
  <c r="F313" i="13"/>
  <c r="H312" i="13" l="1"/>
  <c r="H314" i="36"/>
  <c r="C315" i="13"/>
  <c r="A316" i="13"/>
  <c r="C317" i="36"/>
  <c r="A318" i="36"/>
  <c r="D318" i="36"/>
  <c r="G313" i="13"/>
  <c r="D316" i="13"/>
  <c r="G315" i="36"/>
  <c r="F314" i="13"/>
  <c r="F316" i="36"/>
  <c r="E317" i="36"/>
  <c r="E315" i="13"/>
  <c r="H313" i="13" l="1"/>
  <c r="H315" i="36"/>
  <c r="C316" i="13"/>
  <c r="A317" i="13"/>
  <c r="C318" i="36"/>
  <c r="A319" i="36"/>
  <c r="G314" i="13"/>
  <c r="E318" i="36"/>
  <c r="E316" i="13"/>
  <c r="G316" i="36"/>
  <c r="F317" i="36"/>
  <c r="D317" i="13"/>
  <c r="F315" i="13"/>
  <c r="D319" i="36"/>
  <c r="H314" i="13" l="1"/>
  <c r="H316" i="36"/>
  <c r="C317" i="13"/>
  <c r="A318" i="13"/>
  <c r="C319" i="36"/>
  <c r="A320" i="36"/>
  <c r="D318" i="13"/>
  <c r="E319" i="36"/>
  <c r="G317" i="36"/>
  <c r="F316" i="13"/>
  <c r="E317" i="13"/>
  <c r="F318" i="36"/>
  <c r="G315" i="13"/>
  <c r="D320" i="36"/>
  <c r="H315" i="13" l="1"/>
  <c r="H317" i="36"/>
  <c r="C318" i="13"/>
  <c r="A319" i="13"/>
  <c r="C320" i="36"/>
  <c r="A321" i="36"/>
  <c r="F319" i="36"/>
  <c r="E320" i="36"/>
  <c r="D319" i="13"/>
  <c r="F317" i="13"/>
  <c r="D321" i="36"/>
  <c r="E318" i="13"/>
  <c r="G316" i="13"/>
  <c r="G318" i="36"/>
  <c r="H316" i="13" l="1"/>
  <c r="H318" i="36"/>
  <c r="C319" i="13"/>
  <c r="A320" i="13"/>
  <c r="C321" i="36"/>
  <c r="A322" i="36"/>
  <c r="G319" i="36"/>
  <c r="G317" i="13"/>
  <c r="F318" i="13"/>
  <c r="F320" i="36"/>
  <c r="E321" i="36"/>
  <c r="D320" i="13"/>
  <c r="E319" i="13"/>
  <c r="D322" i="36"/>
  <c r="H317" i="13" l="1"/>
  <c r="H319" i="36"/>
  <c r="C320" i="13"/>
  <c r="A321" i="13"/>
  <c r="C322" i="36"/>
  <c r="A323" i="36"/>
  <c r="D321" i="13"/>
  <c r="D323" i="36"/>
  <c r="F319" i="13"/>
  <c r="F321" i="36"/>
  <c r="G320" i="36"/>
  <c r="G318" i="13"/>
  <c r="E320" i="13"/>
  <c r="E322" i="36"/>
  <c r="H318" i="13" l="1"/>
  <c r="H320" i="36"/>
  <c r="C321" i="13"/>
  <c r="A322" i="13"/>
  <c r="C323" i="36"/>
  <c r="A324" i="36"/>
  <c r="F320" i="13"/>
  <c r="D324" i="36"/>
  <c r="E321" i="13"/>
  <c r="D322" i="13"/>
  <c r="G319" i="13"/>
  <c r="G321" i="36"/>
  <c r="E323" i="36"/>
  <c r="F322" i="36"/>
  <c r="H319" i="13" l="1"/>
  <c r="H321" i="36"/>
  <c r="C322" i="13"/>
  <c r="A323" i="13"/>
  <c r="C324" i="36"/>
  <c r="A325" i="36"/>
  <c r="F323" i="36"/>
  <c r="D325" i="36"/>
  <c r="G322" i="36"/>
  <c r="D323" i="13"/>
  <c r="E322" i="13"/>
  <c r="F321" i="13"/>
  <c r="E324" i="36"/>
  <c r="G320" i="13"/>
  <c r="H320" i="13" l="1"/>
  <c r="H322" i="36"/>
  <c r="C323" i="13"/>
  <c r="A324" i="13"/>
  <c r="C325" i="36"/>
  <c r="A326" i="36"/>
  <c r="D324" i="13"/>
  <c r="G321" i="13"/>
  <c r="F322" i="13"/>
  <c r="F324" i="36"/>
  <c r="E323" i="13"/>
  <c r="E325" i="36"/>
  <c r="G323" i="36"/>
  <c r="D326" i="36"/>
  <c r="H321" i="13" l="1"/>
  <c r="H323" i="36"/>
  <c r="C324" i="13"/>
  <c r="A325" i="13"/>
  <c r="C326" i="36"/>
  <c r="A327" i="36"/>
  <c r="G324" i="36"/>
  <c r="F323" i="13"/>
  <c r="E326" i="36"/>
  <c r="E324" i="13"/>
  <c r="D327" i="36"/>
  <c r="D325" i="13"/>
  <c r="F325" i="36"/>
  <c r="G322" i="13"/>
  <c r="H322" i="13" l="1"/>
  <c r="H324" i="36"/>
  <c r="C325" i="13"/>
  <c r="A326" i="13"/>
  <c r="C327" i="36"/>
  <c r="A328" i="36"/>
  <c r="F324" i="13"/>
  <c r="F326" i="36"/>
  <c r="E325" i="13"/>
  <c r="G325" i="36"/>
  <c r="D326" i="13"/>
  <c r="G323" i="13"/>
  <c r="E327" i="36"/>
  <c r="D328" i="36"/>
  <c r="H323" i="13" l="1"/>
  <c r="H325" i="36"/>
  <c r="C326" i="13"/>
  <c r="A327" i="13"/>
  <c r="C328" i="36"/>
  <c r="A329" i="36"/>
  <c r="E326" i="13"/>
  <c r="G326" i="36"/>
  <c r="F325" i="13"/>
  <c r="G324" i="13"/>
  <c r="F327" i="36"/>
  <c r="D327" i="13"/>
  <c r="E328" i="36"/>
  <c r="D329" i="36"/>
  <c r="H324" i="13" l="1"/>
  <c r="H326" i="36"/>
  <c r="C327" i="13"/>
  <c r="A328" i="13"/>
  <c r="C329" i="36"/>
  <c r="A330" i="36"/>
  <c r="D328" i="13"/>
  <c r="F326" i="13"/>
  <c r="G327" i="36"/>
  <c r="E327" i="13"/>
  <c r="F328" i="36"/>
  <c r="E329" i="36"/>
  <c r="D330" i="36"/>
  <c r="G325" i="13"/>
  <c r="H325" i="13" l="1"/>
  <c r="H327" i="36"/>
  <c r="C328" i="13"/>
  <c r="A329" i="13"/>
  <c r="C330" i="36"/>
  <c r="A331" i="36"/>
  <c r="E330" i="36"/>
  <c r="F327" i="13"/>
  <c r="G328" i="36"/>
  <c r="E328" i="13"/>
  <c r="F329" i="36"/>
  <c r="D331" i="36"/>
  <c r="G326" i="13"/>
  <c r="D329" i="13"/>
  <c r="H326" i="13" l="1"/>
  <c r="H328" i="36"/>
  <c r="C329" i="13"/>
  <c r="A330" i="13"/>
  <c r="C331" i="36"/>
  <c r="A332" i="36"/>
  <c r="F328" i="13"/>
  <c r="E329" i="13"/>
  <c r="E331" i="36"/>
  <c r="G327" i="13"/>
  <c r="D330" i="13"/>
  <c r="F330" i="36"/>
  <c r="G329" i="36"/>
  <c r="D332" i="36"/>
  <c r="H327" i="13" l="1"/>
  <c r="H329" i="36"/>
  <c r="C330" i="13"/>
  <c r="A331" i="13"/>
  <c r="C332" i="36"/>
  <c r="A333" i="36"/>
  <c r="G330" i="36"/>
  <c r="D331" i="13"/>
  <c r="E330" i="13"/>
  <c r="F331" i="36"/>
  <c r="F329" i="13"/>
  <c r="D333" i="36"/>
  <c r="E332" i="36"/>
  <c r="G328" i="13"/>
  <c r="H328" i="13" l="1"/>
  <c r="H330" i="36"/>
  <c r="C331" i="13"/>
  <c r="A332" i="13"/>
  <c r="C333" i="36"/>
  <c r="A334" i="36"/>
  <c r="E331" i="13"/>
  <c r="G331" i="36"/>
  <c r="E333" i="36"/>
  <c r="D332" i="13"/>
  <c r="F330" i="13"/>
  <c r="F332" i="36"/>
  <c r="G329" i="13"/>
  <c r="D334" i="36"/>
  <c r="H329" i="13" l="1"/>
  <c r="H331" i="36"/>
  <c r="C332" i="13"/>
  <c r="A333" i="13"/>
  <c r="C334" i="36"/>
  <c r="A335" i="36"/>
  <c r="E334" i="36"/>
  <c r="G332" i="36"/>
  <c r="D335" i="36"/>
  <c r="E332" i="13"/>
  <c r="F333" i="36"/>
  <c r="F331" i="13"/>
  <c r="G330" i="13"/>
  <c r="D333" i="13"/>
  <c r="H330" i="13" l="1"/>
  <c r="H332" i="36"/>
  <c r="C333" i="13"/>
  <c r="A334" i="13"/>
  <c r="C335" i="36"/>
  <c r="A336" i="36"/>
  <c r="E335" i="36"/>
  <c r="F332" i="13"/>
  <c r="G333" i="36"/>
  <c r="F334" i="36"/>
  <c r="G331" i="13"/>
  <c r="D334" i="13"/>
  <c r="E333" i="13"/>
  <c r="D336" i="36"/>
  <c r="H331" i="13" l="1"/>
  <c r="H333" i="36"/>
  <c r="C334" i="13"/>
  <c r="A335" i="13"/>
  <c r="C336" i="36"/>
  <c r="A337" i="36"/>
  <c r="G334" i="36"/>
  <c r="F335" i="36"/>
  <c r="F333" i="13"/>
  <c r="G332" i="13"/>
  <c r="E336" i="36"/>
  <c r="D335" i="13"/>
  <c r="E334" i="13"/>
  <c r="D337" i="36"/>
  <c r="H332" i="13" l="1"/>
  <c r="H334" i="36"/>
  <c r="C335" i="13"/>
  <c r="A336" i="13"/>
  <c r="C337" i="36"/>
  <c r="A338" i="36"/>
  <c r="F334" i="13"/>
  <c r="D338" i="36"/>
  <c r="E335" i="13"/>
  <c r="F336" i="36"/>
  <c r="G335" i="36"/>
  <c r="E337" i="36"/>
  <c r="D336" i="13"/>
  <c r="G333" i="13"/>
  <c r="H333" i="13" l="1"/>
  <c r="H335" i="36"/>
  <c r="C336" i="13"/>
  <c r="A337" i="13"/>
  <c r="C338" i="36"/>
  <c r="A339" i="36"/>
  <c r="E338" i="36"/>
  <c r="F335" i="13"/>
  <c r="D337" i="13"/>
  <c r="F337" i="36"/>
  <c r="G336" i="36"/>
  <c r="D339" i="36"/>
  <c r="G334" i="13"/>
  <c r="E336" i="13"/>
  <c r="H334" i="13" l="1"/>
  <c r="H336" i="36"/>
  <c r="C337" i="13"/>
  <c r="A338" i="13"/>
  <c r="C339" i="36"/>
  <c r="A340" i="36"/>
  <c r="E339" i="36"/>
  <c r="G337" i="36"/>
  <c r="F336" i="13"/>
  <c r="E337" i="13"/>
  <c r="G335" i="13"/>
  <c r="D340" i="36"/>
  <c r="F338" i="36"/>
  <c r="D338" i="13"/>
  <c r="H335" i="13" l="1"/>
  <c r="H337" i="36"/>
  <c r="C338" i="13"/>
  <c r="A339" i="13"/>
  <c r="C340" i="36"/>
  <c r="A341" i="36"/>
  <c r="E340" i="36"/>
  <c r="G336" i="13"/>
  <c r="G338" i="36"/>
  <c r="D339" i="13"/>
  <c r="F339" i="36"/>
  <c r="E338" i="13"/>
  <c r="F337" i="13"/>
  <c r="D341" i="36"/>
  <c r="H336" i="13" l="1"/>
  <c r="H338" i="36"/>
  <c r="C339" i="13"/>
  <c r="A340" i="13"/>
  <c r="C341" i="36"/>
  <c r="A342" i="36"/>
  <c r="G337" i="13"/>
  <c r="E341" i="36"/>
  <c r="F340" i="36"/>
  <c r="E339" i="13"/>
  <c r="F338" i="13"/>
  <c r="D340" i="13"/>
  <c r="D342" i="36"/>
  <c r="G339" i="36"/>
  <c r="H337" i="13" l="1"/>
  <c r="H339" i="36"/>
  <c r="C340" i="13"/>
  <c r="A341" i="13"/>
  <c r="C342" i="36"/>
  <c r="A343" i="36"/>
  <c r="D341" i="13"/>
  <c r="D343" i="36"/>
  <c r="F339" i="13"/>
  <c r="E340" i="13"/>
  <c r="G340" i="36"/>
  <c r="E342" i="36"/>
  <c r="F341" i="36"/>
  <c r="G338" i="13"/>
  <c r="H338" i="13" l="1"/>
  <c r="H340" i="36"/>
  <c r="C341" i="13"/>
  <c r="A342" i="13"/>
  <c r="C343" i="36"/>
  <c r="A344" i="36"/>
  <c r="F340" i="13"/>
  <c r="E341" i="13"/>
  <c r="E343" i="36"/>
  <c r="G339" i="13"/>
  <c r="G341" i="36"/>
  <c r="F342" i="36"/>
  <c r="D342" i="13"/>
  <c r="D344" i="36"/>
  <c r="H339" i="13" l="1"/>
  <c r="H341" i="36"/>
  <c r="C342" i="13"/>
  <c r="A343" i="13"/>
  <c r="C344" i="36"/>
  <c r="A345" i="36"/>
  <c r="D345" i="36"/>
  <c r="E344" i="36"/>
  <c r="E342" i="13"/>
  <c r="F343" i="36"/>
  <c r="G342" i="36"/>
  <c r="G340" i="13"/>
  <c r="F341" i="13"/>
  <c r="D343" i="13"/>
  <c r="H340" i="13" l="1"/>
  <c r="H342" i="36"/>
  <c r="C343" i="13"/>
  <c r="A344" i="13"/>
  <c r="C345" i="36"/>
  <c r="A346" i="36"/>
  <c r="G343" i="36"/>
  <c r="G341" i="13"/>
  <c r="E345" i="36"/>
  <c r="F344" i="36"/>
  <c r="E343" i="13"/>
  <c r="F342" i="13"/>
  <c r="D344" i="13"/>
  <c r="D346" i="36"/>
  <c r="H341" i="13" l="1"/>
  <c r="H343" i="36"/>
  <c r="C344" i="13"/>
  <c r="A345" i="13"/>
  <c r="C346" i="36"/>
  <c r="A347" i="36"/>
  <c r="E346" i="36"/>
  <c r="G342" i="13"/>
  <c r="F345" i="36"/>
  <c r="F343" i="13"/>
  <c r="D345" i="13"/>
  <c r="D347" i="36"/>
  <c r="E344" i="13"/>
  <c r="G344" i="36"/>
  <c r="H342" i="13" l="1"/>
  <c r="H344" i="36"/>
  <c r="C345" i="13"/>
  <c r="A346" i="13"/>
  <c r="C347" i="36"/>
  <c r="A348" i="36"/>
  <c r="F344" i="13"/>
  <c r="G345" i="36"/>
  <c r="G343" i="13"/>
  <c r="F346" i="36"/>
  <c r="E345" i="13"/>
  <c r="D346" i="13"/>
  <c r="E347" i="36"/>
  <c r="D348" i="36"/>
  <c r="H343" i="13" l="1"/>
  <c r="H345" i="36"/>
  <c r="C346" i="13"/>
  <c r="A347" i="13"/>
  <c r="C348" i="36"/>
  <c r="A349" i="36"/>
  <c r="G344" i="13"/>
  <c r="D349" i="36"/>
  <c r="E348" i="36"/>
  <c r="F345" i="13"/>
  <c r="D347" i="13"/>
  <c r="G346" i="36"/>
  <c r="F347" i="36"/>
  <c r="E346" i="13"/>
  <c r="H344" i="13" l="1"/>
  <c r="H346" i="36"/>
  <c r="C347" i="13"/>
  <c r="A348" i="13"/>
  <c r="C349" i="36"/>
  <c r="A350" i="36"/>
  <c r="F348" i="36"/>
  <c r="E347" i="13"/>
  <c r="F346" i="13"/>
  <c r="E349" i="36"/>
  <c r="G347" i="36"/>
  <c r="G345" i="13"/>
  <c r="D348" i="13"/>
  <c r="D350" i="36"/>
  <c r="H345" i="13" l="1"/>
  <c r="H347" i="36"/>
  <c r="C348" i="13"/>
  <c r="A349" i="13"/>
  <c r="C350" i="36"/>
  <c r="A351" i="36"/>
  <c r="G348" i="36"/>
  <c r="E348" i="13"/>
  <c r="D349" i="13"/>
  <c r="D351" i="36"/>
  <c r="G346" i="13"/>
  <c r="F347" i="13"/>
  <c r="E350" i="36"/>
  <c r="F349" i="36"/>
  <c r="H346" i="13" l="1"/>
  <c r="H348" i="36"/>
  <c r="C349" i="13"/>
  <c r="A350" i="13"/>
  <c r="C351" i="36"/>
  <c r="A352" i="36"/>
  <c r="E351" i="36"/>
  <c r="D352" i="36"/>
  <c r="E349" i="13"/>
  <c r="G347" i="13"/>
  <c r="F348" i="13"/>
  <c r="F350" i="36"/>
  <c r="D350" i="13"/>
  <c r="G349" i="36"/>
  <c r="H347" i="13" l="1"/>
  <c r="H349" i="36"/>
  <c r="C350" i="13"/>
  <c r="A351" i="13"/>
  <c r="C352" i="36"/>
  <c r="A353" i="36"/>
  <c r="D351" i="13"/>
  <c r="E352" i="36"/>
  <c r="E350" i="13"/>
  <c r="F349" i="13"/>
  <c r="F351" i="36"/>
  <c r="G350" i="36"/>
  <c r="D353" i="36"/>
  <c r="G348" i="13"/>
  <c r="H348" i="13" l="1"/>
  <c r="H350" i="36"/>
  <c r="C351" i="13"/>
  <c r="A352" i="13"/>
  <c r="C353" i="36"/>
  <c r="A354" i="36"/>
  <c r="D352" i="13"/>
  <c r="G349" i="13"/>
  <c r="E351" i="13"/>
  <c r="D354" i="36"/>
  <c r="E353" i="36"/>
  <c r="F350" i="13"/>
  <c r="G351" i="36"/>
  <c r="F352" i="36"/>
  <c r="H349" i="13" l="1"/>
  <c r="H351" i="36"/>
  <c r="C352" i="13"/>
  <c r="A353" i="13"/>
  <c r="C354" i="36"/>
  <c r="A355" i="36"/>
  <c r="E352" i="13"/>
  <c r="D355" i="36"/>
  <c r="F353" i="36"/>
  <c r="G352" i="36"/>
  <c r="E354" i="36"/>
  <c r="G350" i="13"/>
  <c r="F351" i="13"/>
  <c r="D353" i="13"/>
  <c r="H350" i="13" l="1"/>
  <c r="H352" i="36"/>
  <c r="C353" i="13"/>
  <c r="A354" i="13"/>
  <c r="C355" i="36"/>
  <c r="A356" i="36"/>
  <c r="G351" i="13"/>
  <c r="E353" i="13"/>
  <c r="F354" i="36"/>
  <c r="G353" i="36"/>
  <c r="E355" i="36"/>
  <c r="F352" i="13"/>
  <c r="D354" i="13"/>
  <c r="D356" i="36"/>
  <c r="H351" i="13" l="1"/>
  <c r="H353" i="36"/>
  <c r="C354" i="13"/>
  <c r="A355" i="13"/>
  <c r="C356" i="36"/>
  <c r="A357" i="36"/>
  <c r="F353" i="13"/>
  <c r="G352" i="13"/>
  <c r="G354" i="36"/>
  <c r="D357" i="36"/>
  <c r="E356" i="36"/>
  <c r="D355" i="13"/>
  <c r="E354" i="13"/>
  <c r="F355" i="36"/>
  <c r="H352" i="13" l="1"/>
  <c r="H354" i="36"/>
  <c r="C355" i="13"/>
  <c r="A356" i="13"/>
  <c r="C357" i="36"/>
  <c r="A358" i="36"/>
  <c r="D356" i="13"/>
  <c r="E357" i="36"/>
  <c r="F356" i="36"/>
  <c r="D358" i="36"/>
  <c r="G353" i="13"/>
  <c r="E355" i="13"/>
  <c r="F354" i="13"/>
  <c r="G355" i="36"/>
  <c r="H353" i="13" l="1"/>
  <c r="H355" i="36"/>
  <c r="C356" i="13"/>
  <c r="A357" i="13"/>
  <c r="C358" i="36"/>
  <c r="A359" i="36"/>
  <c r="D357" i="13"/>
  <c r="F357" i="36"/>
  <c r="D359" i="36"/>
  <c r="G354" i="13"/>
  <c r="E356" i="13"/>
  <c r="E358" i="36"/>
  <c r="G356" i="36"/>
  <c r="F355" i="13"/>
  <c r="H354" i="13" l="1"/>
  <c r="H356" i="36"/>
  <c r="C357" i="13"/>
  <c r="A358" i="13"/>
  <c r="C359" i="36"/>
  <c r="A360" i="36"/>
  <c r="E357" i="13"/>
  <c r="F358" i="36"/>
  <c r="G355" i="13"/>
  <c r="D360" i="36"/>
  <c r="G357" i="36"/>
  <c r="D358" i="13"/>
  <c r="E359" i="36"/>
  <c r="F356" i="13"/>
  <c r="H355" i="13" l="1"/>
  <c r="H357" i="36"/>
  <c r="C358" i="13"/>
  <c r="A359" i="13"/>
  <c r="C360" i="36"/>
  <c r="A361" i="36"/>
  <c r="D361" i="36"/>
  <c r="E358" i="13"/>
  <c r="F359" i="36"/>
  <c r="F357" i="13"/>
  <c r="E360" i="36"/>
  <c r="G356" i="13"/>
  <c r="G358" i="36"/>
  <c r="D359" i="13"/>
  <c r="H356" i="13" l="1"/>
  <c r="H358" i="36"/>
  <c r="C359" i="13"/>
  <c r="A360" i="13"/>
  <c r="C361" i="36"/>
  <c r="A362" i="36"/>
  <c r="G357" i="13"/>
  <c r="G359" i="36"/>
  <c r="D362" i="36"/>
  <c r="F358" i="13"/>
  <c r="E359" i="13"/>
  <c r="F360" i="36"/>
  <c r="D360" i="13"/>
  <c r="E361" i="36"/>
  <c r="H357" i="13" l="1"/>
  <c r="H359" i="36"/>
  <c r="C360" i="13"/>
  <c r="A361" i="13"/>
  <c r="C362" i="36"/>
  <c r="A363" i="36"/>
  <c r="G360" i="36"/>
  <c r="F359" i="13"/>
  <c r="D361" i="13"/>
  <c r="F361" i="36"/>
  <c r="E360" i="13"/>
  <c r="E362" i="36"/>
  <c r="G358" i="13"/>
  <c r="D363" i="36"/>
  <c r="H358" i="13" l="1"/>
  <c r="H360" i="36"/>
  <c r="C361" i="13"/>
  <c r="A362" i="13"/>
  <c r="C363" i="36"/>
  <c r="A364" i="36"/>
  <c r="E361" i="13"/>
  <c r="D364" i="36"/>
  <c r="E363" i="36"/>
  <c r="F362" i="36"/>
  <c r="D362" i="13"/>
  <c r="G361" i="36"/>
  <c r="F360" i="13"/>
  <c r="G359" i="13"/>
  <c r="H359" i="13" l="1"/>
  <c r="H361" i="36"/>
  <c r="C362" i="13"/>
  <c r="A363" i="13"/>
  <c r="C364" i="36"/>
  <c r="A365" i="36"/>
  <c r="G360" i="13"/>
  <c r="E362" i="13"/>
  <c r="D363" i="13"/>
  <c r="F361" i="13"/>
  <c r="G362" i="36"/>
  <c r="D365" i="36"/>
  <c r="F363" i="36"/>
  <c r="E364" i="36"/>
  <c r="H360" i="13" l="1"/>
  <c r="H362" i="36"/>
  <c r="C363" i="13"/>
  <c r="A364" i="13"/>
  <c r="C365" i="36"/>
  <c r="A366" i="36"/>
  <c r="G363" i="36"/>
  <c r="E365" i="36"/>
  <c r="F364" i="36"/>
  <c r="G361" i="13"/>
  <c r="E363" i="13"/>
  <c r="F362" i="13"/>
  <c r="D364" i="13"/>
  <c r="D366" i="36"/>
  <c r="H361" i="13" l="1"/>
  <c r="H363" i="36"/>
  <c r="C364" i="13"/>
  <c r="A365" i="13"/>
  <c r="C366" i="36"/>
  <c r="A367" i="36"/>
  <c r="F363" i="13"/>
  <c r="G364" i="36"/>
  <c r="G362" i="13"/>
  <c r="F365" i="36"/>
  <c r="E364" i="13"/>
  <c r="E366" i="36"/>
  <c r="D367" i="36"/>
  <c r="D365" i="13"/>
  <c r="H362" i="13" l="1"/>
  <c r="H364" i="36"/>
  <c r="C365" i="13"/>
  <c r="A366" i="13"/>
  <c r="C367" i="36"/>
  <c r="A368" i="36"/>
  <c r="E365" i="13"/>
  <c r="E367" i="36"/>
  <c r="D368" i="36"/>
  <c r="F364" i="13"/>
  <c r="D366" i="13"/>
  <c r="G363" i="13"/>
  <c r="G365" i="36"/>
  <c r="F366" i="36"/>
  <c r="H363" i="13" l="1"/>
  <c r="H365" i="36"/>
  <c r="C366" i="13"/>
  <c r="A367" i="13"/>
  <c r="C368" i="36"/>
  <c r="A369" i="36"/>
  <c r="G364" i="13"/>
  <c r="G366" i="36"/>
  <c r="E366" i="13"/>
  <c r="E368" i="36"/>
  <c r="D369" i="36"/>
  <c r="D367" i="13"/>
  <c r="F365" i="13"/>
  <c r="F367" i="36"/>
  <c r="H364" i="13" l="1"/>
  <c r="H366" i="36"/>
  <c r="C367" i="13"/>
  <c r="A368" i="13"/>
  <c r="C369" i="36"/>
  <c r="A370" i="36"/>
  <c r="F368" i="36"/>
  <c r="F366" i="13"/>
  <c r="G367" i="36"/>
  <c r="D368" i="13"/>
  <c r="E369" i="36"/>
  <c r="G365" i="13"/>
  <c r="E367" i="13"/>
  <c r="D370" i="36"/>
  <c r="H365" i="13" l="1"/>
  <c r="H367" i="36"/>
  <c r="C368" i="13"/>
  <c r="A369" i="13"/>
  <c r="C370" i="36"/>
  <c r="A371" i="36"/>
  <c r="G366" i="13"/>
  <c r="D371" i="36"/>
  <c r="F369" i="36"/>
  <c r="D369" i="13"/>
  <c r="F367" i="13"/>
  <c r="E370" i="36"/>
  <c r="E368" i="13"/>
  <c r="G368" i="36"/>
  <c r="H366" i="13" l="1"/>
  <c r="H368" i="36"/>
  <c r="C369" i="13"/>
  <c r="A370" i="13"/>
  <c r="C371" i="36"/>
  <c r="A372" i="36"/>
  <c r="G367" i="13"/>
  <c r="F370" i="36"/>
  <c r="E371" i="36"/>
  <c r="D370" i="13"/>
  <c r="G369" i="36"/>
  <c r="D372" i="36"/>
  <c r="F368" i="13"/>
  <c r="E369" i="13"/>
  <c r="H367" i="13" l="1"/>
  <c r="H369" i="36"/>
  <c r="C370" i="13"/>
  <c r="A371" i="13"/>
  <c r="C372" i="36"/>
  <c r="A373" i="36"/>
  <c r="F369" i="13"/>
  <c r="G370" i="36"/>
  <c r="G368" i="13"/>
  <c r="E370" i="13"/>
  <c r="F371" i="36"/>
  <c r="D373" i="36"/>
  <c r="E372" i="36"/>
  <c r="D371" i="13"/>
  <c r="H368" i="13" l="1"/>
  <c r="H370" i="36"/>
  <c r="C371" i="13"/>
  <c r="A372" i="13"/>
  <c r="C373" i="36"/>
  <c r="A374" i="36"/>
  <c r="F372" i="36"/>
  <c r="E373" i="36"/>
  <c r="F370" i="13"/>
  <c r="G369" i="13"/>
  <c r="D374" i="36"/>
  <c r="E371" i="13"/>
  <c r="G371" i="36"/>
  <c r="D372" i="13"/>
  <c r="H369" i="13" l="1"/>
  <c r="H371" i="36"/>
  <c r="C372" i="13"/>
  <c r="A373" i="13"/>
  <c r="C374" i="36"/>
  <c r="A375" i="36"/>
  <c r="F373" i="36"/>
  <c r="D373" i="13"/>
  <c r="E374" i="36"/>
  <c r="G372" i="36"/>
  <c r="F371" i="13"/>
  <c r="D375" i="36"/>
  <c r="G370" i="13"/>
  <c r="E372" i="13"/>
  <c r="H370" i="13" l="1"/>
  <c r="H372" i="36"/>
  <c r="C373" i="13"/>
  <c r="A374" i="13"/>
  <c r="C375" i="36"/>
  <c r="A376" i="36"/>
  <c r="E373" i="13"/>
  <c r="E375" i="36"/>
  <c r="G371" i="13"/>
  <c r="F374" i="36"/>
  <c r="G373" i="36"/>
  <c r="F372" i="13"/>
  <c r="D376" i="36"/>
  <c r="D374" i="13"/>
  <c r="H371" i="13" l="1"/>
  <c r="H373" i="36"/>
  <c r="C374" i="13"/>
  <c r="A375" i="13"/>
  <c r="C376" i="36"/>
  <c r="A377" i="36"/>
  <c r="D375" i="13"/>
  <c r="D377" i="36"/>
  <c r="F373" i="13"/>
  <c r="F375" i="36"/>
  <c r="G374" i="36"/>
  <c r="G372" i="13"/>
  <c r="E376" i="36"/>
  <c r="E374" i="13"/>
  <c r="H372" i="13" l="1"/>
  <c r="H374" i="36"/>
  <c r="C375" i="13"/>
  <c r="A376" i="13"/>
  <c r="C377" i="36"/>
  <c r="A378" i="36"/>
  <c r="F374" i="13"/>
  <c r="E377" i="36"/>
  <c r="F376" i="36"/>
  <c r="G375" i="36"/>
  <c r="D376" i="13"/>
  <c r="D378" i="36"/>
  <c r="G373" i="13"/>
  <c r="E375" i="13"/>
  <c r="H373" i="13" l="1"/>
  <c r="H375" i="36"/>
  <c r="C376" i="13"/>
  <c r="A377" i="13"/>
  <c r="C378" i="36"/>
  <c r="A379" i="36"/>
  <c r="G376" i="36"/>
  <c r="E378" i="36"/>
  <c r="D377" i="13"/>
  <c r="E376" i="13"/>
  <c r="F377" i="36"/>
  <c r="F375" i="13"/>
  <c r="G374" i="13"/>
  <c r="D379" i="36"/>
  <c r="H374" i="13" l="1"/>
  <c r="H376" i="36"/>
  <c r="C377" i="13"/>
  <c r="A378" i="13"/>
  <c r="C379" i="36"/>
  <c r="A380" i="36"/>
  <c r="G375" i="13"/>
  <c r="D380" i="36"/>
  <c r="E379" i="36"/>
  <c r="F376" i="13"/>
  <c r="G377" i="36"/>
  <c r="E377" i="13"/>
  <c r="D378" i="13"/>
  <c r="F378" i="36"/>
  <c r="H375" i="13" l="1"/>
  <c r="H377" i="36"/>
  <c r="C378" i="13"/>
  <c r="A379" i="13"/>
  <c r="C380" i="36"/>
  <c r="A381" i="36"/>
  <c r="G378" i="36"/>
  <c r="F379" i="36"/>
  <c r="E380" i="36"/>
  <c r="E378" i="13"/>
  <c r="D381" i="36"/>
  <c r="D379" i="13"/>
  <c r="G376" i="13"/>
  <c r="F377" i="13"/>
  <c r="H376" i="13" l="1"/>
  <c r="H378" i="36"/>
  <c r="C379" i="13"/>
  <c r="A380" i="13"/>
  <c r="C381" i="36"/>
  <c r="A382" i="36"/>
  <c r="E379" i="13"/>
  <c r="G377" i="13"/>
  <c r="F378" i="13"/>
  <c r="D382" i="36"/>
  <c r="F380" i="36"/>
  <c r="D380" i="13"/>
  <c r="E381" i="36"/>
  <c r="G379" i="36"/>
  <c r="H377" i="13" l="1"/>
  <c r="H379" i="36"/>
  <c r="C380" i="13"/>
  <c r="A381" i="13"/>
  <c r="C382" i="36"/>
  <c r="A383" i="36"/>
  <c r="E382" i="36"/>
  <c r="D381" i="13"/>
  <c r="G380" i="36"/>
  <c r="F381" i="36"/>
  <c r="F379" i="13"/>
  <c r="G378" i="13"/>
  <c r="E380" i="13"/>
  <c r="D383" i="36"/>
  <c r="H378" i="13" l="1"/>
  <c r="H380" i="36"/>
  <c r="C381" i="13"/>
  <c r="A382" i="13"/>
  <c r="C383" i="36"/>
  <c r="A384" i="36"/>
  <c r="F380" i="13"/>
  <c r="G379" i="13"/>
  <c r="E383" i="36"/>
  <c r="F382" i="36"/>
  <c r="D384" i="36"/>
  <c r="E381" i="13"/>
  <c r="G381" i="36"/>
  <c r="D382" i="13"/>
  <c r="H379" i="13" l="1"/>
  <c r="H381" i="36"/>
  <c r="C382" i="13"/>
  <c r="A383" i="13"/>
  <c r="C384" i="36"/>
  <c r="A385" i="36"/>
  <c r="G380" i="13"/>
  <c r="G382" i="36"/>
  <c r="E382" i="13"/>
  <c r="E384" i="36"/>
  <c r="D383" i="13"/>
  <c r="D385" i="36"/>
  <c r="F381" i="13"/>
  <c r="F383" i="36"/>
  <c r="H380" i="13" l="1"/>
  <c r="H382" i="36"/>
  <c r="C383" i="13"/>
  <c r="A384" i="13"/>
  <c r="C385" i="36"/>
  <c r="A386" i="36"/>
  <c r="F384" i="36"/>
  <c r="E383" i="13"/>
  <c r="G381" i="13"/>
  <c r="E385" i="36"/>
  <c r="D386" i="36"/>
  <c r="D384" i="13"/>
  <c r="F382" i="13"/>
  <c r="G383" i="36"/>
  <c r="H381" i="13" l="1"/>
  <c r="H383" i="36"/>
  <c r="C384" i="13"/>
  <c r="A385" i="13"/>
  <c r="C386" i="36"/>
  <c r="A387" i="36"/>
  <c r="E386" i="36"/>
  <c r="G382" i="13"/>
  <c r="D385" i="13"/>
  <c r="F385" i="36"/>
  <c r="E384" i="13"/>
  <c r="D387" i="36"/>
  <c r="G384" i="36"/>
  <c r="F383" i="13"/>
  <c r="H382" i="13" l="1"/>
  <c r="H384" i="36"/>
  <c r="C385" i="13"/>
  <c r="A386" i="13"/>
  <c r="C387" i="36"/>
  <c r="A388" i="36"/>
  <c r="F386" i="36"/>
  <c r="E385" i="13"/>
  <c r="G385" i="36"/>
  <c r="D386" i="13"/>
  <c r="D388" i="36"/>
  <c r="E387" i="36"/>
  <c r="G383" i="13"/>
  <c r="F384" i="13"/>
  <c r="H383" i="13" l="1"/>
  <c r="H385" i="36"/>
  <c r="C386" i="13"/>
  <c r="A387" i="13"/>
  <c r="C388" i="36"/>
  <c r="A389" i="36"/>
  <c r="F387" i="36"/>
  <c r="D389" i="36"/>
  <c r="D387" i="13"/>
  <c r="G386" i="36"/>
  <c r="E388" i="36"/>
  <c r="F385" i="13"/>
  <c r="E386" i="13"/>
  <c r="G384" i="13"/>
  <c r="H384" i="13" l="1"/>
  <c r="H386" i="36"/>
  <c r="C387" i="13"/>
  <c r="A388" i="13"/>
  <c r="C389" i="36"/>
  <c r="A390" i="36"/>
  <c r="F388" i="36"/>
  <c r="G385" i="13"/>
  <c r="E387" i="13"/>
  <c r="E389" i="36"/>
  <c r="D388" i="13"/>
  <c r="F386" i="13"/>
  <c r="G387" i="36"/>
  <c r="D390" i="36"/>
  <c r="H385" i="13" l="1"/>
  <c r="H387" i="36"/>
  <c r="C388" i="13"/>
  <c r="A389" i="13"/>
  <c r="C390" i="36"/>
  <c r="A391" i="36"/>
  <c r="G388" i="36"/>
  <c r="E390" i="36"/>
  <c r="E388" i="13"/>
  <c r="F389" i="36"/>
  <c r="G386" i="13"/>
  <c r="D391" i="36"/>
  <c r="D389" i="13"/>
  <c r="F387" i="13"/>
  <c r="H386" i="13" l="1"/>
  <c r="H388" i="36"/>
  <c r="C389" i="13"/>
  <c r="A390" i="13"/>
  <c r="C391" i="36"/>
  <c r="A392" i="36"/>
  <c r="D390" i="13"/>
  <c r="F390" i="36"/>
  <c r="E391" i="36"/>
  <c r="G389" i="36"/>
  <c r="F388" i="13"/>
  <c r="E389" i="13"/>
  <c r="G387" i="13"/>
  <c r="D392" i="36"/>
  <c r="H387" i="13" l="1"/>
  <c r="H389" i="36"/>
  <c r="C390" i="13"/>
  <c r="A391" i="13"/>
  <c r="C392" i="36"/>
  <c r="A393" i="36"/>
  <c r="D393" i="36"/>
  <c r="E392" i="36"/>
  <c r="G388" i="13"/>
  <c r="F391" i="36"/>
  <c r="F389" i="13"/>
  <c r="E390" i="13"/>
  <c r="D391" i="13"/>
  <c r="G390" i="36"/>
  <c r="H388" i="13" l="1"/>
  <c r="H390" i="36"/>
  <c r="C391" i="13"/>
  <c r="A392" i="13"/>
  <c r="C393" i="36"/>
  <c r="A394" i="36"/>
  <c r="D394" i="36"/>
  <c r="E393" i="36"/>
  <c r="G389" i="13"/>
  <c r="F390" i="13"/>
  <c r="F392" i="36"/>
  <c r="E391" i="13"/>
  <c r="G391" i="36"/>
  <c r="D392" i="13"/>
  <c r="H389" i="13" l="1"/>
  <c r="H391" i="36"/>
  <c r="C392" i="13"/>
  <c r="A393" i="13"/>
  <c r="C394" i="36"/>
  <c r="A395" i="36"/>
  <c r="G392" i="36"/>
  <c r="E392" i="13"/>
  <c r="E394" i="36"/>
  <c r="G390" i="13"/>
  <c r="D395" i="36"/>
  <c r="D393" i="13"/>
  <c r="F391" i="13"/>
  <c r="F393" i="36"/>
  <c r="H390" i="13" l="1"/>
  <c r="H392" i="36"/>
  <c r="C393" i="13"/>
  <c r="A394" i="13"/>
  <c r="C395" i="36"/>
  <c r="A396" i="36"/>
  <c r="D396" i="36"/>
  <c r="D394" i="13"/>
  <c r="G393" i="36"/>
  <c r="E395" i="36"/>
  <c r="F394" i="36"/>
  <c r="F392" i="13"/>
  <c r="G391" i="13"/>
  <c r="E393" i="13"/>
  <c r="H391" i="13" l="1"/>
  <c r="H393" i="36"/>
  <c r="C394" i="13"/>
  <c r="A395" i="13"/>
  <c r="C396" i="36"/>
  <c r="A397" i="36"/>
  <c r="D397" i="36"/>
  <c r="G392" i="13"/>
  <c r="F395" i="36"/>
  <c r="G394" i="36"/>
  <c r="D395" i="13"/>
  <c r="F393" i="13"/>
  <c r="E394" i="13"/>
  <c r="E396" i="36"/>
  <c r="H392" i="13" l="1"/>
  <c r="H394" i="36"/>
  <c r="C395" i="13"/>
  <c r="A396" i="13"/>
  <c r="C397" i="36"/>
  <c r="A398" i="36"/>
  <c r="G393" i="13"/>
  <c r="F394" i="13"/>
  <c r="G395" i="36"/>
  <c r="D396" i="13"/>
  <c r="D398" i="36"/>
  <c r="F396" i="36"/>
  <c r="E395" i="13"/>
  <c r="E397" i="36"/>
  <c r="H393" i="13" l="1"/>
  <c r="H395" i="36"/>
  <c r="C396" i="13"/>
  <c r="A397" i="13"/>
  <c r="C398" i="36"/>
  <c r="A399" i="36"/>
  <c r="E396" i="13"/>
  <c r="E398" i="36"/>
  <c r="F395" i="13"/>
  <c r="D397" i="13"/>
  <c r="F397" i="36"/>
  <c r="G394" i="13"/>
  <c r="G396" i="36"/>
  <c r="D399" i="36"/>
  <c r="H394" i="13" l="1"/>
  <c r="H396" i="36"/>
  <c r="C397" i="13"/>
  <c r="A398" i="13"/>
  <c r="C399" i="36"/>
  <c r="A400" i="36"/>
  <c r="G395" i="13"/>
  <c r="E399" i="36"/>
  <c r="D398" i="13"/>
  <c r="G397" i="36"/>
  <c r="D400" i="36"/>
  <c r="F398" i="36"/>
  <c r="E397" i="13"/>
  <c r="F396" i="13"/>
  <c r="H395" i="13" l="1"/>
  <c r="H397" i="36"/>
  <c r="C398" i="13"/>
  <c r="A399" i="13"/>
  <c r="C400" i="36"/>
  <c r="A401" i="36"/>
  <c r="F397" i="13"/>
  <c r="E398" i="13"/>
  <c r="G398" i="36"/>
  <c r="G396" i="13"/>
  <c r="F399" i="36"/>
  <c r="E400" i="36"/>
  <c r="D399" i="13"/>
  <c r="D401" i="36"/>
  <c r="H396" i="13" l="1"/>
  <c r="H398" i="36"/>
  <c r="C399" i="13"/>
  <c r="A400" i="13"/>
  <c r="C401" i="36"/>
  <c r="A402" i="36"/>
  <c r="F400" i="36"/>
  <c r="E399" i="13"/>
  <c r="G397" i="13"/>
  <c r="G399" i="36"/>
  <c r="D402" i="36"/>
  <c r="D400" i="13"/>
  <c r="F398" i="13"/>
  <c r="E401" i="36"/>
  <c r="H397" i="13" l="1"/>
  <c r="H399" i="36"/>
  <c r="C400" i="13"/>
  <c r="A401" i="13"/>
  <c r="C402" i="36"/>
  <c r="A403" i="36"/>
  <c r="G400" i="36"/>
  <c r="G398" i="13"/>
  <c r="E402" i="36"/>
  <c r="E400" i="13"/>
  <c r="F401" i="36"/>
  <c r="F399" i="13"/>
  <c r="D401" i="13"/>
  <c r="D403" i="36"/>
  <c r="H398" i="13" l="1"/>
  <c r="H400" i="36"/>
  <c r="C401" i="13"/>
  <c r="A402" i="13"/>
  <c r="C403" i="36"/>
  <c r="A404" i="36"/>
  <c r="E403" i="36"/>
  <c r="F400" i="13"/>
  <c r="G401" i="36"/>
  <c r="G399" i="13"/>
  <c r="F402" i="36"/>
  <c r="E401" i="13"/>
  <c r="D402" i="13"/>
  <c r="D404" i="36"/>
  <c r="H399" i="13" l="1"/>
  <c r="H401" i="36"/>
  <c r="C402" i="13"/>
  <c r="A403" i="13"/>
  <c r="C404" i="36"/>
  <c r="A405" i="36"/>
  <c r="E402" i="13"/>
  <c r="G400" i="13"/>
  <c r="G402" i="36"/>
  <c r="F403" i="36"/>
  <c r="E404" i="36"/>
  <c r="D403" i="13"/>
  <c r="F401" i="13"/>
  <c r="D405" i="36"/>
  <c r="H400" i="13" l="1"/>
  <c r="H402" i="36"/>
  <c r="C403" i="13"/>
  <c r="A404" i="13"/>
  <c r="C405" i="36"/>
  <c r="A406" i="36"/>
  <c r="F404" i="36"/>
  <c r="E405" i="36"/>
  <c r="D404" i="13"/>
  <c r="E403" i="13"/>
  <c r="F402" i="13"/>
  <c r="D406" i="36"/>
  <c r="G401" i="13"/>
  <c r="G403" i="36"/>
  <c r="H401" i="13" l="1"/>
  <c r="H403" i="36"/>
  <c r="C404" i="13"/>
  <c r="A405" i="13"/>
  <c r="C406" i="36"/>
  <c r="A407" i="36"/>
  <c r="G402" i="13"/>
  <c r="E406" i="36"/>
  <c r="E404" i="13"/>
  <c r="F403" i="13"/>
  <c r="F405" i="36"/>
  <c r="G404" i="36"/>
  <c r="D405" i="13"/>
  <c r="D407" i="36"/>
  <c r="H402" i="13" l="1"/>
  <c r="H404" i="36"/>
  <c r="C405" i="13"/>
  <c r="A406" i="13"/>
  <c r="C407" i="36"/>
  <c r="A408" i="36"/>
  <c r="G405" i="36"/>
  <c r="F406" i="36"/>
  <c r="E407" i="36"/>
  <c r="F404" i="13"/>
  <c r="G403" i="13"/>
  <c r="D406" i="13"/>
  <c r="E405" i="13"/>
  <c r="D408" i="36"/>
  <c r="H403" i="13" l="1"/>
  <c r="H405" i="36"/>
  <c r="C406" i="13"/>
  <c r="A407" i="13"/>
  <c r="C408" i="36"/>
  <c r="A409" i="36"/>
  <c r="E406" i="13"/>
  <c r="D409" i="36"/>
  <c r="F405" i="13"/>
  <c r="D407" i="13"/>
  <c r="E408" i="36"/>
  <c r="G406" i="36"/>
  <c r="G404" i="13"/>
  <c r="F407" i="36"/>
  <c r="H404" i="13" l="1"/>
  <c r="H406" i="36"/>
  <c r="C407" i="13"/>
  <c r="A408" i="13"/>
  <c r="C409" i="36"/>
  <c r="A410" i="36"/>
  <c r="D408" i="13"/>
  <c r="G407" i="36"/>
  <c r="F406" i="13"/>
  <c r="E407" i="13"/>
  <c r="F408" i="36"/>
  <c r="E409" i="36"/>
  <c r="G405" i="13"/>
  <c r="D410" i="36"/>
  <c r="H405" i="13" l="1"/>
  <c r="H407" i="36"/>
  <c r="C408" i="13"/>
  <c r="A409" i="13"/>
  <c r="C410" i="36"/>
  <c r="A411" i="36"/>
  <c r="F409" i="36"/>
  <c r="D409" i="13"/>
  <c r="D411" i="36"/>
  <c r="E410" i="36"/>
  <c r="G406" i="13"/>
  <c r="G408" i="36"/>
  <c r="F407" i="13"/>
  <c r="E408" i="13"/>
  <c r="H406" i="13" l="1"/>
  <c r="H408" i="36"/>
  <c r="C409" i="13"/>
  <c r="A410" i="13"/>
  <c r="C411" i="36"/>
  <c r="A412" i="36"/>
  <c r="E411" i="36"/>
  <c r="E409" i="13"/>
  <c r="G409" i="36"/>
  <c r="F410" i="36"/>
  <c r="D410" i="13"/>
  <c r="G407" i="13"/>
  <c r="F408" i="13"/>
  <c r="D412" i="36"/>
  <c r="H407" i="13" l="1"/>
  <c r="H409" i="36"/>
  <c r="C410" i="13"/>
  <c r="A411" i="13"/>
  <c r="C412" i="36"/>
  <c r="A413" i="36"/>
  <c r="D413" i="36"/>
  <c r="F409" i="13"/>
  <c r="G408" i="13"/>
  <c r="E410" i="13"/>
  <c r="E412" i="36"/>
  <c r="D411" i="13"/>
  <c r="F411" i="36"/>
  <c r="G410" i="36"/>
  <c r="H408" i="13" l="1"/>
  <c r="H410" i="36"/>
  <c r="C411" i="13"/>
  <c r="A412" i="13"/>
  <c r="C413" i="36"/>
  <c r="A414" i="36"/>
  <c r="F410" i="13"/>
  <c r="E411" i="13"/>
  <c r="G409" i="13"/>
  <c r="F412" i="36"/>
  <c r="E413" i="36"/>
  <c r="G411" i="36"/>
  <c r="D412" i="13"/>
  <c r="D414" i="36"/>
  <c r="H409" i="13" l="1"/>
  <c r="H411" i="36"/>
  <c r="C412" i="13"/>
  <c r="A413" i="13"/>
  <c r="C414" i="36"/>
  <c r="A415" i="36"/>
  <c r="E412" i="13"/>
  <c r="D413" i="13"/>
  <c r="F411" i="13"/>
  <c r="F413" i="36"/>
  <c r="E414" i="36"/>
  <c r="G410" i="13"/>
  <c r="G412" i="36"/>
  <c r="D415" i="36"/>
  <c r="H410" i="13" l="1"/>
  <c r="H412" i="36"/>
  <c r="C413" i="13"/>
  <c r="A414" i="13"/>
  <c r="C415" i="36"/>
  <c r="A416" i="36"/>
  <c r="G413" i="36"/>
  <c r="E415" i="36"/>
  <c r="E413" i="13"/>
  <c r="G411" i="13"/>
  <c r="F414" i="36"/>
  <c r="F412" i="13"/>
  <c r="D414" i="13"/>
  <c r="D416" i="36"/>
  <c r="H411" i="13" l="1"/>
  <c r="H413" i="36"/>
  <c r="C414" i="13"/>
  <c r="A415" i="13"/>
  <c r="C416" i="36"/>
  <c r="A417" i="36"/>
  <c r="G414" i="36"/>
  <c r="E416" i="36"/>
  <c r="F415" i="36"/>
  <c r="D415" i="13"/>
  <c r="D417" i="36"/>
  <c r="E414" i="13"/>
  <c r="G412" i="13"/>
  <c r="F413" i="13"/>
  <c r="H412" i="13" l="1"/>
  <c r="H414" i="36"/>
  <c r="C415" i="13"/>
  <c r="A416" i="13"/>
  <c r="C417" i="36"/>
  <c r="A418" i="36"/>
  <c r="E415" i="13"/>
  <c r="D418" i="36"/>
  <c r="D416" i="13"/>
  <c r="E417" i="36"/>
  <c r="F414" i="13"/>
  <c r="G415" i="36"/>
  <c r="G413" i="13"/>
  <c r="F416" i="36"/>
  <c r="H413" i="13" l="1"/>
  <c r="H415" i="36"/>
  <c r="C416" i="13"/>
  <c r="A417" i="13"/>
  <c r="C418" i="36"/>
  <c r="A419" i="36"/>
  <c r="F417" i="36"/>
  <c r="G416" i="36"/>
  <c r="D419" i="36"/>
  <c r="G414" i="13"/>
  <c r="E418" i="36"/>
  <c r="F415" i="13"/>
  <c r="E416" i="13"/>
  <c r="D417" i="13"/>
  <c r="H414" i="13" l="1"/>
  <c r="H416" i="36"/>
  <c r="C417" i="13"/>
  <c r="A418" i="13"/>
  <c r="C419" i="36"/>
  <c r="A420" i="36"/>
  <c r="D420" i="36"/>
  <c r="G415" i="13"/>
  <c r="G417" i="36"/>
  <c r="D418" i="13"/>
  <c r="E419" i="36"/>
  <c r="F416" i="13"/>
  <c r="E417" i="13"/>
  <c r="F418" i="36"/>
  <c r="H415" i="13" l="1"/>
  <c r="H417" i="36"/>
  <c r="C418" i="13"/>
  <c r="A419" i="13"/>
  <c r="C420" i="36"/>
  <c r="A421" i="36"/>
  <c r="E420" i="36"/>
  <c r="F419" i="36"/>
  <c r="D419" i="13"/>
  <c r="G416" i="13"/>
  <c r="F417" i="13"/>
  <c r="G418" i="36"/>
  <c r="E418" i="13"/>
  <c r="D421" i="36"/>
  <c r="H416" i="13" l="1"/>
  <c r="H418" i="36"/>
  <c r="C419" i="13"/>
  <c r="A420" i="13"/>
  <c r="C421" i="36"/>
  <c r="A422" i="36"/>
  <c r="G417" i="13"/>
  <c r="G419" i="36"/>
  <c r="E421" i="36"/>
  <c r="D422" i="36"/>
  <c r="F418" i="13"/>
  <c r="F420" i="36"/>
  <c r="E419" i="13"/>
  <c r="D420" i="13"/>
  <c r="H417" i="13" l="1"/>
  <c r="H419" i="36"/>
  <c r="C420" i="13"/>
  <c r="A421" i="13"/>
  <c r="C422" i="36"/>
  <c r="A423" i="36"/>
  <c r="D423" i="36"/>
  <c r="E420" i="13"/>
  <c r="E422" i="36"/>
  <c r="D421" i="13"/>
  <c r="F419" i="13"/>
  <c r="G418" i="13"/>
  <c r="G420" i="36"/>
  <c r="F421" i="36"/>
  <c r="H418" i="13" l="1"/>
  <c r="H420" i="36"/>
  <c r="C421" i="13"/>
  <c r="A422" i="13"/>
  <c r="C423" i="36"/>
  <c r="A424" i="36"/>
  <c r="E423" i="36"/>
  <c r="G421" i="36"/>
  <c r="G419" i="13"/>
  <c r="D424" i="36"/>
  <c r="F422" i="36"/>
  <c r="F420" i="13"/>
  <c r="E421" i="13"/>
  <c r="D422" i="13"/>
  <c r="H419" i="13" l="1"/>
  <c r="H421" i="36"/>
  <c r="C422" i="13"/>
  <c r="A423" i="13"/>
  <c r="C424" i="36"/>
  <c r="A425" i="36"/>
  <c r="F421" i="13"/>
  <c r="D425" i="36"/>
  <c r="D423" i="13"/>
  <c r="G420" i="13"/>
  <c r="F423" i="36"/>
  <c r="E422" i="13"/>
  <c r="E424" i="36"/>
  <c r="G422" i="36"/>
  <c r="H420" i="13" l="1"/>
  <c r="H422" i="36"/>
  <c r="C423" i="13"/>
  <c r="A424" i="13"/>
  <c r="C425" i="36"/>
  <c r="A426" i="36"/>
  <c r="E425" i="36"/>
  <c r="F424" i="36"/>
  <c r="E423" i="13"/>
  <c r="F422" i="13"/>
  <c r="D426" i="36"/>
  <c r="G423" i="36"/>
  <c r="D424" i="13"/>
  <c r="G421" i="13"/>
  <c r="H421" i="13" l="1"/>
  <c r="H423" i="36"/>
  <c r="C424" i="13"/>
  <c r="A425" i="13"/>
  <c r="C426" i="36"/>
  <c r="A427" i="36"/>
  <c r="D427" i="36"/>
  <c r="E426" i="36"/>
  <c r="F423" i="13"/>
  <c r="D425" i="13"/>
  <c r="G422" i="13"/>
  <c r="F425" i="36"/>
  <c r="E424" i="13"/>
  <c r="G424" i="36"/>
  <c r="H422" i="13" l="1"/>
  <c r="H424" i="36"/>
  <c r="C425" i="13"/>
  <c r="A426" i="13"/>
  <c r="C427" i="36"/>
  <c r="A428" i="36"/>
  <c r="F426" i="36"/>
  <c r="G423" i="13"/>
  <c r="D426" i="13"/>
  <c r="D428" i="36"/>
  <c r="E427" i="36"/>
  <c r="G425" i="36"/>
  <c r="E425" i="13"/>
  <c r="F424" i="13"/>
  <c r="H423" i="13" l="1"/>
  <c r="H425" i="36"/>
  <c r="C426" i="13"/>
  <c r="A427" i="13"/>
  <c r="C428" i="36"/>
  <c r="A429" i="36"/>
  <c r="D427" i="13"/>
  <c r="F425" i="13"/>
  <c r="E428" i="36"/>
  <c r="F427" i="36"/>
  <c r="E426" i="13"/>
  <c r="D429" i="36"/>
  <c r="G426" i="36"/>
  <c r="G424" i="13"/>
  <c r="H424" i="13" l="1"/>
  <c r="H426" i="36"/>
  <c r="C427" i="13"/>
  <c r="A428" i="13"/>
  <c r="C429" i="36"/>
  <c r="A430" i="36"/>
  <c r="G427" i="36"/>
  <c r="D430" i="36"/>
  <c r="F426" i="13"/>
  <c r="E427" i="13"/>
  <c r="F428" i="36"/>
  <c r="E429" i="36"/>
  <c r="G425" i="13"/>
  <c r="D428" i="13"/>
  <c r="H425" i="13" l="1"/>
  <c r="H427" i="36"/>
  <c r="C428" i="13"/>
  <c r="A429" i="13"/>
  <c r="C430" i="36"/>
  <c r="A431" i="36"/>
  <c r="G426" i="13"/>
  <c r="E428" i="13"/>
  <c r="F429" i="36"/>
  <c r="D429" i="13"/>
  <c r="F427" i="13"/>
  <c r="E430" i="36"/>
  <c r="G428" i="36"/>
  <c r="D431" i="36"/>
  <c r="H426" i="13" l="1"/>
  <c r="H428" i="36"/>
  <c r="C429" i="13"/>
  <c r="A430" i="13"/>
  <c r="C431" i="36"/>
  <c r="A432" i="36"/>
  <c r="D432" i="36"/>
  <c r="E431" i="36"/>
  <c r="D430" i="13"/>
  <c r="G429" i="36"/>
  <c r="F428" i="13"/>
  <c r="G427" i="13"/>
  <c r="E429" i="13"/>
  <c r="F430" i="36"/>
  <c r="H427" i="13" l="1"/>
  <c r="H429" i="36"/>
  <c r="C430" i="13"/>
  <c r="A431" i="13"/>
  <c r="C432" i="36"/>
  <c r="A433" i="36"/>
  <c r="E432" i="36"/>
  <c r="D431" i="13"/>
  <c r="F431" i="36"/>
  <c r="F429" i="13"/>
  <c r="G430" i="36"/>
  <c r="G428" i="13"/>
  <c r="E430" i="13"/>
  <c r="D433" i="36"/>
  <c r="H428" i="13" l="1"/>
  <c r="H430" i="36"/>
  <c r="C431" i="13"/>
  <c r="A432" i="13"/>
  <c r="C433" i="36"/>
  <c r="A434" i="36"/>
  <c r="F432" i="36"/>
  <c r="E431" i="13"/>
  <c r="E433" i="36"/>
  <c r="D434" i="36"/>
  <c r="G431" i="36"/>
  <c r="F430" i="13"/>
  <c r="D432" i="13"/>
  <c r="G429" i="13"/>
  <c r="H429" i="13" l="1"/>
  <c r="H431" i="36"/>
  <c r="C432" i="13"/>
  <c r="A433" i="13"/>
  <c r="C434" i="36"/>
  <c r="A435" i="36"/>
  <c r="G432" i="36"/>
  <c r="F431" i="13"/>
  <c r="E434" i="36"/>
  <c r="D435" i="36"/>
  <c r="G430" i="13"/>
  <c r="E432" i="13"/>
  <c r="F433" i="36"/>
  <c r="D433" i="13"/>
  <c r="H430" i="13" l="1"/>
  <c r="H432" i="36"/>
  <c r="C433" i="13"/>
  <c r="A434" i="13"/>
  <c r="C435" i="36"/>
  <c r="A436" i="36"/>
  <c r="F434" i="36"/>
  <c r="G433" i="36"/>
  <c r="E435" i="36"/>
  <c r="D434" i="13"/>
  <c r="D436" i="36"/>
  <c r="E433" i="13"/>
  <c r="F432" i="13"/>
  <c r="G431" i="13"/>
  <c r="H431" i="13" l="1"/>
  <c r="H433" i="36"/>
  <c r="C434" i="13"/>
  <c r="A435" i="13"/>
  <c r="C436" i="36"/>
  <c r="A437" i="36"/>
  <c r="D437" i="36"/>
  <c r="G434" i="36"/>
  <c r="D435" i="13"/>
  <c r="G432" i="13"/>
  <c r="E436" i="36"/>
  <c r="F435" i="36"/>
  <c r="F433" i="13"/>
  <c r="E434" i="13"/>
  <c r="H432" i="13" l="1"/>
  <c r="H434" i="36"/>
  <c r="C435" i="13"/>
  <c r="A436" i="13"/>
  <c r="C437" i="36"/>
  <c r="A438" i="36"/>
  <c r="F436" i="36"/>
  <c r="E435" i="13"/>
  <c r="G433" i="13"/>
  <c r="F434" i="13"/>
  <c r="D436" i="13"/>
  <c r="E437" i="36"/>
  <c r="G435" i="36"/>
  <c r="D438" i="36"/>
  <c r="H433" i="13" l="1"/>
  <c r="H435" i="36"/>
  <c r="C436" i="13"/>
  <c r="A437" i="13"/>
  <c r="C438" i="36"/>
  <c r="A439" i="36"/>
  <c r="G434" i="13"/>
  <c r="F435" i="13"/>
  <c r="D437" i="13"/>
  <c r="E438" i="36"/>
  <c r="E436" i="13"/>
  <c r="D439" i="36"/>
  <c r="F437" i="36"/>
  <c r="G436" i="36"/>
  <c r="H434" i="13" l="1"/>
  <c r="H436" i="36"/>
  <c r="C437" i="13"/>
  <c r="A438" i="13"/>
  <c r="C439" i="36"/>
  <c r="A440" i="36"/>
  <c r="E439" i="36"/>
  <c r="F436" i="13"/>
  <c r="G437" i="36"/>
  <c r="F438" i="36"/>
  <c r="E437" i="13"/>
  <c r="G435" i="13"/>
  <c r="D438" i="13"/>
  <c r="D440" i="36"/>
  <c r="H435" i="13" l="1"/>
  <c r="H437" i="36"/>
  <c r="C438" i="13"/>
  <c r="A439" i="13"/>
  <c r="C440" i="36"/>
  <c r="A441" i="36"/>
  <c r="G438" i="36"/>
  <c r="E440" i="36"/>
  <c r="F439" i="36"/>
  <c r="F437" i="13"/>
  <c r="D439" i="13"/>
  <c r="G436" i="13"/>
  <c r="E438" i="13"/>
  <c r="D441" i="36"/>
  <c r="H436" i="13" l="1"/>
  <c r="H438" i="36"/>
  <c r="C439" i="13"/>
  <c r="A440" i="13"/>
  <c r="C441" i="36"/>
  <c r="A442" i="36"/>
  <c r="G437" i="13"/>
  <c r="F440" i="36"/>
  <c r="E439" i="13"/>
  <c r="G439" i="36"/>
  <c r="D442" i="36"/>
  <c r="F438" i="13"/>
  <c r="E441" i="36"/>
  <c r="D440" i="13"/>
  <c r="H437" i="13" l="1"/>
  <c r="H439" i="36"/>
  <c r="C440" i="13"/>
  <c r="A441" i="13"/>
  <c r="C442" i="36"/>
  <c r="A443" i="36"/>
  <c r="G438" i="13"/>
  <c r="G440" i="36"/>
  <c r="F441" i="36"/>
  <c r="E442" i="36"/>
  <c r="F439" i="13"/>
  <c r="D441" i="13"/>
  <c r="E440" i="13"/>
  <c r="D443" i="36"/>
  <c r="H438" i="13" l="1"/>
  <c r="H440" i="36"/>
  <c r="C441" i="13"/>
  <c r="A442" i="13"/>
  <c r="C443" i="36"/>
  <c r="A444" i="36"/>
  <c r="G441" i="36"/>
  <c r="D444" i="36"/>
  <c r="E441" i="13"/>
  <c r="F442" i="36"/>
  <c r="F440" i="13"/>
  <c r="D442" i="13"/>
  <c r="G439" i="13"/>
  <c r="E443" i="36"/>
  <c r="H439" i="13" l="1"/>
  <c r="H441" i="36"/>
  <c r="C442" i="13"/>
  <c r="A443" i="13"/>
  <c r="C444" i="36"/>
  <c r="A445" i="36"/>
  <c r="G442" i="36"/>
  <c r="E444" i="36"/>
  <c r="E442" i="13"/>
  <c r="D445" i="36"/>
  <c r="G440" i="13"/>
  <c r="F443" i="36"/>
  <c r="D443" i="13"/>
  <c r="F441" i="13"/>
  <c r="H440" i="13" l="1"/>
  <c r="H442" i="36"/>
  <c r="C443" i="13"/>
  <c r="A444" i="13"/>
  <c r="C445" i="36"/>
  <c r="A446" i="36"/>
  <c r="D446" i="36"/>
  <c r="G441" i="13"/>
  <c r="F442" i="13"/>
  <c r="G443" i="36"/>
  <c r="F444" i="36"/>
  <c r="E443" i="13"/>
  <c r="E445" i="36"/>
  <c r="D444" i="13"/>
  <c r="H441" i="13" l="1"/>
  <c r="H443" i="36"/>
  <c r="C444" i="13"/>
  <c r="A445" i="13"/>
  <c r="C446" i="36"/>
  <c r="A447" i="36"/>
  <c r="E444" i="13"/>
  <c r="F445" i="36"/>
  <c r="E446" i="36"/>
  <c r="G444" i="36"/>
  <c r="F443" i="13"/>
  <c r="D447" i="36"/>
  <c r="G442" i="13"/>
  <c r="D445" i="13"/>
  <c r="H442" i="13" l="1"/>
  <c r="H444" i="36"/>
  <c r="C445" i="13"/>
  <c r="A446" i="13"/>
  <c r="C447" i="36"/>
  <c r="A448" i="36"/>
  <c r="G445" i="36"/>
  <c r="D446" i="13"/>
  <c r="E447" i="36"/>
  <c r="F444" i="13"/>
  <c r="D448" i="36"/>
  <c r="E445" i="13"/>
  <c r="F446" i="36"/>
  <c r="G443" i="13"/>
  <c r="H443" i="13" l="1"/>
  <c r="H445" i="36"/>
  <c r="C446" i="13"/>
  <c r="A447" i="13"/>
  <c r="C448" i="36"/>
  <c r="A449" i="36"/>
  <c r="G446" i="36"/>
  <c r="E448" i="36"/>
  <c r="D447" i="13"/>
  <c r="F445" i="13"/>
  <c r="E446" i="13"/>
  <c r="F447" i="36"/>
  <c r="D449" i="36"/>
  <c r="G444" i="13"/>
  <c r="H444" i="13" l="1"/>
  <c r="H446" i="36"/>
  <c r="C447" i="13"/>
  <c r="A448" i="13"/>
  <c r="C449" i="36"/>
  <c r="A450" i="36"/>
  <c r="E449" i="36"/>
  <c r="F448" i="36"/>
  <c r="E447" i="13"/>
  <c r="G447" i="36"/>
  <c r="F446" i="13"/>
  <c r="D450" i="36"/>
  <c r="G445" i="13"/>
  <c r="D448" i="13"/>
  <c r="H445" i="13" l="1"/>
  <c r="H447" i="36"/>
  <c r="C448" i="13"/>
  <c r="A449" i="13"/>
  <c r="C450" i="36"/>
  <c r="A451" i="36"/>
  <c r="E450" i="36"/>
  <c r="G446" i="13"/>
  <c r="D449" i="13"/>
  <c r="E448" i="13"/>
  <c r="D451" i="36"/>
  <c r="G448" i="36"/>
  <c r="F447" i="13"/>
  <c r="F449" i="36"/>
  <c r="H446" i="13" l="1"/>
  <c r="H448" i="36"/>
  <c r="C449" i="13"/>
  <c r="C451" i="36"/>
  <c r="A452" i="36"/>
  <c r="E451" i="36"/>
  <c r="D452" i="36"/>
  <c r="E449" i="13"/>
  <c r="G449" i="36"/>
  <c r="G447" i="13"/>
  <c r="F448" i="13"/>
  <c r="F450" i="36"/>
  <c r="E9" i="13" l="1"/>
  <c r="I313" i="13" s="1"/>
  <c r="J313" i="13" s="1"/>
  <c r="H447" i="13"/>
  <c r="H449" i="36"/>
  <c r="C452" i="36"/>
  <c r="A453" i="36"/>
  <c r="E452" i="36"/>
  <c r="D453" i="36"/>
  <c r="G450" i="36"/>
  <c r="G448" i="13"/>
  <c r="F451" i="36"/>
  <c r="F449" i="13"/>
  <c r="I447" i="13" l="1"/>
  <c r="J447" i="13" s="1"/>
  <c r="I115" i="13"/>
  <c r="J115" i="13" s="1"/>
  <c r="H448" i="13"/>
  <c r="I448" i="13" s="1"/>
  <c r="J448" i="13" s="1"/>
  <c r="I266" i="13"/>
  <c r="J266" i="13" s="1"/>
  <c r="I14" i="13"/>
  <c r="J14" i="13" s="1"/>
  <c r="I16" i="13"/>
  <c r="J16" i="13" s="1"/>
  <c r="I20" i="13"/>
  <c r="J20" i="13" s="1"/>
  <c r="I24" i="13"/>
  <c r="J24" i="13" s="1"/>
  <c r="I28" i="13"/>
  <c r="J28" i="13" s="1"/>
  <c r="I32" i="13"/>
  <c r="J32" i="13" s="1"/>
  <c r="I36" i="13"/>
  <c r="J36" i="13" s="1"/>
  <c r="I40" i="13"/>
  <c r="J40" i="13" s="1"/>
  <c r="I44" i="13"/>
  <c r="J44" i="13" s="1"/>
  <c r="I48" i="13"/>
  <c r="J48" i="13" s="1"/>
  <c r="I52" i="13"/>
  <c r="J52" i="13" s="1"/>
  <c r="I56" i="13"/>
  <c r="J56" i="13" s="1"/>
  <c r="I60" i="13"/>
  <c r="J60" i="13" s="1"/>
  <c r="I64" i="13"/>
  <c r="J64" i="13" s="1"/>
  <c r="I68" i="13"/>
  <c r="J68" i="13" s="1"/>
  <c r="I72" i="13"/>
  <c r="J72" i="13" s="1"/>
  <c r="I76" i="13"/>
  <c r="J76" i="13" s="1"/>
  <c r="I80" i="13"/>
  <c r="J80" i="13" s="1"/>
  <c r="I84" i="13"/>
  <c r="J84" i="13" s="1"/>
  <c r="I88" i="13"/>
  <c r="J88" i="13" s="1"/>
  <c r="I92" i="13"/>
  <c r="J92" i="13" s="1"/>
  <c r="I96" i="13"/>
  <c r="J96" i="13" s="1"/>
  <c r="I100" i="13"/>
  <c r="J100" i="13" s="1"/>
  <c r="I104" i="13"/>
  <c r="J104" i="13" s="1"/>
  <c r="I108" i="13"/>
  <c r="J108" i="13" s="1"/>
  <c r="I112" i="13"/>
  <c r="J112" i="13" s="1"/>
  <c r="I116" i="13"/>
  <c r="J116" i="13" s="1"/>
  <c r="I120" i="13"/>
  <c r="J120" i="13" s="1"/>
  <c r="I124" i="13"/>
  <c r="J124" i="13" s="1"/>
  <c r="I128" i="13"/>
  <c r="J128" i="13" s="1"/>
  <c r="I132" i="13"/>
  <c r="J132" i="13" s="1"/>
  <c r="I136" i="13"/>
  <c r="J136" i="13" s="1"/>
  <c r="I140" i="13"/>
  <c r="J140" i="13" s="1"/>
  <c r="I144" i="13"/>
  <c r="J144" i="13" s="1"/>
  <c r="I148" i="13"/>
  <c r="J148" i="13" s="1"/>
  <c r="I152" i="13"/>
  <c r="J152" i="13" s="1"/>
  <c r="I156" i="13"/>
  <c r="J156" i="13" s="1"/>
  <c r="I160" i="13"/>
  <c r="J160" i="13" s="1"/>
  <c r="I164" i="13"/>
  <c r="J164" i="13" s="1"/>
  <c r="I168" i="13"/>
  <c r="J168" i="13" s="1"/>
  <c r="I172" i="13"/>
  <c r="J172" i="13" s="1"/>
  <c r="I176" i="13"/>
  <c r="J176" i="13" s="1"/>
  <c r="I180" i="13"/>
  <c r="J180" i="13" s="1"/>
  <c r="I184" i="13"/>
  <c r="J184" i="13" s="1"/>
  <c r="I188" i="13"/>
  <c r="J188" i="13" s="1"/>
  <c r="I192" i="13"/>
  <c r="J192" i="13" s="1"/>
  <c r="I196" i="13"/>
  <c r="J196" i="13" s="1"/>
  <c r="I200" i="13"/>
  <c r="J200" i="13" s="1"/>
  <c r="I204" i="13"/>
  <c r="J204" i="13" s="1"/>
  <c r="I208" i="13"/>
  <c r="J208" i="13" s="1"/>
  <c r="I212" i="13"/>
  <c r="J212" i="13" s="1"/>
  <c r="I216" i="13"/>
  <c r="J216" i="13" s="1"/>
  <c r="I220" i="13"/>
  <c r="J220" i="13" s="1"/>
  <c r="I224" i="13"/>
  <c r="J224" i="13" s="1"/>
  <c r="I228" i="13"/>
  <c r="J228" i="13" s="1"/>
  <c r="I232" i="13"/>
  <c r="J232" i="13" s="1"/>
  <c r="I236" i="13"/>
  <c r="J236" i="13" s="1"/>
  <c r="I240" i="13"/>
  <c r="J240" i="13" s="1"/>
  <c r="I244" i="13"/>
  <c r="J244" i="13" s="1"/>
  <c r="I248" i="13"/>
  <c r="J248" i="13" s="1"/>
  <c r="I252" i="13"/>
  <c r="J252" i="13" s="1"/>
  <c r="I256" i="13"/>
  <c r="J256" i="13" s="1"/>
  <c r="I260" i="13"/>
  <c r="J260" i="13" s="1"/>
  <c r="I264" i="13"/>
  <c r="J264" i="13" s="1"/>
  <c r="I268" i="13"/>
  <c r="J268" i="13" s="1"/>
  <c r="I272" i="13"/>
  <c r="J272" i="13" s="1"/>
  <c r="I276" i="13"/>
  <c r="J276" i="13" s="1"/>
  <c r="I280" i="13"/>
  <c r="J280" i="13" s="1"/>
  <c r="I284" i="13"/>
  <c r="J284" i="13" s="1"/>
  <c r="I288" i="13"/>
  <c r="J288" i="13" s="1"/>
  <c r="I292" i="13"/>
  <c r="J292" i="13" s="1"/>
  <c r="I296" i="13"/>
  <c r="J296" i="13" s="1"/>
  <c r="I300" i="13"/>
  <c r="J300" i="13" s="1"/>
  <c r="I304" i="13"/>
  <c r="J304" i="13" s="1"/>
  <c r="I308" i="13"/>
  <c r="J308" i="13" s="1"/>
  <c r="K308" i="13" s="1"/>
  <c r="I312" i="13"/>
  <c r="J312" i="13" s="1"/>
  <c r="I316" i="13"/>
  <c r="J316" i="13" s="1"/>
  <c r="I320" i="13"/>
  <c r="J320" i="13" s="1"/>
  <c r="I324" i="13"/>
  <c r="J324" i="13" s="1"/>
  <c r="I328" i="13"/>
  <c r="J328" i="13" s="1"/>
  <c r="I332" i="13"/>
  <c r="J332" i="13" s="1"/>
  <c r="I336" i="13"/>
  <c r="J336" i="13" s="1"/>
  <c r="I340" i="13"/>
  <c r="J340" i="13" s="1"/>
  <c r="I344" i="13"/>
  <c r="J344" i="13" s="1"/>
  <c r="I15" i="13"/>
  <c r="J15" i="13" s="1"/>
  <c r="I17" i="13"/>
  <c r="J17" i="13" s="1"/>
  <c r="I21" i="13"/>
  <c r="J21" i="13" s="1"/>
  <c r="I25" i="13"/>
  <c r="J25" i="13" s="1"/>
  <c r="I29" i="13"/>
  <c r="J29" i="13" s="1"/>
  <c r="I33" i="13"/>
  <c r="J33" i="13" s="1"/>
  <c r="I37" i="13"/>
  <c r="J37" i="13" s="1"/>
  <c r="I41" i="13"/>
  <c r="J41" i="13" s="1"/>
  <c r="I45" i="13"/>
  <c r="J45" i="13" s="1"/>
  <c r="I49" i="13"/>
  <c r="J49" i="13" s="1"/>
  <c r="I53" i="13"/>
  <c r="J53" i="13" s="1"/>
  <c r="I57" i="13"/>
  <c r="J57" i="13" s="1"/>
  <c r="I61" i="13"/>
  <c r="J61" i="13" s="1"/>
  <c r="I65" i="13"/>
  <c r="J65" i="13" s="1"/>
  <c r="I69" i="13"/>
  <c r="J69" i="13" s="1"/>
  <c r="I73" i="13"/>
  <c r="J73" i="13" s="1"/>
  <c r="I77" i="13"/>
  <c r="J77" i="13" s="1"/>
  <c r="I81" i="13"/>
  <c r="J81" i="13" s="1"/>
  <c r="I85" i="13"/>
  <c r="J85" i="13" s="1"/>
  <c r="I89" i="13"/>
  <c r="J89" i="13" s="1"/>
  <c r="I93" i="13"/>
  <c r="J93" i="13" s="1"/>
  <c r="I97" i="13"/>
  <c r="J97" i="13" s="1"/>
  <c r="I101" i="13"/>
  <c r="J101" i="13" s="1"/>
  <c r="I105" i="13"/>
  <c r="J105" i="13" s="1"/>
  <c r="I109" i="13"/>
  <c r="J109" i="13" s="1"/>
  <c r="I113" i="13"/>
  <c r="J113" i="13" s="1"/>
  <c r="I117" i="13"/>
  <c r="J117" i="13" s="1"/>
  <c r="I121" i="13"/>
  <c r="J121" i="13" s="1"/>
  <c r="I125" i="13"/>
  <c r="J125" i="13" s="1"/>
  <c r="I129" i="13"/>
  <c r="J129" i="13" s="1"/>
  <c r="I133" i="13"/>
  <c r="J133" i="13" s="1"/>
  <c r="I137" i="13"/>
  <c r="J137" i="13" s="1"/>
  <c r="I141" i="13"/>
  <c r="J141" i="13" s="1"/>
  <c r="I145" i="13"/>
  <c r="J145" i="13" s="1"/>
  <c r="I149" i="13"/>
  <c r="J149" i="13" s="1"/>
  <c r="I153" i="13"/>
  <c r="J153" i="13" s="1"/>
  <c r="I157" i="13"/>
  <c r="J157" i="13" s="1"/>
  <c r="I161" i="13"/>
  <c r="J161" i="13" s="1"/>
  <c r="I165" i="13"/>
  <c r="J165" i="13" s="1"/>
  <c r="I173" i="13"/>
  <c r="J173" i="13" s="1"/>
  <c r="I177" i="13"/>
  <c r="J177" i="13" s="1"/>
  <c r="I181" i="13"/>
  <c r="J181" i="13" s="1"/>
  <c r="I185" i="13"/>
  <c r="J185" i="13" s="1"/>
  <c r="I189" i="13"/>
  <c r="J189" i="13" s="1"/>
  <c r="I193" i="13"/>
  <c r="J193" i="13" s="1"/>
  <c r="I197" i="13"/>
  <c r="J197" i="13" s="1"/>
  <c r="I201" i="13"/>
  <c r="J201" i="13" s="1"/>
  <c r="I205" i="13"/>
  <c r="J205" i="13" s="1"/>
  <c r="I209" i="13"/>
  <c r="J209" i="13" s="1"/>
  <c r="I213" i="13"/>
  <c r="J213" i="13" s="1"/>
  <c r="I217" i="13"/>
  <c r="J217" i="13" s="1"/>
  <c r="I221" i="13"/>
  <c r="J221" i="13" s="1"/>
  <c r="I225" i="13"/>
  <c r="J225" i="13" s="1"/>
  <c r="I229" i="13"/>
  <c r="J229" i="13" s="1"/>
  <c r="I233" i="13"/>
  <c r="J233" i="13" s="1"/>
  <c r="I237" i="13"/>
  <c r="J237" i="13" s="1"/>
  <c r="I241" i="13"/>
  <c r="J241" i="13" s="1"/>
  <c r="I245" i="13"/>
  <c r="J245" i="13" s="1"/>
  <c r="I249" i="13"/>
  <c r="J249" i="13" s="1"/>
  <c r="I253" i="13"/>
  <c r="J253" i="13" s="1"/>
  <c r="I257" i="13"/>
  <c r="J257" i="13" s="1"/>
  <c r="I261" i="13"/>
  <c r="J261" i="13" s="1"/>
  <c r="I265" i="13"/>
  <c r="J265" i="13" s="1"/>
  <c r="I269" i="13"/>
  <c r="J269" i="13" s="1"/>
  <c r="I273" i="13"/>
  <c r="J273" i="13" s="1"/>
  <c r="I277" i="13"/>
  <c r="J277" i="13" s="1"/>
  <c r="I281" i="13"/>
  <c r="J281" i="13" s="1"/>
  <c r="I285" i="13"/>
  <c r="J285" i="13" s="1"/>
  <c r="I289" i="13"/>
  <c r="J289" i="13" s="1"/>
  <c r="I293" i="13"/>
  <c r="J293" i="13" s="1"/>
  <c r="I297" i="13"/>
  <c r="J297" i="13" s="1"/>
  <c r="I301" i="13"/>
  <c r="J301" i="13" s="1"/>
  <c r="I305" i="13"/>
  <c r="J305" i="13" s="1"/>
  <c r="I309" i="13"/>
  <c r="J309" i="13" s="1"/>
  <c r="I317" i="13"/>
  <c r="J317" i="13" s="1"/>
  <c r="I13" i="13"/>
  <c r="J13" i="13" s="1"/>
  <c r="I19" i="13"/>
  <c r="J19" i="13" s="1"/>
  <c r="I23" i="13"/>
  <c r="J23" i="13" s="1"/>
  <c r="I27" i="13"/>
  <c r="J27" i="13" s="1"/>
  <c r="I31" i="13"/>
  <c r="J31" i="13" s="1"/>
  <c r="I35" i="13"/>
  <c r="J35" i="13" s="1"/>
  <c r="I39" i="13"/>
  <c r="J39" i="13" s="1"/>
  <c r="I43" i="13"/>
  <c r="J43" i="13" s="1"/>
  <c r="I47" i="13"/>
  <c r="J47" i="13" s="1"/>
  <c r="I51" i="13"/>
  <c r="J51" i="13" s="1"/>
  <c r="I55" i="13"/>
  <c r="J55" i="13" s="1"/>
  <c r="I59" i="13"/>
  <c r="J59" i="13" s="1"/>
  <c r="I67" i="13"/>
  <c r="J67" i="13" s="1"/>
  <c r="I71" i="13"/>
  <c r="J71" i="13" s="1"/>
  <c r="I75" i="13"/>
  <c r="J75" i="13" s="1"/>
  <c r="I79" i="13"/>
  <c r="J79" i="13" s="1"/>
  <c r="I83" i="13"/>
  <c r="J83" i="13" s="1"/>
  <c r="I87" i="13"/>
  <c r="J87" i="13" s="1"/>
  <c r="I91" i="13"/>
  <c r="J91" i="13" s="1"/>
  <c r="I95" i="13"/>
  <c r="J95" i="13" s="1"/>
  <c r="I99" i="13"/>
  <c r="J99" i="13" s="1"/>
  <c r="I103" i="13"/>
  <c r="J103" i="13" s="1"/>
  <c r="I107" i="13"/>
  <c r="J107" i="13" s="1"/>
  <c r="I111" i="13"/>
  <c r="J111" i="13" s="1"/>
  <c r="I119" i="13"/>
  <c r="J119" i="13" s="1"/>
  <c r="I123" i="13"/>
  <c r="J123" i="13" s="1"/>
  <c r="I127" i="13"/>
  <c r="J127" i="13" s="1"/>
  <c r="I131" i="13"/>
  <c r="J131" i="13" s="1"/>
  <c r="I135" i="13"/>
  <c r="J135" i="13" s="1"/>
  <c r="I139" i="13"/>
  <c r="J139" i="13" s="1"/>
  <c r="I143" i="13"/>
  <c r="J143" i="13" s="1"/>
  <c r="I147" i="13"/>
  <c r="J147" i="13" s="1"/>
  <c r="I151" i="13"/>
  <c r="J151" i="13" s="1"/>
  <c r="I155" i="13"/>
  <c r="J155" i="13" s="1"/>
  <c r="I159" i="13"/>
  <c r="J159" i="13" s="1"/>
  <c r="I163" i="13"/>
  <c r="J163" i="13" s="1"/>
  <c r="I167" i="13"/>
  <c r="J167" i="13" s="1"/>
  <c r="I171" i="13"/>
  <c r="J171" i="13" s="1"/>
  <c r="I175" i="13"/>
  <c r="J175" i="13" s="1"/>
  <c r="I179" i="13"/>
  <c r="J179" i="13" s="1"/>
  <c r="I183" i="13"/>
  <c r="J183" i="13" s="1"/>
  <c r="I187" i="13"/>
  <c r="J187" i="13" s="1"/>
  <c r="I191" i="13"/>
  <c r="J191" i="13" s="1"/>
  <c r="I195" i="13"/>
  <c r="J195" i="13" s="1"/>
  <c r="I199" i="13"/>
  <c r="J199" i="13" s="1"/>
  <c r="I203" i="13"/>
  <c r="J203" i="13" s="1"/>
  <c r="I207" i="13"/>
  <c r="J207" i="13" s="1"/>
  <c r="I26" i="13"/>
  <c r="J26" i="13" s="1"/>
  <c r="I42" i="13"/>
  <c r="J42" i="13" s="1"/>
  <c r="I58" i="13"/>
  <c r="J58" i="13" s="1"/>
  <c r="I74" i="13"/>
  <c r="J74" i="13" s="1"/>
  <c r="I90" i="13"/>
  <c r="J90" i="13" s="1"/>
  <c r="I106" i="13"/>
  <c r="J106" i="13" s="1"/>
  <c r="I122" i="13"/>
  <c r="J122" i="13" s="1"/>
  <c r="I138" i="13"/>
  <c r="J138" i="13" s="1"/>
  <c r="I154" i="13"/>
  <c r="J154" i="13" s="1"/>
  <c r="I170" i="13"/>
  <c r="J170" i="13" s="1"/>
  <c r="I186" i="13"/>
  <c r="J186" i="13" s="1"/>
  <c r="I202" i="13"/>
  <c r="J202" i="13" s="1"/>
  <c r="I214" i="13"/>
  <c r="J214" i="13" s="1"/>
  <c r="I222" i="13"/>
  <c r="J222" i="13" s="1"/>
  <c r="I12" i="13"/>
  <c r="I30" i="13"/>
  <c r="J30" i="13" s="1"/>
  <c r="I46" i="13"/>
  <c r="J46" i="13" s="1"/>
  <c r="I62" i="13"/>
  <c r="J62" i="13" s="1"/>
  <c r="I78" i="13"/>
  <c r="J78" i="13" s="1"/>
  <c r="I94" i="13"/>
  <c r="J94" i="13" s="1"/>
  <c r="I110" i="13"/>
  <c r="J110" i="13" s="1"/>
  <c r="I126" i="13"/>
  <c r="J126" i="13" s="1"/>
  <c r="I142" i="13"/>
  <c r="J142" i="13" s="1"/>
  <c r="I158" i="13"/>
  <c r="J158" i="13" s="1"/>
  <c r="I174" i="13"/>
  <c r="J174" i="13" s="1"/>
  <c r="I190" i="13"/>
  <c r="J190" i="13" s="1"/>
  <c r="I206" i="13"/>
  <c r="J206" i="13" s="1"/>
  <c r="I215" i="13"/>
  <c r="J215" i="13" s="1"/>
  <c r="I223" i="13"/>
  <c r="J223" i="13" s="1"/>
  <c r="I231" i="13"/>
  <c r="J231" i="13" s="1"/>
  <c r="I239" i="13"/>
  <c r="J239" i="13" s="1"/>
  <c r="I247" i="13"/>
  <c r="J247" i="13" s="1"/>
  <c r="I255" i="13"/>
  <c r="J255" i="13" s="1"/>
  <c r="I263" i="13"/>
  <c r="J263" i="13" s="1"/>
  <c r="I271" i="13"/>
  <c r="J271" i="13" s="1"/>
  <c r="I279" i="13"/>
  <c r="J279" i="13" s="1"/>
  <c r="I287" i="13"/>
  <c r="J287" i="13" s="1"/>
  <c r="I295" i="13"/>
  <c r="J295" i="13" s="1"/>
  <c r="I303" i="13"/>
  <c r="J303" i="13" s="1"/>
  <c r="I311" i="13"/>
  <c r="J311" i="13" s="1"/>
  <c r="I319" i="13"/>
  <c r="J319" i="13" s="1"/>
  <c r="I325" i="13"/>
  <c r="J325" i="13" s="1"/>
  <c r="I330" i="13"/>
  <c r="J330" i="13" s="1"/>
  <c r="I335" i="13"/>
  <c r="J335" i="13" s="1"/>
  <c r="I341" i="13"/>
  <c r="J341" i="13" s="1"/>
  <c r="I346" i="13"/>
  <c r="J346" i="13" s="1"/>
  <c r="I350" i="13"/>
  <c r="J350" i="13" s="1"/>
  <c r="I354" i="13"/>
  <c r="J354" i="13" s="1"/>
  <c r="I358" i="13"/>
  <c r="J358" i="13" s="1"/>
  <c r="I362" i="13"/>
  <c r="J362" i="13" s="1"/>
  <c r="I366" i="13"/>
  <c r="J366" i="13" s="1"/>
  <c r="I370" i="13"/>
  <c r="J370" i="13" s="1"/>
  <c r="I374" i="13"/>
  <c r="J374" i="13" s="1"/>
  <c r="I378" i="13"/>
  <c r="J378" i="13" s="1"/>
  <c r="I382" i="13"/>
  <c r="J382" i="13" s="1"/>
  <c r="I386" i="13"/>
  <c r="J386" i="13" s="1"/>
  <c r="I390" i="13"/>
  <c r="J390" i="13" s="1"/>
  <c r="I394" i="13"/>
  <c r="J394" i="13" s="1"/>
  <c r="I402" i="13"/>
  <c r="J402" i="13" s="1"/>
  <c r="I406" i="13"/>
  <c r="J406" i="13" s="1"/>
  <c r="I410" i="13"/>
  <c r="J410" i="13" s="1"/>
  <c r="I414" i="13"/>
  <c r="J414" i="13" s="1"/>
  <c r="I418" i="13"/>
  <c r="J418" i="13" s="1"/>
  <c r="I422" i="13"/>
  <c r="J422" i="13" s="1"/>
  <c r="I426" i="13"/>
  <c r="J426" i="13" s="1"/>
  <c r="I430" i="13"/>
  <c r="J430" i="13" s="1"/>
  <c r="I434" i="13"/>
  <c r="J434" i="13" s="1"/>
  <c r="I438" i="13"/>
  <c r="J438" i="13" s="1"/>
  <c r="I442" i="13"/>
  <c r="J442" i="13" s="1"/>
  <c r="I445" i="13"/>
  <c r="J445" i="13" s="1"/>
  <c r="I397" i="13"/>
  <c r="J397" i="13" s="1"/>
  <c r="I413" i="13"/>
  <c r="J413" i="13" s="1"/>
  <c r="I425" i="13"/>
  <c r="J425" i="13" s="1"/>
  <c r="I433" i="13"/>
  <c r="J433" i="13" s="1"/>
  <c r="I443" i="13"/>
  <c r="J443" i="13" s="1"/>
  <c r="I18" i="13"/>
  <c r="J18" i="13" s="1"/>
  <c r="I34" i="13"/>
  <c r="J34" i="13" s="1"/>
  <c r="I50" i="13"/>
  <c r="J50" i="13" s="1"/>
  <c r="I66" i="13"/>
  <c r="J66" i="13" s="1"/>
  <c r="I82" i="13"/>
  <c r="J82" i="13" s="1"/>
  <c r="I98" i="13"/>
  <c r="J98" i="13" s="1"/>
  <c r="I114" i="13"/>
  <c r="J114" i="13" s="1"/>
  <c r="I130" i="13"/>
  <c r="J130" i="13" s="1"/>
  <c r="I146" i="13"/>
  <c r="J146" i="13" s="1"/>
  <c r="I162" i="13"/>
  <c r="J162" i="13" s="1"/>
  <c r="I178" i="13"/>
  <c r="J178" i="13" s="1"/>
  <c r="I194" i="13"/>
  <c r="J194" i="13" s="1"/>
  <c r="I210" i="13"/>
  <c r="J210" i="13" s="1"/>
  <c r="I218" i="13"/>
  <c r="J218" i="13" s="1"/>
  <c r="I226" i="13"/>
  <c r="J226" i="13" s="1"/>
  <c r="I234" i="13"/>
  <c r="J234" i="13" s="1"/>
  <c r="I242" i="13"/>
  <c r="J242" i="13" s="1"/>
  <c r="I250" i="13"/>
  <c r="J250" i="13" s="1"/>
  <c r="I258" i="13"/>
  <c r="J258" i="13" s="1"/>
  <c r="I274" i="13"/>
  <c r="J274" i="13" s="1"/>
  <c r="I282" i="13"/>
  <c r="J282" i="13" s="1"/>
  <c r="I290" i="13"/>
  <c r="J290" i="13" s="1"/>
  <c r="I298" i="13"/>
  <c r="J298" i="13" s="1"/>
  <c r="I306" i="13"/>
  <c r="J306" i="13" s="1"/>
  <c r="I314" i="13"/>
  <c r="J314" i="13" s="1"/>
  <c r="I321" i="13"/>
  <c r="J321" i="13" s="1"/>
  <c r="I326" i="13"/>
  <c r="J326" i="13" s="1"/>
  <c r="I331" i="13"/>
  <c r="J331" i="13" s="1"/>
  <c r="I337" i="13"/>
  <c r="J337" i="13" s="1"/>
  <c r="I342" i="13"/>
  <c r="J342" i="13" s="1"/>
  <c r="I347" i="13"/>
  <c r="J347" i="13" s="1"/>
  <c r="I351" i="13"/>
  <c r="J351" i="13" s="1"/>
  <c r="I355" i="13"/>
  <c r="J355" i="13" s="1"/>
  <c r="I359" i="13"/>
  <c r="J359" i="13" s="1"/>
  <c r="I363" i="13"/>
  <c r="J363" i="13" s="1"/>
  <c r="I367" i="13"/>
  <c r="J367" i="13" s="1"/>
  <c r="I371" i="13"/>
  <c r="J371" i="13" s="1"/>
  <c r="I375" i="13"/>
  <c r="J375" i="13" s="1"/>
  <c r="I379" i="13"/>
  <c r="J379" i="13" s="1"/>
  <c r="I383" i="13"/>
  <c r="J383" i="13" s="1"/>
  <c r="I387" i="13"/>
  <c r="J387" i="13" s="1"/>
  <c r="I391" i="13"/>
  <c r="J391" i="13" s="1"/>
  <c r="I395" i="13"/>
  <c r="J395" i="13" s="1"/>
  <c r="I399" i="13"/>
  <c r="J399" i="13" s="1"/>
  <c r="K399" i="13" s="1"/>
  <c r="I403" i="13"/>
  <c r="J403" i="13" s="1"/>
  <c r="I407" i="13"/>
  <c r="J407" i="13" s="1"/>
  <c r="I411" i="13"/>
  <c r="J411" i="13" s="1"/>
  <c r="I415" i="13"/>
  <c r="J415" i="13" s="1"/>
  <c r="I419" i="13"/>
  <c r="J419" i="13" s="1"/>
  <c r="I423" i="13"/>
  <c r="J423" i="13" s="1"/>
  <c r="I427" i="13"/>
  <c r="J427" i="13" s="1"/>
  <c r="I431" i="13"/>
  <c r="J431" i="13" s="1"/>
  <c r="I435" i="13"/>
  <c r="J435" i="13" s="1"/>
  <c r="I439" i="13"/>
  <c r="J439" i="13" s="1"/>
  <c r="I446" i="13"/>
  <c r="J446" i="13" s="1"/>
  <c r="I444" i="13"/>
  <c r="J444" i="13" s="1"/>
  <c r="I238" i="13"/>
  <c r="J238" i="13" s="1"/>
  <c r="I254" i="13"/>
  <c r="J254" i="13" s="1"/>
  <c r="I278" i="13"/>
  <c r="J278" i="13" s="1"/>
  <c r="I294" i="13"/>
  <c r="J294" i="13" s="1"/>
  <c r="I310" i="13"/>
  <c r="J310" i="13" s="1"/>
  <c r="I323" i="13"/>
  <c r="J323" i="13" s="1"/>
  <c r="I334" i="13"/>
  <c r="J334" i="13" s="1"/>
  <c r="I345" i="13"/>
  <c r="J345" i="13" s="1"/>
  <c r="I353" i="13"/>
  <c r="J353" i="13" s="1"/>
  <c r="I369" i="13"/>
  <c r="J369" i="13" s="1"/>
  <c r="I377" i="13"/>
  <c r="J377" i="13" s="1"/>
  <c r="I385" i="13"/>
  <c r="J385" i="13" s="1"/>
  <c r="I393" i="13"/>
  <c r="J393" i="13" s="1"/>
  <c r="I401" i="13"/>
  <c r="J401" i="13" s="1"/>
  <c r="I409" i="13"/>
  <c r="J409" i="13" s="1"/>
  <c r="I421" i="13"/>
  <c r="J421" i="13" s="1"/>
  <c r="I437" i="13"/>
  <c r="J437" i="13" s="1"/>
  <c r="I22" i="13"/>
  <c r="J22" i="13" s="1"/>
  <c r="I38" i="13"/>
  <c r="J38" i="13" s="1"/>
  <c r="I54" i="13"/>
  <c r="J54" i="13" s="1"/>
  <c r="I70" i="13"/>
  <c r="J70" i="13" s="1"/>
  <c r="I86" i="13"/>
  <c r="J86" i="13" s="1"/>
  <c r="I102" i="13"/>
  <c r="J102" i="13" s="1"/>
  <c r="I118" i="13"/>
  <c r="J118" i="13" s="1"/>
  <c r="I134" i="13"/>
  <c r="J134" i="13" s="1"/>
  <c r="I150" i="13"/>
  <c r="J150" i="13" s="1"/>
  <c r="I166" i="13"/>
  <c r="J166" i="13" s="1"/>
  <c r="I182" i="13"/>
  <c r="J182" i="13" s="1"/>
  <c r="I198" i="13"/>
  <c r="J198" i="13" s="1"/>
  <c r="I211" i="13"/>
  <c r="J211" i="13" s="1"/>
  <c r="I227" i="13"/>
  <c r="J227" i="13" s="1"/>
  <c r="I235" i="13"/>
  <c r="J235" i="13" s="1"/>
  <c r="I243" i="13"/>
  <c r="J243" i="13" s="1"/>
  <c r="I251" i="13"/>
  <c r="J251" i="13" s="1"/>
  <c r="I259" i="13"/>
  <c r="J259" i="13" s="1"/>
  <c r="I267" i="13"/>
  <c r="J267" i="13" s="1"/>
  <c r="I275" i="13"/>
  <c r="J275" i="13" s="1"/>
  <c r="I283" i="13"/>
  <c r="J283" i="13" s="1"/>
  <c r="I291" i="13"/>
  <c r="J291" i="13" s="1"/>
  <c r="I299" i="13"/>
  <c r="J299" i="13" s="1"/>
  <c r="I307" i="13"/>
  <c r="J307" i="13" s="1"/>
  <c r="I315" i="13"/>
  <c r="J315" i="13" s="1"/>
  <c r="I322" i="13"/>
  <c r="J322" i="13" s="1"/>
  <c r="I327" i="13"/>
  <c r="J327" i="13" s="1"/>
  <c r="I333" i="13"/>
  <c r="J333" i="13" s="1"/>
  <c r="I338" i="13"/>
  <c r="J338" i="13" s="1"/>
  <c r="I343" i="13"/>
  <c r="J343" i="13" s="1"/>
  <c r="I348" i="13"/>
  <c r="J348" i="13" s="1"/>
  <c r="I352" i="13"/>
  <c r="J352" i="13" s="1"/>
  <c r="I356" i="13"/>
  <c r="J356" i="13" s="1"/>
  <c r="I360" i="13"/>
  <c r="J360" i="13" s="1"/>
  <c r="I364" i="13"/>
  <c r="J364" i="13" s="1"/>
  <c r="I368" i="13"/>
  <c r="J368" i="13" s="1"/>
  <c r="I372" i="13"/>
  <c r="J372" i="13" s="1"/>
  <c r="I376" i="13"/>
  <c r="J376" i="13" s="1"/>
  <c r="I380" i="13"/>
  <c r="J380" i="13" s="1"/>
  <c r="I384" i="13"/>
  <c r="J384" i="13" s="1"/>
  <c r="I388" i="13"/>
  <c r="J388" i="13" s="1"/>
  <c r="I392" i="13"/>
  <c r="J392" i="13" s="1"/>
  <c r="I396" i="13"/>
  <c r="J396" i="13" s="1"/>
  <c r="I400" i="13"/>
  <c r="J400" i="13" s="1"/>
  <c r="I404" i="13"/>
  <c r="J404" i="13" s="1"/>
  <c r="I408" i="13"/>
  <c r="J408" i="13" s="1"/>
  <c r="I412" i="13"/>
  <c r="J412" i="13" s="1"/>
  <c r="I416" i="13"/>
  <c r="J416" i="13" s="1"/>
  <c r="I420" i="13"/>
  <c r="J420" i="13" s="1"/>
  <c r="I424" i="13"/>
  <c r="J424" i="13" s="1"/>
  <c r="I428" i="13"/>
  <c r="J428" i="13" s="1"/>
  <c r="I432" i="13"/>
  <c r="J432" i="13" s="1"/>
  <c r="I436" i="13"/>
  <c r="J436" i="13" s="1"/>
  <c r="I440" i="13"/>
  <c r="J440" i="13" s="1"/>
  <c r="I230" i="13"/>
  <c r="J230" i="13" s="1"/>
  <c r="I246" i="13"/>
  <c r="J246" i="13" s="1"/>
  <c r="I262" i="13"/>
  <c r="J262" i="13" s="1"/>
  <c r="K262" i="13" s="1"/>
  <c r="I270" i="13"/>
  <c r="J270" i="13" s="1"/>
  <c r="I286" i="13"/>
  <c r="J286" i="13" s="1"/>
  <c r="I302" i="13"/>
  <c r="J302" i="13" s="1"/>
  <c r="I318" i="13"/>
  <c r="J318" i="13" s="1"/>
  <c r="I329" i="13"/>
  <c r="J329" i="13" s="1"/>
  <c r="I339" i="13"/>
  <c r="J339" i="13" s="1"/>
  <c r="I349" i="13"/>
  <c r="J349" i="13" s="1"/>
  <c r="I357" i="13"/>
  <c r="J357" i="13" s="1"/>
  <c r="I365" i="13"/>
  <c r="J365" i="13" s="1"/>
  <c r="I373" i="13"/>
  <c r="J373" i="13" s="1"/>
  <c r="I381" i="13"/>
  <c r="J381" i="13" s="1"/>
  <c r="I389" i="13"/>
  <c r="J389" i="13" s="1"/>
  <c r="I405" i="13"/>
  <c r="J405" i="13" s="1"/>
  <c r="I417" i="13"/>
  <c r="J417" i="13" s="1"/>
  <c r="I429" i="13"/>
  <c r="J429" i="13" s="1"/>
  <c r="I441" i="13"/>
  <c r="J441" i="13" s="1"/>
  <c r="I219" i="13"/>
  <c r="J219" i="13" s="1"/>
  <c r="I398" i="13"/>
  <c r="J398" i="13" s="1"/>
  <c r="I169" i="13"/>
  <c r="J169" i="13" s="1"/>
  <c r="I361" i="13"/>
  <c r="J361" i="13" s="1"/>
  <c r="I63" i="13"/>
  <c r="J63" i="13" s="1"/>
  <c r="H450" i="36"/>
  <c r="C453" i="36"/>
  <c r="A454" i="36"/>
  <c r="G449" i="13"/>
  <c r="F452" i="36"/>
  <c r="E453" i="36"/>
  <c r="G451" i="36"/>
  <c r="D454" i="36"/>
  <c r="H449" i="13" l="1"/>
  <c r="I449" i="13" s="1"/>
  <c r="J449" i="13" s="1"/>
  <c r="J12" i="13"/>
  <c r="H451" i="36"/>
  <c r="C454" i="36"/>
  <c r="A455" i="36"/>
  <c r="D455" i="36"/>
  <c r="F453" i="36"/>
  <c r="E454" i="36"/>
  <c r="G452" i="36"/>
  <c r="J10" i="13" l="1"/>
  <c r="I9" i="13"/>
  <c r="H452" i="36"/>
  <c r="K60" i="3"/>
  <c r="D60" i="3"/>
  <c r="J60" i="3"/>
  <c r="D42" i="3"/>
  <c r="J42" i="3"/>
  <c r="K42" i="3"/>
  <c r="C455" i="36"/>
  <c r="A456" i="36"/>
  <c r="D456" i="36"/>
  <c r="G453" i="36"/>
  <c r="E455" i="36"/>
  <c r="F454" i="36"/>
  <c r="G10" i="13" l="1"/>
  <c r="J9" i="13"/>
  <c r="H453" i="36"/>
  <c r="C456" i="36"/>
  <c r="A457" i="36"/>
  <c r="E456" i="36"/>
  <c r="G454" i="36"/>
  <c r="D457" i="36"/>
  <c r="F455" i="36"/>
  <c r="K63" i="13" l="1"/>
  <c r="K60" i="13"/>
  <c r="K58" i="13"/>
  <c r="K55" i="13"/>
  <c r="K62" i="13"/>
  <c r="K61" i="13"/>
  <c r="K59" i="13"/>
  <c r="K30" i="13"/>
  <c r="K17" i="13"/>
  <c r="K16" i="13"/>
  <c r="K14" i="13"/>
  <c r="K10" i="13"/>
  <c r="K443" i="13"/>
  <c r="K388" i="13"/>
  <c r="K324" i="13"/>
  <c r="K256" i="13"/>
  <c r="K176" i="13"/>
  <c r="K112" i="13"/>
  <c r="K411" i="13"/>
  <c r="K247" i="13"/>
  <c r="K420" i="13"/>
  <c r="K356" i="13"/>
  <c r="K288" i="13"/>
  <c r="K208" i="13"/>
  <c r="K144" i="13"/>
  <c r="K64" i="13"/>
  <c r="K327" i="13"/>
  <c r="K151" i="13"/>
  <c r="K414" i="13"/>
  <c r="K234" i="13"/>
  <c r="K50" i="13"/>
  <c r="K97" i="13"/>
  <c r="K416" i="13"/>
  <c r="K352" i="13"/>
  <c r="K284" i="13"/>
  <c r="K220" i="13"/>
  <c r="K156" i="13"/>
  <c r="K92" i="13"/>
  <c r="K24" i="13"/>
  <c r="K387" i="13"/>
  <c r="K323" i="13"/>
  <c r="K259" i="13"/>
  <c r="K195" i="13"/>
  <c r="K131" i="13"/>
  <c r="K67" i="13"/>
  <c r="K426" i="13"/>
  <c r="K362" i="13"/>
  <c r="K298" i="13"/>
  <c r="K230" i="13"/>
  <c r="K166" i="13"/>
  <c r="K102" i="13"/>
  <c r="K26" i="13"/>
  <c r="K396" i="13"/>
  <c r="K332" i="13"/>
  <c r="K264" i="13"/>
  <c r="K200" i="13"/>
  <c r="K136" i="13"/>
  <c r="K72" i="13"/>
  <c r="K435" i="13"/>
  <c r="K367" i="13"/>
  <c r="K303" i="13"/>
  <c r="K239" i="13"/>
  <c r="K175" i="13"/>
  <c r="K111" i="13"/>
  <c r="K35" i="13"/>
  <c r="K406" i="13"/>
  <c r="K342" i="13"/>
  <c r="K278" i="13"/>
  <c r="K210" i="13"/>
  <c r="K146" i="13"/>
  <c r="K82" i="13"/>
  <c r="K441" i="13"/>
  <c r="K377" i="13"/>
  <c r="K313" i="13"/>
  <c r="K440" i="13"/>
  <c r="K376" i="13"/>
  <c r="K312" i="13"/>
  <c r="K244" i="13"/>
  <c r="K180" i="13"/>
  <c r="K116" i="13"/>
  <c r="K48" i="13"/>
  <c r="K415" i="13"/>
  <c r="K347" i="13"/>
  <c r="K283" i="13"/>
  <c r="K219" i="13"/>
  <c r="K155" i="13"/>
  <c r="K91" i="13"/>
  <c r="K13" i="13"/>
  <c r="K386" i="13"/>
  <c r="K322" i="13"/>
  <c r="K254" i="13"/>
  <c r="K190" i="13"/>
  <c r="K126" i="13"/>
  <c r="K54" i="13"/>
  <c r="K421" i="13"/>
  <c r="K357" i="13"/>
  <c r="K293" i="13"/>
  <c r="K229" i="13"/>
  <c r="K165" i="13"/>
  <c r="K101" i="13"/>
  <c r="K29" i="13"/>
  <c r="K44" i="13"/>
  <c r="K359" i="13"/>
  <c r="K263" i="13"/>
  <c r="K56" i="13"/>
  <c r="K394" i="13"/>
  <c r="K134" i="13"/>
  <c r="K380" i="13"/>
  <c r="K120" i="13"/>
  <c r="K383" i="13"/>
  <c r="K127" i="13"/>
  <c r="K374" i="13"/>
  <c r="K194" i="13"/>
  <c r="K361" i="13"/>
  <c r="K392" i="13"/>
  <c r="K132" i="13"/>
  <c r="K379" i="13"/>
  <c r="K203" i="13"/>
  <c r="K31" i="13"/>
  <c r="K290" i="13"/>
  <c r="K110" i="13"/>
  <c r="K373" i="13"/>
  <c r="K197" i="13"/>
  <c r="K449" i="13"/>
  <c r="K49" i="13"/>
  <c r="K340" i="13"/>
  <c r="K192" i="13"/>
  <c r="K28" i="13"/>
  <c r="K119" i="13"/>
  <c r="K318" i="13"/>
  <c r="K106" i="13"/>
  <c r="K41" i="13"/>
  <c r="K384" i="13"/>
  <c r="K300" i="13"/>
  <c r="K204" i="13"/>
  <c r="K124" i="13"/>
  <c r="K40" i="13"/>
  <c r="K371" i="13"/>
  <c r="K291" i="13"/>
  <c r="K211" i="13"/>
  <c r="K115" i="13"/>
  <c r="K23" i="13"/>
  <c r="K378" i="13"/>
  <c r="K282" i="13"/>
  <c r="K198" i="13"/>
  <c r="K118" i="13"/>
  <c r="K444" i="13"/>
  <c r="K364" i="13"/>
  <c r="K280" i="13"/>
  <c r="K184" i="13"/>
  <c r="K104" i="13"/>
  <c r="K20" i="13"/>
  <c r="K351" i="13"/>
  <c r="K271" i="13"/>
  <c r="K191" i="13"/>
  <c r="K95" i="13"/>
  <c r="K438" i="13"/>
  <c r="K358" i="13"/>
  <c r="K258" i="13"/>
  <c r="K178" i="13"/>
  <c r="K98" i="13"/>
  <c r="K425" i="13"/>
  <c r="K345" i="13"/>
  <c r="K265" i="13"/>
  <c r="K360" i="13"/>
  <c r="K276" i="13"/>
  <c r="K196" i="13"/>
  <c r="K100" i="13"/>
  <c r="K447" i="13"/>
  <c r="K363" i="13"/>
  <c r="K267" i="13"/>
  <c r="K187" i="13"/>
  <c r="K107" i="13"/>
  <c r="K434" i="13"/>
  <c r="K354" i="13"/>
  <c r="K274" i="13"/>
  <c r="K174" i="13"/>
  <c r="K94" i="13"/>
  <c r="K437" i="13"/>
  <c r="K341" i="13"/>
  <c r="K261" i="13"/>
  <c r="K181" i="13"/>
  <c r="K85" i="13"/>
  <c r="K224" i="13"/>
  <c r="K391" i="13"/>
  <c r="K231" i="13"/>
  <c r="K135" i="13"/>
  <c r="K445" i="13"/>
  <c r="K350" i="13"/>
  <c r="K250" i="13"/>
  <c r="K154" i="13"/>
  <c r="K34" i="13"/>
  <c r="K385" i="13"/>
  <c r="K321" i="13"/>
  <c r="K241" i="13"/>
  <c r="K161" i="13"/>
  <c r="K65" i="13"/>
  <c r="K397" i="13"/>
  <c r="K333" i="13"/>
  <c r="K185" i="13"/>
  <c r="K53" i="13"/>
  <c r="K205" i="13"/>
  <c r="K77" i="13"/>
  <c r="K201" i="13"/>
  <c r="K73" i="13"/>
  <c r="K221" i="13"/>
  <c r="K93" i="13"/>
  <c r="K436" i="13"/>
  <c r="K404" i="13"/>
  <c r="K272" i="13"/>
  <c r="K128" i="13"/>
  <c r="K279" i="13"/>
  <c r="K27" i="13"/>
  <c r="K186" i="13"/>
  <c r="K193" i="13"/>
  <c r="K432" i="13"/>
  <c r="K336" i="13"/>
  <c r="K252" i="13"/>
  <c r="K172" i="13"/>
  <c r="K76" i="13"/>
  <c r="K423" i="13"/>
  <c r="K339" i="13"/>
  <c r="K243" i="13"/>
  <c r="K163" i="13"/>
  <c r="K83" i="13"/>
  <c r="K410" i="13"/>
  <c r="K330" i="13"/>
  <c r="K246" i="13"/>
  <c r="K150" i="13"/>
  <c r="K70" i="13"/>
  <c r="K412" i="13"/>
  <c r="K316" i="13"/>
  <c r="K232" i="13"/>
  <c r="K152" i="13"/>
  <c r="K52" i="13"/>
  <c r="K403" i="13"/>
  <c r="K319" i="13"/>
  <c r="K223" i="13"/>
  <c r="K143" i="13"/>
  <c r="K51" i="13"/>
  <c r="K390" i="13"/>
  <c r="K310" i="13"/>
  <c r="K226" i="13"/>
  <c r="K130" i="13"/>
  <c r="K42" i="13"/>
  <c r="K393" i="13"/>
  <c r="K297" i="13"/>
  <c r="K408" i="13"/>
  <c r="K328" i="13"/>
  <c r="K228" i="13"/>
  <c r="K148" i="13"/>
  <c r="K68" i="13"/>
  <c r="K395" i="13"/>
  <c r="K315" i="13"/>
  <c r="K235" i="13"/>
  <c r="K139" i="13"/>
  <c r="K47" i="13"/>
  <c r="K402" i="13"/>
  <c r="K306" i="13"/>
  <c r="K222" i="13"/>
  <c r="K142" i="13"/>
  <c r="K38" i="13"/>
  <c r="K389" i="13"/>
  <c r="K309" i="13"/>
  <c r="K213" i="13"/>
  <c r="K133" i="13"/>
  <c r="K45" i="13"/>
  <c r="K446" i="13"/>
  <c r="K311" i="13"/>
  <c r="K183" i="13"/>
  <c r="K87" i="13"/>
  <c r="K398" i="13"/>
  <c r="K302" i="13"/>
  <c r="K202" i="13"/>
  <c r="K90" i="13"/>
  <c r="K417" i="13"/>
  <c r="K353" i="13"/>
  <c r="K289" i="13"/>
  <c r="K209" i="13"/>
  <c r="K113" i="13"/>
  <c r="K429" i="13"/>
  <c r="K365" i="13"/>
  <c r="K249" i="13"/>
  <c r="K121" i="13"/>
  <c r="K285" i="13"/>
  <c r="K141" i="13"/>
  <c r="K269" i="13"/>
  <c r="K137" i="13"/>
  <c r="K317" i="13"/>
  <c r="K157" i="13"/>
  <c r="K21" i="13"/>
  <c r="K372" i="13"/>
  <c r="K240" i="13"/>
  <c r="K96" i="13"/>
  <c r="K199" i="13"/>
  <c r="K366" i="13"/>
  <c r="K138" i="13"/>
  <c r="K145" i="13"/>
  <c r="K400" i="13"/>
  <c r="K320" i="13"/>
  <c r="K236" i="13"/>
  <c r="K140" i="13"/>
  <c r="K407" i="13"/>
  <c r="K307" i="13"/>
  <c r="K227" i="13"/>
  <c r="K147" i="13"/>
  <c r="K39" i="13"/>
  <c r="K314" i="13"/>
  <c r="K214" i="13"/>
  <c r="K46" i="13"/>
  <c r="K296" i="13"/>
  <c r="K216" i="13"/>
  <c r="K36" i="13"/>
  <c r="K287" i="13"/>
  <c r="K207" i="13"/>
  <c r="K19" i="13"/>
  <c r="K294" i="13"/>
  <c r="K114" i="13"/>
  <c r="K22" i="13"/>
  <c r="K281" i="13"/>
  <c r="K292" i="13"/>
  <c r="K212" i="13"/>
  <c r="K32" i="13"/>
  <c r="K299" i="13"/>
  <c r="K123" i="13"/>
  <c r="K370" i="13"/>
  <c r="K206" i="13"/>
  <c r="K18" i="13"/>
  <c r="K277" i="13"/>
  <c r="K117" i="13"/>
  <c r="K427" i="13"/>
  <c r="K160" i="13"/>
  <c r="K273" i="13"/>
  <c r="K188" i="13"/>
  <c r="K275" i="13"/>
  <c r="K346" i="13"/>
  <c r="K428" i="13"/>
  <c r="K88" i="13"/>
  <c r="K159" i="13"/>
  <c r="K242" i="13"/>
  <c r="K329" i="13"/>
  <c r="K164" i="13"/>
  <c r="K251" i="13"/>
  <c r="K338" i="13"/>
  <c r="K405" i="13"/>
  <c r="K69" i="13"/>
  <c r="K215" i="13"/>
  <c r="K430" i="13"/>
  <c r="K218" i="13"/>
  <c r="K433" i="13"/>
  <c r="K305" i="13"/>
  <c r="K129" i="13"/>
  <c r="K381" i="13"/>
  <c r="K153" i="13"/>
  <c r="K173" i="13"/>
  <c r="K169" i="13"/>
  <c r="K189" i="13"/>
  <c r="K375" i="13"/>
  <c r="K448" i="13"/>
  <c r="K108" i="13"/>
  <c r="K179" i="13"/>
  <c r="K266" i="13"/>
  <c r="K419" i="13"/>
  <c r="K79" i="13"/>
  <c r="K162" i="13"/>
  <c r="K424" i="13"/>
  <c r="K84" i="13"/>
  <c r="K171" i="13"/>
  <c r="K238" i="13"/>
  <c r="K80" i="13"/>
  <c r="K167" i="13"/>
  <c r="K382" i="13"/>
  <c r="K401" i="13"/>
  <c r="K81" i="13"/>
  <c r="K109" i="13"/>
  <c r="K125" i="13"/>
  <c r="K71" i="13"/>
  <c r="K368" i="13"/>
  <c r="K99" i="13"/>
  <c r="K248" i="13"/>
  <c r="K422" i="13"/>
  <c r="K431" i="13"/>
  <c r="K245" i="13"/>
  <c r="K334" i="13"/>
  <c r="K225" i="13"/>
  <c r="K15" i="13"/>
  <c r="K57" i="13"/>
  <c r="K348" i="13"/>
  <c r="K349" i="13"/>
  <c r="K439" i="13"/>
  <c r="K335" i="13"/>
  <c r="K66" i="13"/>
  <c r="K75" i="13"/>
  <c r="K103" i="13"/>
  <c r="K369" i="13"/>
  <c r="K301" i="13"/>
  <c r="K33" i="13"/>
  <c r="K304" i="13"/>
  <c r="K270" i="13"/>
  <c r="K268" i="13"/>
  <c r="K355" i="13"/>
  <c r="K442" i="13"/>
  <c r="K86" i="13"/>
  <c r="K168" i="13"/>
  <c r="K255" i="13"/>
  <c r="K326" i="13"/>
  <c r="K409" i="13"/>
  <c r="K260" i="13"/>
  <c r="K331" i="13"/>
  <c r="K418" i="13"/>
  <c r="K78" i="13"/>
  <c r="K149" i="13"/>
  <c r="K295" i="13"/>
  <c r="K43" i="13"/>
  <c r="K286" i="13"/>
  <c r="K74" i="13"/>
  <c r="K337" i="13"/>
  <c r="K177" i="13"/>
  <c r="K413" i="13"/>
  <c r="K217" i="13"/>
  <c r="K237" i="13"/>
  <c r="K233" i="13"/>
  <c r="K253" i="13"/>
  <c r="K325" i="13"/>
  <c r="K170" i="13"/>
  <c r="K257" i="13"/>
  <c r="K89" i="13"/>
  <c r="K105" i="13"/>
  <c r="K182" i="13"/>
  <c r="K344" i="13"/>
  <c r="K158" i="13"/>
  <c r="K343" i="13"/>
  <c r="K122" i="13"/>
  <c r="K25" i="13"/>
  <c r="K37" i="13"/>
  <c r="K12" i="13"/>
  <c r="H454" i="36"/>
  <c r="C457" i="36"/>
  <c r="A458" i="36"/>
  <c r="G455" i="36"/>
  <c r="F456" i="36"/>
  <c r="E457" i="36"/>
  <c r="D458" i="36"/>
  <c r="D58" i="3" l="1"/>
  <c r="J58" i="3"/>
  <c r="K58" i="3"/>
  <c r="J55" i="3"/>
  <c r="D55" i="3"/>
  <c r="K55" i="3"/>
  <c r="D14" i="3"/>
  <c r="K14" i="3"/>
  <c r="J14" i="3"/>
  <c r="K38" i="3"/>
  <c r="D38" i="3"/>
  <c r="J38" i="3"/>
  <c r="J26" i="3"/>
  <c r="D26" i="3"/>
  <c r="K26" i="3"/>
  <c r="D33" i="3"/>
  <c r="J33" i="3"/>
  <c r="K33" i="3"/>
  <c r="D11" i="3"/>
  <c r="J11" i="3"/>
  <c r="K11" i="3"/>
  <c r="D45" i="3"/>
  <c r="K45" i="3"/>
  <c r="J45" i="3"/>
  <c r="J35" i="3"/>
  <c r="K35" i="3"/>
  <c r="D35" i="3"/>
  <c r="K41" i="3"/>
  <c r="J41" i="3"/>
  <c r="D41" i="3"/>
  <c r="K29" i="3"/>
  <c r="J29" i="3"/>
  <c r="D29" i="3"/>
  <c r="K9" i="3"/>
  <c r="D9" i="3"/>
  <c r="J9" i="3"/>
  <c r="D20" i="3"/>
  <c r="K20" i="3"/>
  <c r="J20" i="3"/>
  <c r="J12" i="3"/>
  <c r="K12" i="3"/>
  <c r="D12" i="3"/>
  <c r="K13" i="3"/>
  <c r="D13" i="3"/>
  <c r="J13" i="3"/>
  <c r="J34" i="3"/>
  <c r="K34" i="3"/>
  <c r="D34" i="3"/>
  <c r="J57" i="3"/>
  <c r="D57" i="3"/>
  <c r="K57" i="3"/>
  <c r="J28" i="3"/>
  <c r="K28" i="3"/>
  <c r="D28" i="3"/>
  <c r="J17" i="3"/>
  <c r="K17" i="3"/>
  <c r="D17" i="3"/>
  <c r="J36" i="3"/>
  <c r="K36" i="3"/>
  <c r="D36" i="3"/>
  <c r="K16" i="3"/>
  <c r="J16" i="3"/>
  <c r="D16" i="3"/>
  <c r="K43" i="3"/>
  <c r="D43" i="3"/>
  <c r="J43" i="3"/>
  <c r="D52" i="3"/>
  <c r="K52" i="3"/>
  <c r="J52" i="3"/>
  <c r="J27" i="3"/>
  <c r="K27" i="3"/>
  <c r="D27" i="3"/>
  <c r="J19" i="3"/>
  <c r="K19" i="3"/>
  <c r="D19" i="3"/>
  <c r="K49" i="3"/>
  <c r="J49" i="3"/>
  <c r="D49" i="3"/>
  <c r="K51" i="3"/>
  <c r="J51" i="3"/>
  <c r="D51" i="3"/>
  <c r="D18" i="3"/>
  <c r="J18" i="3"/>
  <c r="K18" i="3"/>
  <c r="J32" i="3"/>
  <c r="K32" i="3"/>
  <c r="D32" i="3"/>
  <c r="J46" i="3"/>
  <c r="D46" i="3"/>
  <c r="K46" i="3"/>
  <c r="D23" i="3"/>
  <c r="J23" i="3"/>
  <c r="K23" i="3"/>
  <c r="J53" i="3"/>
  <c r="D53" i="3"/>
  <c r="K53" i="3"/>
  <c r="K37" i="3"/>
  <c r="D37" i="3"/>
  <c r="J37" i="3"/>
  <c r="D48" i="3"/>
  <c r="J48" i="3"/>
  <c r="K48" i="3"/>
  <c r="J56" i="3"/>
  <c r="D56" i="3"/>
  <c r="K56" i="3"/>
  <c r="D25" i="3"/>
  <c r="K25" i="3"/>
  <c r="J25" i="3"/>
  <c r="K47" i="3"/>
  <c r="J47" i="3"/>
  <c r="D47" i="3"/>
  <c r="J21" i="3"/>
  <c r="K21" i="3"/>
  <c r="D21" i="3"/>
  <c r="D40" i="3"/>
  <c r="K40" i="3"/>
  <c r="J40" i="3"/>
  <c r="K44" i="3"/>
  <c r="D44" i="3"/>
  <c r="J44" i="3"/>
  <c r="J54" i="3"/>
  <c r="D54" i="3"/>
  <c r="K54" i="3"/>
  <c r="K31" i="3"/>
  <c r="D31" i="3"/>
  <c r="J31" i="3"/>
  <c r="K50" i="3"/>
  <c r="D50" i="3"/>
  <c r="J50" i="3"/>
  <c r="D30" i="3"/>
  <c r="K30" i="3"/>
  <c r="J30" i="3"/>
  <c r="D15" i="3"/>
  <c r="K15" i="3"/>
  <c r="J15" i="3"/>
  <c r="D39" i="3"/>
  <c r="K39" i="3"/>
  <c r="J39" i="3"/>
  <c r="D24" i="3"/>
  <c r="J24" i="3"/>
  <c r="K24" i="3"/>
  <c r="K10" i="3"/>
  <c r="D10" i="3"/>
  <c r="J10" i="3"/>
  <c r="J22" i="3"/>
  <c r="D22" i="3"/>
  <c r="K22" i="3"/>
  <c r="J59" i="3"/>
  <c r="K59" i="3"/>
  <c r="D59" i="3"/>
  <c r="G9" i="13"/>
  <c r="D8" i="3" s="1"/>
  <c r="K9" i="13"/>
  <c r="H455" i="36"/>
  <c r="C458" i="36"/>
  <c r="A459" i="36"/>
  <c r="F457" i="36"/>
  <c r="G456" i="36"/>
  <c r="E458" i="36"/>
  <c r="D459" i="36"/>
  <c r="K8" i="3" l="1"/>
  <c r="J8" i="3"/>
  <c r="H456" i="36"/>
  <c r="C459" i="36"/>
  <c r="A460" i="36"/>
  <c r="G457" i="36"/>
  <c r="D460" i="36"/>
  <c r="E459" i="36"/>
  <c r="F458" i="36"/>
  <c r="H457" i="36" l="1"/>
  <c r="C460" i="36"/>
  <c r="A461" i="36"/>
  <c r="F459" i="36"/>
  <c r="E460" i="36"/>
  <c r="G458" i="36"/>
  <c r="D461" i="36"/>
  <c r="H458" i="36" l="1"/>
  <c r="C461" i="36"/>
  <c r="A462" i="36"/>
  <c r="E461" i="36"/>
  <c r="G459" i="36"/>
  <c r="F460" i="36"/>
  <c r="D462" i="36"/>
  <c r="H459" i="36" l="1"/>
  <c r="C462" i="36"/>
  <c r="A463" i="36"/>
  <c r="G460" i="36"/>
  <c r="E462" i="36"/>
  <c r="F461" i="36"/>
  <c r="D463" i="36"/>
  <c r="H460" i="36" l="1"/>
  <c r="C463" i="36"/>
  <c r="A464" i="36"/>
  <c r="E463" i="36"/>
  <c r="F462" i="36"/>
  <c r="G461" i="36"/>
  <c r="D464" i="36"/>
  <c r="H461" i="36" l="1"/>
  <c r="C464" i="36"/>
  <c r="A465" i="36"/>
  <c r="E464" i="36"/>
  <c r="G462" i="36"/>
  <c r="F463" i="36"/>
  <c r="D465" i="36"/>
  <c r="H462" i="36" l="1"/>
  <c r="C465" i="36"/>
  <c r="A466" i="36"/>
  <c r="G463" i="36"/>
  <c r="E465" i="36"/>
  <c r="F464" i="36"/>
  <c r="D466" i="36"/>
  <c r="H463" i="36" l="1"/>
  <c r="C466" i="36"/>
  <c r="A467" i="36"/>
  <c r="E466" i="36"/>
  <c r="G464" i="36"/>
  <c r="D467" i="36"/>
  <c r="F465" i="36"/>
  <c r="H464" i="36" l="1"/>
  <c r="C467" i="36"/>
  <c r="A468" i="36"/>
  <c r="G465" i="36"/>
  <c r="F466" i="36"/>
  <c r="E467" i="36"/>
  <c r="D468" i="36"/>
  <c r="H465" i="36" l="1"/>
  <c r="C468" i="36"/>
  <c r="A469" i="36"/>
  <c r="F467" i="36"/>
  <c r="D469" i="36"/>
  <c r="E468" i="36"/>
  <c r="G466" i="36"/>
  <c r="H466" i="36" l="1"/>
  <c r="C469" i="36"/>
  <c r="A470" i="36"/>
  <c r="F468" i="36"/>
  <c r="G467" i="36"/>
  <c r="D470" i="36"/>
  <c r="E469" i="36"/>
  <c r="H467" i="36" l="1"/>
  <c r="C470" i="36"/>
  <c r="A471" i="36"/>
  <c r="G468" i="36"/>
  <c r="F469" i="36"/>
  <c r="D471" i="36"/>
  <c r="E470" i="36"/>
  <c r="H468" i="36" l="1"/>
  <c r="C471" i="36"/>
  <c r="A472" i="36"/>
  <c r="E471" i="36"/>
  <c r="F470" i="36"/>
  <c r="G469" i="36"/>
  <c r="D472" i="36"/>
  <c r="H469" i="36" l="1"/>
  <c r="C472" i="36"/>
  <c r="A473" i="36"/>
  <c r="G470" i="36"/>
  <c r="D473" i="36"/>
  <c r="F471" i="36"/>
  <c r="E472" i="36"/>
  <c r="H470" i="36" l="1"/>
  <c r="C473" i="36"/>
  <c r="A474" i="36"/>
  <c r="G471" i="36"/>
  <c r="F472" i="36"/>
  <c r="D474" i="36"/>
  <c r="E473" i="36"/>
  <c r="H471" i="36" l="1"/>
  <c r="C474" i="36"/>
  <c r="A475" i="36"/>
  <c r="E474" i="36"/>
  <c r="G472" i="36"/>
  <c r="F473" i="36"/>
  <c r="D475" i="36"/>
  <c r="H472" i="36" l="1"/>
  <c r="C475" i="36"/>
  <c r="A476" i="36"/>
  <c r="F474" i="36"/>
  <c r="E475" i="36"/>
  <c r="G473" i="36"/>
  <c r="D476" i="36"/>
  <c r="H473" i="36" l="1"/>
  <c r="C476" i="36"/>
  <c r="A477" i="36"/>
  <c r="G474" i="36"/>
  <c r="F475" i="36"/>
  <c r="E476" i="36"/>
  <c r="D477" i="36"/>
  <c r="H474" i="36" l="1"/>
  <c r="C477" i="36"/>
  <c r="A478" i="36"/>
  <c r="G475" i="36"/>
  <c r="F476" i="36"/>
  <c r="D478" i="36"/>
  <c r="E477" i="36"/>
  <c r="H475" i="36" l="1"/>
  <c r="C478" i="36"/>
  <c r="A479" i="36"/>
  <c r="F477" i="36"/>
  <c r="E478" i="36"/>
  <c r="G476" i="36"/>
  <c r="D479" i="36"/>
  <c r="H476" i="36" l="1"/>
  <c r="C479" i="36"/>
  <c r="A480" i="36"/>
  <c r="G477" i="36"/>
  <c r="F478" i="36"/>
  <c r="E479" i="36"/>
  <c r="D480" i="36"/>
  <c r="H477" i="36" l="1"/>
  <c r="C480" i="36"/>
  <c r="A481" i="36"/>
  <c r="G478" i="36"/>
  <c r="F479" i="36"/>
  <c r="D481" i="36"/>
  <c r="E480" i="36"/>
  <c r="H478" i="36" l="1"/>
  <c r="C481" i="36"/>
  <c r="A482" i="36"/>
  <c r="E481" i="36"/>
  <c r="G479" i="36"/>
  <c r="F480" i="36"/>
  <c r="D482" i="36"/>
  <c r="H479" i="36" l="1"/>
  <c r="C482" i="36"/>
  <c r="A483" i="36"/>
  <c r="G480" i="36"/>
  <c r="E482" i="36"/>
  <c r="F481" i="36"/>
  <c r="D483" i="36"/>
  <c r="H480" i="36" l="1"/>
  <c r="C483" i="36"/>
  <c r="A484" i="36"/>
  <c r="G481" i="36"/>
  <c r="E483" i="36"/>
  <c r="D484" i="36"/>
  <c r="F482" i="36"/>
  <c r="H481" i="36" l="1"/>
  <c r="C484" i="36"/>
  <c r="A485" i="36"/>
  <c r="E484" i="36"/>
  <c r="G482" i="36"/>
  <c r="F483" i="36"/>
  <c r="D485" i="36"/>
  <c r="H482" i="36" l="1"/>
  <c r="C485" i="36"/>
  <c r="A486" i="36"/>
  <c r="E485" i="36"/>
  <c r="G483" i="36"/>
  <c r="F484" i="36"/>
  <c r="D486" i="36"/>
  <c r="H483" i="36" l="1"/>
  <c r="C486" i="36"/>
  <c r="A487" i="36"/>
  <c r="F485" i="36"/>
  <c r="G484" i="36"/>
  <c r="D487" i="36"/>
  <c r="E486" i="36"/>
  <c r="H484" i="36" l="1"/>
  <c r="C487" i="36"/>
  <c r="A488" i="36"/>
  <c r="D488" i="36"/>
  <c r="F486" i="36"/>
  <c r="G485" i="36"/>
  <c r="E487" i="36"/>
  <c r="H485" i="36" l="1"/>
  <c r="C488" i="36"/>
  <c r="A489" i="36"/>
  <c r="E488" i="36"/>
  <c r="F487" i="36"/>
  <c r="G486" i="36"/>
  <c r="D489" i="36"/>
  <c r="H486" i="36" l="1"/>
  <c r="C489" i="36"/>
  <c r="A490" i="36"/>
  <c r="E489" i="36"/>
  <c r="D490" i="36"/>
  <c r="G487" i="36"/>
  <c r="F488" i="36"/>
  <c r="H487" i="36" l="1"/>
  <c r="C490" i="36"/>
  <c r="A491" i="36"/>
  <c r="G488" i="36"/>
  <c r="E490" i="36"/>
  <c r="F489" i="36"/>
  <c r="D491" i="36"/>
  <c r="H488" i="36" l="1"/>
  <c r="C491" i="36"/>
  <c r="A492" i="36"/>
  <c r="E491" i="36"/>
  <c r="F490" i="36"/>
  <c r="D492" i="36"/>
  <c r="G489" i="36"/>
  <c r="H489" i="36" l="1"/>
  <c r="C492" i="36"/>
  <c r="A493" i="36"/>
  <c r="G490" i="36"/>
  <c r="E492" i="36"/>
  <c r="F491" i="36"/>
  <c r="D493" i="36"/>
  <c r="H490" i="36" l="1"/>
  <c r="C493" i="36"/>
  <c r="A494" i="36"/>
  <c r="E493" i="36"/>
  <c r="F492" i="36"/>
  <c r="G491" i="36"/>
  <c r="D494" i="36"/>
  <c r="H491" i="36" l="1"/>
  <c r="C494" i="36"/>
  <c r="A495" i="36"/>
  <c r="F493" i="36"/>
  <c r="G492" i="36"/>
  <c r="E494" i="36"/>
  <c r="D495" i="36"/>
  <c r="H492" i="36" l="1"/>
  <c r="C495" i="36"/>
  <c r="A496" i="36"/>
  <c r="G493" i="36"/>
  <c r="F494" i="36"/>
  <c r="D496" i="36"/>
  <c r="E495" i="36"/>
  <c r="H493" i="36" l="1"/>
  <c r="C496" i="36"/>
  <c r="A497" i="36"/>
  <c r="F495" i="36"/>
  <c r="G494" i="36"/>
  <c r="E496" i="36"/>
  <c r="D497" i="36"/>
  <c r="H494" i="36" l="1"/>
  <c r="C497" i="36"/>
  <c r="A498" i="36"/>
  <c r="G495" i="36"/>
  <c r="E497" i="36"/>
  <c r="F496" i="36"/>
  <c r="D498" i="36"/>
  <c r="H495" i="36" l="1"/>
  <c r="C498" i="36"/>
  <c r="A499" i="36"/>
  <c r="E498" i="36"/>
  <c r="F497" i="36"/>
  <c r="G496" i="36"/>
  <c r="D499" i="36"/>
  <c r="H496" i="36" l="1"/>
  <c r="C499" i="36"/>
  <c r="A500" i="36"/>
  <c r="D500" i="36"/>
  <c r="G497" i="36"/>
  <c r="E499" i="36"/>
  <c r="F498" i="36"/>
  <c r="H497" i="36" l="1"/>
  <c r="C500" i="36"/>
  <c r="A501" i="36"/>
  <c r="G498" i="36"/>
  <c r="F499" i="36"/>
  <c r="E500" i="36"/>
  <c r="D501" i="36"/>
  <c r="H498" i="36" l="1"/>
  <c r="C501" i="36"/>
  <c r="A502" i="36"/>
  <c r="D502" i="36"/>
  <c r="G499" i="36"/>
  <c r="F500" i="36"/>
  <c r="E501" i="36"/>
  <c r="H499" i="36" l="1"/>
  <c r="C502" i="36"/>
  <c r="A503" i="36"/>
  <c r="F501" i="36"/>
  <c r="E502" i="36"/>
  <c r="G500" i="36"/>
  <c r="D503" i="36"/>
  <c r="H500" i="36" l="1"/>
  <c r="C503" i="36"/>
  <c r="A504" i="36"/>
  <c r="G501" i="36"/>
  <c r="E503" i="36"/>
  <c r="D504" i="36"/>
  <c r="F502" i="36"/>
  <c r="H501" i="36" l="1"/>
  <c r="C504" i="36"/>
  <c r="A505" i="36"/>
  <c r="E504" i="36"/>
  <c r="G502" i="36"/>
  <c r="F503" i="36"/>
  <c r="D505" i="36"/>
  <c r="H502" i="36" l="1"/>
  <c r="C505" i="36"/>
  <c r="A506" i="36"/>
  <c r="E505" i="36"/>
  <c r="G503" i="36"/>
  <c r="D506" i="36"/>
  <c r="F504" i="36"/>
  <c r="H503" i="36" l="1"/>
  <c r="C506" i="36"/>
  <c r="A507" i="36"/>
  <c r="F505" i="36"/>
  <c r="G504" i="36"/>
  <c r="E506" i="36"/>
  <c r="D507" i="36"/>
  <c r="H504" i="36" l="1"/>
  <c r="C507" i="36"/>
  <c r="A508" i="36"/>
  <c r="D508" i="36"/>
  <c r="G505" i="36"/>
  <c r="F506" i="36"/>
  <c r="E507" i="36"/>
  <c r="H505" i="36" l="1"/>
  <c r="C508" i="36"/>
  <c r="A509" i="36"/>
  <c r="F507" i="36"/>
  <c r="D509" i="36"/>
  <c r="E508" i="36"/>
  <c r="G506" i="36"/>
  <c r="H506" i="36" l="1"/>
  <c r="C509" i="36"/>
  <c r="A510" i="36"/>
  <c r="F508" i="36"/>
  <c r="E509" i="36"/>
  <c r="G507" i="36"/>
  <c r="D510" i="36"/>
  <c r="H507" i="36" l="1"/>
  <c r="C510" i="36"/>
  <c r="A511" i="36"/>
  <c r="E510" i="36"/>
  <c r="G508" i="36"/>
  <c r="F509" i="36"/>
  <c r="D511" i="36"/>
  <c r="H508" i="36" l="1"/>
  <c r="C511" i="36"/>
  <c r="A512" i="36"/>
  <c r="E511" i="36"/>
  <c r="G509" i="36"/>
  <c r="F510" i="36"/>
  <c r="D512" i="36"/>
  <c r="H509" i="36" l="1"/>
  <c r="C512" i="36"/>
  <c r="A513" i="36"/>
  <c r="D513" i="36"/>
  <c r="E512" i="36"/>
  <c r="F511" i="36"/>
  <c r="G510" i="36"/>
  <c r="H510" i="36" l="1"/>
  <c r="C513" i="36"/>
  <c r="A514" i="36"/>
  <c r="D514" i="36"/>
  <c r="G511" i="36"/>
  <c r="F512" i="36"/>
  <c r="E513" i="36"/>
  <c r="H511" i="36" l="1"/>
  <c r="C514" i="36"/>
  <c r="A515" i="36"/>
  <c r="D515" i="36"/>
  <c r="F513" i="36"/>
  <c r="E514" i="36"/>
  <c r="G512" i="36"/>
  <c r="H512" i="36" l="1"/>
  <c r="C515" i="36"/>
  <c r="A516" i="36"/>
  <c r="E515" i="36"/>
  <c r="F514" i="36"/>
  <c r="D516" i="36"/>
  <c r="G513" i="36"/>
  <c r="H513" i="36" l="1"/>
  <c r="C516" i="36"/>
  <c r="A517" i="36"/>
  <c r="E516" i="36"/>
  <c r="F515" i="36"/>
  <c r="D517" i="36"/>
  <c r="G514" i="36"/>
  <c r="H514" i="36" l="1"/>
  <c r="C517" i="36"/>
  <c r="A518" i="36"/>
  <c r="G515" i="36"/>
  <c r="F516" i="36"/>
  <c r="E517" i="36"/>
  <c r="D518" i="36"/>
  <c r="H515" i="36" l="1"/>
  <c r="C518" i="36"/>
  <c r="A519" i="36"/>
  <c r="F517" i="36"/>
  <c r="D519" i="36"/>
  <c r="G516" i="36"/>
  <c r="E518" i="36"/>
  <c r="H516" i="36" l="1"/>
  <c r="C519" i="36"/>
  <c r="A520" i="36"/>
  <c r="D520" i="36"/>
  <c r="F518" i="36"/>
  <c r="G517" i="36"/>
  <c r="E519" i="36"/>
  <c r="H517" i="36" l="1"/>
  <c r="C520" i="36"/>
  <c r="A521" i="36"/>
  <c r="D521" i="36"/>
  <c r="G518" i="36"/>
  <c r="F519" i="36"/>
  <c r="E520" i="36"/>
  <c r="H518" i="36" l="1"/>
  <c r="C521" i="36"/>
  <c r="A522" i="36"/>
  <c r="G519" i="36"/>
  <c r="E521" i="36"/>
  <c r="D522" i="36"/>
  <c r="F520" i="36"/>
  <c r="H519" i="36" l="1"/>
  <c r="C522" i="36"/>
  <c r="A523" i="36"/>
  <c r="D523" i="36"/>
  <c r="F521" i="36"/>
  <c r="E522" i="36"/>
  <c r="G520" i="36"/>
  <c r="H520" i="36" l="1"/>
  <c r="C523" i="36"/>
  <c r="A524" i="36"/>
  <c r="G521" i="36"/>
  <c r="D524" i="36"/>
  <c r="F522" i="36"/>
  <c r="E523" i="36"/>
  <c r="H521" i="36" l="1"/>
  <c r="C524" i="36"/>
  <c r="A525" i="36"/>
  <c r="E524" i="36"/>
  <c r="G522" i="36"/>
  <c r="F523" i="36"/>
  <c r="D525" i="36"/>
  <c r="H522" i="36" l="1"/>
  <c r="C525" i="36"/>
  <c r="A526" i="36"/>
  <c r="F524" i="36"/>
  <c r="E525" i="36"/>
  <c r="D526" i="36"/>
  <c r="G523" i="36"/>
  <c r="H523" i="36" l="1"/>
  <c r="C526" i="36"/>
  <c r="A527" i="36"/>
  <c r="G524" i="36"/>
  <c r="F525" i="36"/>
  <c r="D527" i="36"/>
  <c r="E526" i="36"/>
  <c r="H524" i="36" l="1"/>
  <c r="C527" i="36"/>
  <c r="A528" i="36"/>
  <c r="D528" i="36"/>
  <c r="G525" i="36"/>
  <c r="F526" i="36"/>
  <c r="E527" i="36"/>
  <c r="H525" i="36" l="1"/>
  <c r="C528" i="36"/>
  <c r="A529" i="36"/>
  <c r="D529" i="36"/>
  <c r="F527" i="36"/>
  <c r="G526" i="36"/>
  <c r="E528" i="36"/>
  <c r="H526" i="36" l="1"/>
  <c r="C529" i="36"/>
  <c r="A530" i="36"/>
  <c r="D530" i="36"/>
  <c r="F528" i="36"/>
  <c r="E529" i="36"/>
  <c r="G527" i="36"/>
  <c r="H527" i="36" l="1"/>
  <c r="C530" i="36"/>
  <c r="A531" i="36"/>
  <c r="F529" i="36"/>
  <c r="D531" i="36"/>
  <c r="G528" i="36"/>
  <c r="E530" i="36"/>
  <c r="H528" i="36" l="1"/>
  <c r="C531" i="36"/>
  <c r="A532" i="36"/>
  <c r="D532" i="36"/>
  <c r="E531" i="36"/>
  <c r="F530" i="36"/>
  <c r="G529" i="36"/>
  <c r="H529" i="36" l="1"/>
  <c r="C532" i="36"/>
  <c r="A533" i="36"/>
  <c r="G530" i="36"/>
  <c r="E532" i="36"/>
  <c r="D533" i="36"/>
  <c r="F531" i="36"/>
  <c r="H530" i="36" l="1"/>
  <c r="C533" i="36"/>
  <c r="A534" i="36"/>
  <c r="F532" i="36"/>
  <c r="G531" i="36"/>
  <c r="E533" i="36"/>
  <c r="D534" i="36"/>
  <c r="H531" i="36" l="1"/>
  <c r="C534" i="36"/>
  <c r="A535" i="36"/>
  <c r="E534" i="36"/>
  <c r="F533" i="36"/>
  <c r="D535" i="36"/>
  <c r="G532" i="36"/>
  <c r="H532" i="36" l="1"/>
  <c r="C535" i="36"/>
  <c r="A536" i="36"/>
  <c r="E535" i="36"/>
  <c r="F534" i="36"/>
  <c r="G533" i="36"/>
  <c r="D536" i="36"/>
  <c r="H533" i="36" l="1"/>
  <c r="C536" i="36"/>
  <c r="A537" i="36"/>
  <c r="F535" i="36"/>
  <c r="G534" i="36"/>
  <c r="E536" i="36"/>
  <c r="D537" i="36"/>
  <c r="H534" i="36" l="1"/>
  <c r="C537" i="36"/>
  <c r="A538" i="36"/>
  <c r="G535" i="36"/>
  <c r="F536" i="36"/>
  <c r="D538" i="36"/>
  <c r="E537" i="36"/>
  <c r="H535" i="36" l="1"/>
  <c r="C538" i="36"/>
  <c r="A539" i="36"/>
  <c r="E538" i="36"/>
  <c r="F537" i="36"/>
  <c r="G536" i="36"/>
  <c r="D539" i="36"/>
  <c r="H536" i="36" l="1"/>
  <c r="C539" i="36"/>
  <c r="A540" i="36"/>
  <c r="F538" i="36"/>
  <c r="E539" i="36"/>
  <c r="D540" i="36"/>
  <c r="G537" i="36"/>
  <c r="H537" i="36" l="1"/>
  <c r="C540" i="36"/>
  <c r="A541" i="36"/>
  <c r="E540" i="36"/>
  <c r="F539" i="36"/>
  <c r="G538" i="36"/>
  <c r="D541" i="36"/>
  <c r="H538" i="36" l="1"/>
  <c r="C541" i="36"/>
  <c r="A542" i="36"/>
  <c r="E541" i="36"/>
  <c r="F540" i="36"/>
  <c r="G539" i="36"/>
  <c r="D542" i="36"/>
  <c r="H539" i="36" l="1"/>
  <c r="C542" i="36"/>
  <c r="A543" i="36"/>
  <c r="D543" i="36"/>
  <c r="G540" i="36"/>
  <c r="E542" i="36"/>
  <c r="F541" i="36"/>
  <c r="H540" i="36" l="1"/>
  <c r="C543" i="36"/>
  <c r="A544" i="36"/>
  <c r="E543" i="36"/>
  <c r="D544" i="36"/>
  <c r="G541" i="36"/>
  <c r="F542" i="36"/>
  <c r="H541" i="36" l="1"/>
  <c r="C544" i="36"/>
  <c r="A545" i="36"/>
  <c r="G542" i="36"/>
  <c r="F543" i="36"/>
  <c r="E544" i="36"/>
  <c r="D545" i="36"/>
  <c r="H542" i="36" l="1"/>
  <c r="C545" i="36"/>
  <c r="A546" i="36"/>
  <c r="D546" i="36"/>
  <c r="F544" i="36"/>
  <c r="G543" i="36"/>
  <c r="E545" i="36"/>
  <c r="H543" i="36" l="1"/>
  <c r="C546" i="36"/>
  <c r="A547" i="36"/>
  <c r="D547" i="36"/>
  <c r="G544" i="36"/>
  <c r="F545" i="36"/>
  <c r="E546" i="36"/>
  <c r="H544" i="36" l="1"/>
  <c r="C547" i="36"/>
  <c r="A548" i="36"/>
  <c r="G545" i="36"/>
  <c r="F546" i="36"/>
  <c r="D548" i="36"/>
  <c r="E547" i="36"/>
  <c r="H545" i="36" l="1"/>
  <c r="C548" i="36"/>
  <c r="A549" i="36"/>
  <c r="G546" i="36"/>
  <c r="E548" i="36"/>
  <c r="D549" i="36"/>
  <c r="F547" i="36"/>
  <c r="H546" i="36" l="1"/>
  <c r="C549" i="36"/>
  <c r="A550" i="36"/>
  <c r="F548" i="36"/>
  <c r="G547" i="36"/>
  <c r="D550" i="36"/>
  <c r="E549" i="36"/>
  <c r="H547" i="36" l="1"/>
  <c r="C550" i="36"/>
  <c r="A551" i="36"/>
  <c r="G548" i="36"/>
  <c r="F549" i="36"/>
  <c r="E550" i="36"/>
  <c r="D551" i="36"/>
  <c r="H548" i="36" l="1"/>
  <c r="C551" i="36"/>
  <c r="A552" i="36"/>
  <c r="D552" i="36"/>
  <c r="F550" i="36"/>
  <c r="E551" i="36"/>
  <c r="G549" i="36"/>
  <c r="H549" i="36" l="1"/>
  <c r="C552" i="36"/>
  <c r="A553" i="36"/>
  <c r="F551" i="36"/>
  <c r="G550" i="36"/>
  <c r="D553" i="36"/>
  <c r="E552" i="36"/>
  <c r="H550" i="36" l="1"/>
  <c r="C553" i="36"/>
  <c r="A554" i="36"/>
  <c r="G551" i="36"/>
  <c r="F552" i="36"/>
  <c r="E553" i="36"/>
  <c r="D554" i="36"/>
  <c r="H551" i="36" l="1"/>
  <c r="C554" i="36"/>
  <c r="A555" i="36"/>
  <c r="E554" i="36"/>
  <c r="D555" i="36"/>
  <c r="F553" i="36"/>
  <c r="G552" i="36"/>
  <c r="H552" i="36" l="1"/>
  <c r="C555" i="36"/>
  <c r="A556" i="36"/>
  <c r="E555" i="36"/>
  <c r="G553" i="36"/>
  <c r="D556" i="36"/>
  <c r="F554" i="36"/>
  <c r="H553" i="36" l="1"/>
  <c r="C556" i="36"/>
  <c r="A557" i="36"/>
  <c r="D557" i="36"/>
  <c r="E556" i="36"/>
  <c r="F555" i="36"/>
  <c r="G554" i="36"/>
  <c r="H554" i="36" l="1"/>
  <c r="C557" i="36"/>
  <c r="A558" i="36"/>
  <c r="F556" i="36"/>
  <c r="E557" i="36"/>
  <c r="D558" i="36"/>
  <c r="G555" i="36"/>
  <c r="H555" i="36" l="1"/>
  <c r="C558" i="36"/>
  <c r="A559" i="36"/>
  <c r="D559" i="36"/>
  <c r="E558" i="36"/>
  <c r="F557" i="36"/>
  <c r="G556" i="36"/>
  <c r="H556" i="36" l="1"/>
  <c r="C559" i="36"/>
  <c r="A560" i="36"/>
  <c r="G557" i="36"/>
  <c r="E559" i="36"/>
  <c r="D560" i="36"/>
  <c r="F558" i="36"/>
  <c r="H557" i="36" l="1"/>
  <c r="C560" i="36"/>
  <c r="A561" i="36"/>
  <c r="G558" i="36"/>
  <c r="E560" i="36"/>
  <c r="D561" i="36"/>
  <c r="F559" i="36"/>
  <c r="H558" i="36" l="1"/>
  <c r="C561" i="36"/>
  <c r="A562" i="36"/>
  <c r="F560" i="36"/>
  <c r="E561" i="36"/>
  <c r="G559" i="36"/>
  <c r="D562" i="36"/>
  <c r="H559" i="36" l="1"/>
  <c r="C562" i="36"/>
  <c r="A563" i="36"/>
  <c r="F561" i="36"/>
  <c r="E562" i="36"/>
  <c r="G560" i="36"/>
  <c r="D563" i="36"/>
  <c r="H560" i="36" l="1"/>
  <c r="C563" i="36"/>
  <c r="A564" i="36"/>
  <c r="E563" i="36"/>
  <c r="F562" i="36"/>
  <c r="G561" i="36"/>
  <c r="D564" i="36"/>
  <c r="H561" i="36" l="1"/>
  <c r="C564" i="36"/>
  <c r="A565" i="36"/>
  <c r="D565" i="36"/>
  <c r="F563" i="36"/>
  <c r="G562" i="36"/>
  <c r="E564" i="36"/>
  <c r="H562" i="36" l="1"/>
  <c r="C565" i="36"/>
  <c r="A566" i="36"/>
  <c r="G563" i="36"/>
  <c r="F564" i="36"/>
  <c r="D566" i="36"/>
  <c r="E565" i="36"/>
  <c r="H563" i="36" l="1"/>
  <c r="C566" i="36"/>
  <c r="A567" i="36"/>
  <c r="E566" i="36"/>
  <c r="F565" i="36"/>
  <c r="D567" i="36"/>
  <c r="G564" i="36"/>
  <c r="H564" i="36" l="1"/>
  <c r="C567" i="36"/>
  <c r="A568" i="36"/>
  <c r="E567" i="36"/>
  <c r="F566" i="36"/>
  <c r="G565" i="36"/>
  <c r="D568" i="36"/>
  <c r="H565" i="36" l="1"/>
  <c r="C568" i="36"/>
  <c r="A569" i="36"/>
  <c r="G566" i="36"/>
  <c r="D569" i="36"/>
  <c r="F567" i="36"/>
  <c r="E568" i="36"/>
  <c r="H566" i="36" l="1"/>
  <c r="C569" i="36"/>
  <c r="A570" i="36"/>
  <c r="E569" i="36"/>
  <c r="G567" i="36"/>
  <c r="F568" i="36"/>
  <c r="D570" i="36"/>
  <c r="H567" i="36" l="1"/>
  <c r="C570" i="36"/>
  <c r="A571" i="36"/>
  <c r="G568" i="36"/>
  <c r="D571" i="36"/>
  <c r="E570" i="36"/>
  <c r="F569" i="36"/>
  <c r="H568" i="36" l="1"/>
  <c r="C571" i="36"/>
  <c r="A572" i="36"/>
  <c r="E571" i="36"/>
  <c r="F570" i="36"/>
  <c r="G569" i="36"/>
  <c r="D572" i="36"/>
  <c r="H569" i="36" l="1"/>
  <c r="C572" i="36"/>
  <c r="A573" i="36"/>
  <c r="G570" i="36"/>
  <c r="F571" i="36"/>
  <c r="E572" i="36"/>
  <c r="D573" i="36"/>
  <c r="H570" i="36" l="1"/>
  <c r="C573" i="36"/>
  <c r="A574" i="36"/>
  <c r="G571" i="36"/>
  <c r="E573" i="36"/>
  <c r="F572" i="36"/>
  <c r="D574" i="36"/>
  <c r="H571" i="36" l="1"/>
  <c r="C574" i="36"/>
  <c r="A575" i="36"/>
  <c r="F573" i="36"/>
  <c r="E574" i="36"/>
  <c r="G572" i="36"/>
  <c r="D575" i="36"/>
  <c r="H572" i="36" l="1"/>
  <c r="C575" i="36"/>
  <c r="A576" i="36"/>
  <c r="G573" i="36"/>
  <c r="D576" i="36"/>
  <c r="E575" i="36"/>
  <c r="F574" i="36"/>
  <c r="H573" i="36" l="1"/>
  <c r="C576" i="36"/>
  <c r="A577" i="36"/>
  <c r="D577" i="36"/>
  <c r="E576" i="36"/>
  <c r="F575" i="36"/>
  <c r="G574" i="36"/>
  <c r="H574" i="36" l="1"/>
  <c r="C577" i="36"/>
  <c r="A578" i="36"/>
  <c r="G575" i="36"/>
  <c r="E577" i="36"/>
  <c r="F576" i="36"/>
  <c r="D578" i="36"/>
  <c r="H575" i="36" l="1"/>
  <c r="C578" i="36"/>
  <c r="A579" i="36"/>
  <c r="F577" i="36"/>
  <c r="E578" i="36"/>
  <c r="G576" i="36"/>
  <c r="D579" i="36"/>
  <c r="H576" i="36" l="1"/>
  <c r="C579" i="36"/>
  <c r="A580" i="36"/>
  <c r="E579" i="36"/>
  <c r="F578" i="36"/>
  <c r="G577" i="36"/>
  <c r="D580" i="36"/>
  <c r="H577" i="36" l="1"/>
  <c r="C580" i="36"/>
  <c r="A581" i="36"/>
  <c r="G578" i="36"/>
  <c r="D581" i="36"/>
  <c r="E580" i="36"/>
  <c r="F579" i="36"/>
  <c r="H578" i="36" l="1"/>
  <c r="C581" i="36"/>
  <c r="A582" i="36"/>
  <c r="D582" i="36"/>
  <c r="G579" i="36"/>
  <c r="E581" i="36"/>
  <c r="F580" i="36"/>
  <c r="H579" i="36" l="1"/>
  <c r="C582" i="36"/>
  <c r="A583" i="36"/>
  <c r="G580" i="36"/>
  <c r="D583" i="36"/>
  <c r="F581" i="36"/>
  <c r="E582" i="36"/>
  <c r="H580" i="36" l="1"/>
  <c r="C583" i="36"/>
  <c r="A584" i="36"/>
  <c r="G581" i="36"/>
  <c r="E583" i="36"/>
  <c r="F582" i="36"/>
  <c r="D584" i="36"/>
  <c r="H581" i="36" l="1"/>
  <c r="C584" i="36"/>
  <c r="A585" i="36"/>
  <c r="E584" i="36"/>
  <c r="F583" i="36"/>
  <c r="D585" i="36"/>
  <c r="G582" i="36"/>
  <c r="H582" i="36" l="1"/>
  <c r="C585" i="36"/>
  <c r="A586" i="36"/>
  <c r="D586" i="36"/>
  <c r="E585" i="36"/>
  <c r="F584" i="36"/>
  <c r="G583" i="36"/>
  <c r="H583" i="36" l="1"/>
  <c r="C586" i="36"/>
  <c r="A587" i="36"/>
  <c r="D587" i="36"/>
  <c r="G584" i="36"/>
  <c r="F585" i="36"/>
  <c r="E586" i="36"/>
  <c r="H584" i="36" l="1"/>
  <c r="C587" i="36"/>
  <c r="A588" i="36"/>
  <c r="E587" i="36"/>
  <c r="G585" i="36"/>
  <c r="F586" i="36"/>
  <c r="D588" i="36"/>
  <c r="H585" i="36" l="1"/>
  <c r="C588" i="36"/>
  <c r="A589" i="36"/>
  <c r="D589" i="36"/>
  <c r="F587" i="36"/>
  <c r="E588" i="36"/>
  <c r="G586" i="36"/>
  <c r="H586" i="36" l="1"/>
  <c r="C589" i="36"/>
  <c r="A590" i="36"/>
  <c r="G587" i="36"/>
  <c r="E589" i="36"/>
  <c r="D590" i="36"/>
  <c r="F588" i="36"/>
  <c r="H587" i="36" l="1"/>
  <c r="C590" i="36"/>
  <c r="A591" i="36"/>
  <c r="F589" i="36"/>
  <c r="G588" i="36"/>
  <c r="E590" i="36"/>
  <c r="D591" i="36"/>
  <c r="H588" i="36" l="1"/>
  <c r="C591" i="36"/>
  <c r="A592" i="36"/>
  <c r="G589" i="36"/>
  <c r="F590" i="36"/>
  <c r="E591" i="36"/>
  <c r="D592" i="36"/>
  <c r="H589" i="36" l="1"/>
  <c r="C592" i="36"/>
  <c r="A593" i="36"/>
  <c r="F591" i="36"/>
  <c r="D593" i="36"/>
  <c r="E592" i="36"/>
  <c r="G590" i="36"/>
  <c r="H590" i="36" l="1"/>
  <c r="C593" i="36"/>
  <c r="A594" i="36"/>
  <c r="F592" i="36"/>
  <c r="G591" i="36"/>
  <c r="E593" i="36"/>
  <c r="D594" i="36"/>
  <c r="H591" i="36" l="1"/>
  <c r="C594" i="36"/>
  <c r="A595" i="36"/>
  <c r="F593" i="36"/>
  <c r="G592" i="36"/>
  <c r="E594" i="36"/>
  <c r="D595" i="36"/>
  <c r="H592" i="36" l="1"/>
  <c r="C595" i="36"/>
  <c r="A596" i="36"/>
  <c r="G593" i="36"/>
  <c r="F594" i="36"/>
  <c r="D596" i="36"/>
  <c r="E595" i="36"/>
  <c r="H593" i="36" l="1"/>
  <c r="C596" i="36"/>
  <c r="A597" i="36"/>
  <c r="F595" i="36"/>
  <c r="E596" i="36"/>
  <c r="D597" i="36"/>
  <c r="G594" i="36"/>
  <c r="H594" i="36" l="1"/>
  <c r="C597" i="36"/>
  <c r="A598" i="36"/>
  <c r="E597" i="36"/>
  <c r="G595" i="36"/>
  <c r="D598" i="36"/>
  <c r="F596" i="36"/>
  <c r="H595" i="36" l="1"/>
  <c r="C598" i="36"/>
  <c r="A599" i="36"/>
  <c r="E598" i="36"/>
  <c r="F597" i="36"/>
  <c r="G596" i="36"/>
  <c r="D599" i="36"/>
  <c r="H596" i="36" l="1"/>
  <c r="C599" i="36"/>
  <c r="A600" i="36"/>
  <c r="G597" i="36"/>
  <c r="F598" i="36"/>
  <c r="E599" i="36"/>
  <c r="D600" i="36"/>
  <c r="H597" i="36" l="1"/>
  <c r="C600" i="36"/>
  <c r="A601" i="36"/>
  <c r="G598" i="36"/>
  <c r="E600" i="36"/>
  <c r="D601" i="36"/>
  <c r="F599" i="36"/>
  <c r="H598" i="36" l="1"/>
  <c r="C601" i="36"/>
  <c r="A602" i="36"/>
  <c r="F600" i="36"/>
  <c r="E601" i="36"/>
  <c r="D602" i="36"/>
  <c r="G599" i="36"/>
  <c r="H599" i="36" l="1"/>
  <c r="C602" i="36"/>
  <c r="A603" i="36"/>
  <c r="F601" i="36"/>
  <c r="G600" i="36"/>
  <c r="E602" i="36"/>
  <c r="D603" i="36"/>
  <c r="H600" i="36" l="1"/>
  <c r="C603" i="36"/>
  <c r="A604" i="36"/>
  <c r="F602" i="36"/>
  <c r="D604" i="36"/>
  <c r="G601" i="36"/>
  <c r="E603" i="36"/>
  <c r="H601" i="36" l="1"/>
  <c r="C604" i="36"/>
  <c r="A605" i="36"/>
  <c r="D605" i="36"/>
  <c r="E604" i="36"/>
  <c r="G602" i="36"/>
  <c r="F603" i="36"/>
  <c r="H602" i="36" l="1"/>
  <c r="C605" i="36"/>
  <c r="A606" i="36"/>
  <c r="D606" i="36"/>
  <c r="G603" i="36"/>
  <c r="E605" i="36"/>
  <c r="F604" i="36"/>
  <c r="H603" i="36" l="1"/>
  <c r="C606" i="36"/>
  <c r="A607" i="36"/>
  <c r="D607" i="36"/>
  <c r="F605" i="36"/>
  <c r="E606" i="36"/>
  <c r="G604" i="36"/>
  <c r="H604" i="36" l="1"/>
  <c r="C607" i="36"/>
  <c r="A608" i="36"/>
  <c r="F606" i="36"/>
  <c r="E607" i="36"/>
  <c r="G605" i="36"/>
  <c r="D608" i="36"/>
  <c r="H605" i="36" l="1"/>
  <c r="C608" i="36"/>
  <c r="A609" i="36"/>
  <c r="F607" i="36"/>
  <c r="G606" i="36"/>
  <c r="E608" i="36"/>
  <c r="D609" i="36"/>
  <c r="H606" i="36" l="1"/>
  <c r="C609" i="36"/>
  <c r="A610" i="36"/>
  <c r="E609" i="36"/>
  <c r="G607" i="36"/>
  <c r="D610" i="36"/>
  <c r="F608" i="36"/>
  <c r="H607" i="36" l="1"/>
  <c r="C610" i="36"/>
  <c r="A611" i="36"/>
  <c r="F609" i="36"/>
  <c r="G608" i="36"/>
  <c r="D611" i="36"/>
  <c r="E610" i="36"/>
  <c r="H608" i="36" l="1"/>
  <c r="C611" i="36"/>
  <c r="A612" i="36"/>
  <c r="D612" i="36"/>
  <c r="G609" i="36"/>
  <c r="F610" i="36"/>
  <c r="E611" i="36"/>
  <c r="H609" i="36" l="1"/>
  <c r="C612" i="36"/>
  <c r="A613" i="36"/>
  <c r="D613" i="36"/>
  <c r="E612" i="36"/>
  <c r="F611" i="36"/>
  <c r="G610" i="36"/>
  <c r="H610" i="36" l="1"/>
  <c r="C613" i="36"/>
  <c r="A614" i="36"/>
  <c r="E613" i="36"/>
  <c r="G611" i="36"/>
  <c r="D614" i="36"/>
  <c r="F612" i="36"/>
  <c r="H611" i="36" l="1"/>
  <c r="C614" i="36"/>
  <c r="A615" i="36"/>
  <c r="F613" i="36"/>
  <c r="G612" i="36"/>
  <c r="D615" i="36"/>
  <c r="E614" i="36"/>
  <c r="H612" i="36" l="1"/>
  <c r="C615" i="36"/>
  <c r="A616" i="36"/>
  <c r="E615" i="36"/>
  <c r="D616" i="36"/>
  <c r="G613" i="36"/>
  <c r="F614" i="36"/>
  <c r="H613" i="36" l="1"/>
  <c r="C616" i="36"/>
  <c r="A617" i="36"/>
  <c r="F615" i="36"/>
  <c r="G614" i="36"/>
  <c r="E616" i="36"/>
  <c r="D617" i="36"/>
  <c r="H614" i="36" l="1"/>
  <c r="C617" i="36"/>
  <c r="A618" i="36"/>
  <c r="G615" i="36"/>
  <c r="E617" i="36"/>
  <c r="F616" i="36"/>
  <c r="D618" i="36"/>
  <c r="H615" i="36" l="1"/>
  <c r="C618" i="36"/>
  <c r="A619" i="36"/>
  <c r="G616" i="36"/>
  <c r="F617" i="36"/>
  <c r="D619" i="36"/>
  <c r="E618" i="36"/>
  <c r="H616" i="36" l="1"/>
  <c r="C619" i="36"/>
  <c r="A620" i="36"/>
  <c r="F618" i="36"/>
  <c r="D620" i="36"/>
  <c r="G617" i="36"/>
  <c r="E619" i="36"/>
  <c r="H617" i="36" l="1"/>
  <c r="C620" i="36"/>
  <c r="A621" i="36"/>
  <c r="F619" i="36"/>
  <c r="E620" i="36"/>
  <c r="G618" i="36"/>
  <c r="D621" i="36"/>
  <c r="H618" i="36" l="1"/>
  <c r="C621" i="36"/>
  <c r="A622" i="36"/>
  <c r="E621" i="36"/>
  <c r="D622" i="36"/>
  <c r="G619" i="36"/>
  <c r="F620" i="36"/>
  <c r="H619" i="36" l="1"/>
  <c r="C622" i="36"/>
  <c r="A623" i="36"/>
  <c r="F621" i="36"/>
  <c r="G620" i="36"/>
  <c r="E622" i="36"/>
  <c r="D623" i="36"/>
  <c r="H620" i="36" l="1"/>
  <c r="C623" i="36"/>
  <c r="A624" i="36"/>
  <c r="D624" i="36"/>
  <c r="F622" i="36"/>
  <c r="E623" i="36"/>
  <c r="G621" i="36"/>
  <c r="H621" i="36" l="1"/>
  <c r="C624" i="36"/>
  <c r="A625" i="36"/>
  <c r="F623" i="36"/>
  <c r="G622" i="36"/>
  <c r="E624" i="36"/>
  <c r="D625" i="36"/>
  <c r="H622" i="36" l="1"/>
  <c r="C625" i="36"/>
  <c r="A626" i="36"/>
  <c r="G623" i="36"/>
  <c r="D626" i="36"/>
  <c r="F624" i="36"/>
  <c r="E625" i="36"/>
  <c r="H623" i="36" l="1"/>
  <c r="C626" i="36"/>
  <c r="A627" i="36"/>
  <c r="G624" i="36"/>
  <c r="F625" i="36"/>
  <c r="E626" i="36"/>
  <c r="D627" i="36"/>
  <c r="H624" i="36" l="1"/>
  <c r="C627" i="36"/>
  <c r="A628" i="36"/>
  <c r="E627" i="36"/>
  <c r="G625" i="36"/>
  <c r="F626" i="36"/>
  <c r="D628" i="36"/>
  <c r="H625" i="36" l="1"/>
  <c r="C628" i="36"/>
  <c r="A629" i="36"/>
  <c r="E628" i="36"/>
  <c r="F627" i="36"/>
  <c r="G626" i="36"/>
  <c r="D629" i="36"/>
  <c r="H626" i="36" l="1"/>
  <c r="C629" i="36"/>
  <c r="A630" i="36"/>
  <c r="G627" i="36"/>
  <c r="F628" i="36"/>
  <c r="D630" i="36"/>
  <c r="E629" i="36"/>
  <c r="H627" i="36" l="1"/>
  <c r="C630" i="36"/>
  <c r="A631" i="36"/>
  <c r="G628" i="36"/>
  <c r="E630" i="36"/>
  <c r="D631" i="36"/>
  <c r="F629" i="36"/>
  <c r="H628" i="36" l="1"/>
  <c r="C631" i="36"/>
  <c r="A632" i="36"/>
  <c r="D632" i="36"/>
  <c r="G629" i="36"/>
  <c r="E631" i="36"/>
  <c r="F630" i="36"/>
  <c r="H629" i="36" l="1"/>
  <c r="C632" i="36"/>
  <c r="A633" i="36"/>
  <c r="D633" i="36"/>
  <c r="E632" i="36"/>
  <c r="F631" i="36"/>
  <c r="G630" i="36"/>
  <c r="H630" i="36" l="1"/>
  <c r="C633" i="36"/>
  <c r="A634" i="36"/>
  <c r="E633" i="36"/>
  <c r="D634" i="36"/>
  <c r="G631" i="36"/>
  <c r="F632" i="36"/>
  <c r="H631" i="36" l="1"/>
  <c r="C634" i="36"/>
  <c r="A635" i="36"/>
  <c r="E634" i="36"/>
  <c r="F633" i="36"/>
  <c r="G632" i="36"/>
  <c r="D635" i="36"/>
  <c r="H632" i="36" l="1"/>
  <c r="C635" i="36"/>
  <c r="A636" i="36"/>
  <c r="G633" i="36"/>
  <c r="F634" i="36"/>
  <c r="D636" i="36"/>
  <c r="E635" i="36"/>
  <c r="H633" i="36" l="1"/>
  <c r="C636" i="36"/>
  <c r="A637" i="36"/>
  <c r="F635" i="36"/>
  <c r="E636" i="36"/>
  <c r="G634" i="36"/>
  <c r="D637" i="36"/>
  <c r="H634" i="36" l="1"/>
  <c r="C637" i="36"/>
  <c r="A638" i="36"/>
  <c r="D638" i="36"/>
  <c r="E637" i="36"/>
  <c r="F636" i="36"/>
  <c r="G635" i="36"/>
  <c r="H635" i="36" l="1"/>
  <c r="C638" i="36"/>
  <c r="A639" i="36"/>
  <c r="G636" i="36"/>
  <c r="F637" i="36"/>
  <c r="D639" i="36"/>
  <c r="E638" i="36"/>
  <c r="H636" i="36" l="1"/>
  <c r="C639" i="36"/>
  <c r="A640" i="36"/>
  <c r="E639" i="36"/>
  <c r="F638" i="36"/>
  <c r="G637" i="36"/>
  <c r="D640" i="36"/>
  <c r="H637" i="36" l="1"/>
  <c r="C640" i="36"/>
  <c r="A641" i="36"/>
  <c r="D641" i="36"/>
  <c r="F639" i="36"/>
  <c r="G638" i="36"/>
  <c r="E640" i="36"/>
  <c r="H638" i="36" l="1"/>
  <c r="C641" i="36"/>
  <c r="A642" i="36"/>
  <c r="F640" i="36"/>
  <c r="D642" i="36"/>
  <c r="E641" i="36"/>
  <c r="G639" i="36"/>
  <c r="H639" i="36" l="1"/>
  <c r="C642" i="36"/>
  <c r="A643" i="36"/>
  <c r="E642" i="36"/>
  <c r="D643" i="36"/>
  <c r="F641" i="36"/>
  <c r="G640" i="36"/>
  <c r="H640" i="36" l="1"/>
  <c r="C643" i="36"/>
  <c r="A644" i="36"/>
  <c r="E643" i="36"/>
  <c r="G641" i="36"/>
  <c r="D644" i="36"/>
  <c r="F642" i="36"/>
  <c r="H641" i="36" l="1"/>
  <c r="C644" i="36"/>
  <c r="A645" i="36"/>
  <c r="D645" i="36"/>
  <c r="F643" i="36"/>
  <c r="G642" i="36"/>
  <c r="E644" i="36"/>
  <c r="H642" i="36" l="1"/>
  <c r="C645" i="36"/>
  <c r="A646" i="36"/>
  <c r="F644" i="36"/>
  <c r="D646" i="36"/>
  <c r="E645" i="36"/>
  <c r="G643" i="36"/>
  <c r="H643" i="36" l="1"/>
  <c r="C646" i="36"/>
  <c r="A647" i="36"/>
  <c r="D647" i="36"/>
  <c r="F645" i="36"/>
  <c r="G644" i="36"/>
  <c r="E646" i="36"/>
  <c r="H644" i="36" l="1"/>
  <c r="C647" i="36"/>
  <c r="A648" i="36"/>
  <c r="D648" i="36"/>
  <c r="F646" i="36"/>
  <c r="G645" i="36"/>
  <c r="E647" i="36"/>
  <c r="H645" i="36" l="1"/>
  <c r="C648" i="36"/>
  <c r="A649" i="36"/>
  <c r="E648" i="36"/>
  <c r="D649" i="36"/>
  <c r="F647" i="36"/>
  <c r="G646" i="36"/>
  <c r="H646" i="36" l="1"/>
  <c r="C649" i="36"/>
  <c r="A650" i="36"/>
  <c r="E649" i="36"/>
  <c r="G647" i="36"/>
  <c r="D650" i="36"/>
  <c r="F648" i="36"/>
  <c r="H647" i="36" l="1"/>
  <c r="C650" i="36"/>
  <c r="A651" i="36"/>
  <c r="F649" i="36"/>
  <c r="E650" i="36"/>
  <c r="G648" i="36"/>
  <c r="D651" i="36"/>
  <c r="H648" i="36" l="1"/>
  <c r="C651" i="36"/>
  <c r="A652" i="36"/>
  <c r="G649" i="36"/>
  <c r="D652" i="36"/>
  <c r="E651" i="36"/>
  <c r="F650" i="36"/>
  <c r="H649" i="36" l="1"/>
  <c r="C652" i="36"/>
  <c r="A653" i="36"/>
  <c r="D653" i="36"/>
  <c r="F651" i="36"/>
  <c r="E652" i="36"/>
  <c r="G650" i="36"/>
  <c r="H650" i="36" l="1"/>
  <c r="C653" i="36"/>
  <c r="A654" i="36"/>
  <c r="E653" i="36"/>
  <c r="F652" i="36"/>
  <c r="G651" i="36"/>
  <c r="D654" i="36"/>
  <c r="H651" i="36" l="1"/>
  <c r="C654" i="36"/>
  <c r="A655" i="36"/>
  <c r="F653" i="36"/>
  <c r="G652" i="36"/>
  <c r="D655" i="36"/>
  <c r="E654" i="36"/>
  <c r="H652" i="36" l="1"/>
  <c r="C655" i="36"/>
  <c r="A656" i="36"/>
  <c r="G653" i="36"/>
  <c r="E655" i="36"/>
  <c r="F654" i="36"/>
  <c r="D656" i="36"/>
  <c r="H653" i="36" l="1"/>
  <c r="C656" i="36"/>
  <c r="A657" i="36"/>
  <c r="D657" i="36"/>
  <c r="F655" i="36"/>
  <c r="G654" i="36"/>
  <c r="E656" i="36"/>
  <c r="H654" i="36" l="1"/>
  <c r="C657" i="36"/>
  <c r="A658" i="36"/>
  <c r="E657" i="36"/>
  <c r="F656" i="36"/>
  <c r="G655" i="36"/>
  <c r="D658" i="36"/>
  <c r="H655" i="36" l="1"/>
  <c r="C658" i="36"/>
  <c r="A659" i="36"/>
  <c r="G656" i="36"/>
  <c r="F657" i="36"/>
  <c r="D659" i="36"/>
  <c r="E658" i="36"/>
  <c r="H656" i="36" l="1"/>
  <c r="C659" i="36"/>
  <c r="A660" i="36"/>
  <c r="D660" i="36"/>
  <c r="G657" i="36"/>
  <c r="F658" i="36"/>
  <c r="E659" i="36"/>
  <c r="H657" i="36" l="1"/>
  <c r="C660" i="36"/>
  <c r="A661" i="36"/>
  <c r="F659" i="36"/>
  <c r="D661" i="36"/>
  <c r="G658" i="36"/>
  <c r="E660" i="36"/>
  <c r="H658" i="36" l="1"/>
  <c r="C661" i="36"/>
  <c r="A662" i="36"/>
  <c r="G659" i="36"/>
  <c r="F660" i="36"/>
  <c r="D662" i="36"/>
  <c r="E661" i="36"/>
  <c r="H659" i="36" l="1"/>
  <c r="C662" i="36"/>
  <c r="A663" i="36"/>
  <c r="E662" i="36"/>
  <c r="D663" i="36"/>
  <c r="G660" i="36"/>
  <c r="F661" i="36"/>
  <c r="H660" i="36" l="1"/>
  <c r="C663" i="36"/>
  <c r="A664" i="36"/>
  <c r="D664" i="36"/>
  <c r="E663" i="36"/>
  <c r="G661" i="36"/>
  <c r="F662" i="36"/>
  <c r="H661" i="36" l="1"/>
  <c r="C664" i="36"/>
  <c r="A665" i="36"/>
  <c r="D665" i="36"/>
  <c r="E664" i="36"/>
  <c r="G662" i="36"/>
  <c r="F663" i="36"/>
  <c r="H662" i="36" l="1"/>
  <c r="C665" i="36"/>
  <c r="A666" i="36"/>
  <c r="F664" i="36"/>
  <c r="E665" i="36"/>
  <c r="G663" i="36"/>
  <c r="D666" i="36"/>
  <c r="H663" i="36" l="1"/>
  <c r="C666" i="36"/>
  <c r="A667" i="36"/>
  <c r="F665" i="36"/>
  <c r="G664" i="36"/>
  <c r="D667" i="36"/>
  <c r="E666" i="36"/>
  <c r="H664" i="36" l="1"/>
  <c r="C667" i="36"/>
  <c r="A668" i="36"/>
  <c r="E667" i="36"/>
  <c r="F666" i="36"/>
  <c r="G665" i="36"/>
  <c r="D668" i="36"/>
  <c r="H665" i="36" l="1"/>
  <c r="C668" i="36"/>
  <c r="A669" i="36"/>
  <c r="F667" i="36"/>
  <c r="G666" i="36"/>
  <c r="E668" i="36"/>
  <c r="D669" i="36"/>
  <c r="H666" i="36" l="1"/>
  <c r="C669" i="36"/>
  <c r="A670" i="36"/>
  <c r="D670" i="36"/>
  <c r="E669" i="36"/>
  <c r="G667" i="36"/>
  <c r="F668" i="36"/>
  <c r="H667" i="36" l="1"/>
  <c r="C670" i="36"/>
  <c r="A671" i="36"/>
  <c r="G668" i="36"/>
  <c r="E670" i="36"/>
  <c r="F669" i="36"/>
  <c r="D671" i="36"/>
  <c r="H668" i="36" l="1"/>
  <c r="C671" i="36"/>
  <c r="A672" i="36"/>
  <c r="D672" i="36"/>
  <c r="F670" i="36"/>
  <c r="G669" i="36"/>
  <c r="E671" i="36"/>
  <c r="H669" i="36" l="1"/>
  <c r="C672" i="36"/>
  <c r="A673" i="36"/>
  <c r="D673" i="36"/>
  <c r="F671" i="36"/>
  <c r="G670" i="36"/>
  <c r="E672" i="36"/>
  <c r="H670" i="36" l="1"/>
  <c r="C673" i="36"/>
  <c r="A674" i="36"/>
  <c r="D674" i="36"/>
  <c r="E673" i="36"/>
  <c r="F672" i="36"/>
  <c r="G671" i="36"/>
  <c r="H671" i="36" l="1"/>
  <c r="C674" i="36"/>
  <c r="A675" i="36"/>
  <c r="E674" i="36"/>
  <c r="F673" i="36"/>
  <c r="G672" i="36"/>
  <c r="D675" i="36"/>
  <c r="H672" i="36" l="1"/>
  <c r="C675" i="36"/>
  <c r="A676" i="36"/>
  <c r="D676" i="36"/>
  <c r="G673" i="36"/>
  <c r="F674" i="36"/>
  <c r="E675" i="36"/>
  <c r="H673" i="36" l="1"/>
  <c r="C676" i="36"/>
  <c r="A677" i="36"/>
  <c r="E676" i="36"/>
  <c r="D677" i="36"/>
  <c r="G674" i="36"/>
  <c r="F675" i="36"/>
  <c r="H674" i="36" l="1"/>
  <c r="C677" i="36"/>
  <c r="A678" i="36"/>
  <c r="D678" i="36"/>
  <c r="E677" i="36"/>
  <c r="G675" i="36"/>
  <c r="F676" i="36"/>
  <c r="H675" i="36" l="1"/>
  <c r="C678" i="36"/>
  <c r="A679" i="36"/>
  <c r="D679" i="36"/>
  <c r="G676" i="36"/>
  <c r="F677" i="36"/>
  <c r="E678" i="36"/>
  <c r="H676" i="36" l="1"/>
  <c r="C679" i="36"/>
  <c r="A680" i="36"/>
  <c r="F678" i="36"/>
  <c r="D680" i="36"/>
  <c r="E679" i="36"/>
  <c r="G677" i="36"/>
  <c r="H677" i="36" l="1"/>
  <c r="C680" i="36"/>
  <c r="A681" i="36"/>
  <c r="D681" i="36"/>
  <c r="F679" i="36"/>
  <c r="G678" i="36"/>
  <c r="E680" i="36"/>
  <c r="H678" i="36" l="1"/>
  <c r="C681" i="36"/>
  <c r="A682" i="36"/>
  <c r="A683" i="36" s="1"/>
  <c r="E681" i="36"/>
  <c r="G679" i="36"/>
  <c r="F680" i="36"/>
  <c r="H679" i="36" l="1"/>
  <c r="A684" i="36"/>
  <c r="F681" i="36"/>
  <c r="D682" i="36"/>
  <c r="G680" i="36"/>
  <c r="D683" i="36"/>
  <c r="C682" i="36" l="1"/>
  <c r="H680" i="36"/>
  <c r="C683" i="36"/>
  <c r="A685" i="36"/>
  <c r="D685" i="36"/>
  <c r="E683" i="36"/>
  <c r="E682" i="36"/>
  <c r="G681" i="36"/>
  <c r="D684" i="36"/>
  <c r="H681" i="36" l="1"/>
  <c r="C685" i="36"/>
  <c r="C684" i="36"/>
  <c r="F683" i="36"/>
  <c r="E684" i="36"/>
  <c r="E685" i="36"/>
  <c r="F682" i="36"/>
  <c r="E9" i="36" l="1"/>
  <c r="I358" i="36" s="1"/>
  <c r="J358" i="36" s="1"/>
  <c r="G683" i="36"/>
  <c r="F684" i="36"/>
  <c r="F685" i="36"/>
  <c r="G682" i="36"/>
  <c r="I636" i="36" l="1"/>
  <c r="J636" i="36" s="1"/>
  <c r="I588" i="36"/>
  <c r="J588" i="36" s="1"/>
  <c r="I36" i="36"/>
  <c r="J36" i="36" s="1"/>
  <c r="I40" i="36"/>
  <c r="J40" i="36" s="1"/>
  <c r="I44" i="36"/>
  <c r="J44" i="36" s="1"/>
  <c r="I42" i="36"/>
  <c r="I37" i="36"/>
  <c r="J37" i="36" s="1"/>
  <c r="I41" i="36"/>
  <c r="J41" i="36" s="1"/>
  <c r="I45" i="36"/>
  <c r="J45" i="36" s="1"/>
  <c r="I46" i="36"/>
  <c r="I39" i="36"/>
  <c r="J39" i="36" s="1"/>
  <c r="I43" i="36"/>
  <c r="J43" i="36" s="1"/>
  <c r="I38" i="36"/>
  <c r="J38" i="36" s="1"/>
  <c r="I535" i="36"/>
  <c r="J535" i="36" s="1"/>
  <c r="I16" i="36"/>
  <c r="J16" i="36" s="1"/>
  <c r="I18" i="36"/>
  <c r="J18" i="36" s="1"/>
  <c r="I22" i="36"/>
  <c r="J22" i="36" s="1"/>
  <c r="I26" i="36"/>
  <c r="I30" i="36"/>
  <c r="I34" i="36"/>
  <c r="J34" i="36" s="1"/>
  <c r="I15" i="36"/>
  <c r="J15" i="36" s="1"/>
  <c r="I19" i="36"/>
  <c r="J19" i="36" s="1"/>
  <c r="I23" i="36"/>
  <c r="J23" i="36" s="1"/>
  <c r="I27" i="36"/>
  <c r="J27" i="36" s="1"/>
  <c r="I31" i="36"/>
  <c r="J31" i="36" s="1"/>
  <c r="I35" i="36"/>
  <c r="I14" i="36"/>
  <c r="J14" i="36" s="1"/>
  <c r="I20" i="36"/>
  <c r="J20" i="36" s="1"/>
  <c r="I24" i="36"/>
  <c r="J24" i="36" s="1"/>
  <c r="I28" i="36"/>
  <c r="J28" i="36" s="1"/>
  <c r="I32" i="36"/>
  <c r="J32" i="36" s="1"/>
  <c r="I17" i="36"/>
  <c r="J17" i="36" s="1"/>
  <c r="I21" i="36"/>
  <c r="J21" i="36" s="1"/>
  <c r="I25" i="36"/>
  <c r="I29" i="36"/>
  <c r="J29" i="36" s="1"/>
  <c r="I33" i="36"/>
  <c r="J33" i="36" s="1"/>
  <c r="H682" i="36"/>
  <c r="I682" i="36" s="1"/>
  <c r="J682" i="36" s="1"/>
  <c r="I225" i="36"/>
  <c r="J225" i="36" s="1"/>
  <c r="I174" i="36"/>
  <c r="J174" i="36" s="1"/>
  <c r="I58" i="36"/>
  <c r="J58" i="36" s="1"/>
  <c r="K58" i="36" s="1"/>
  <c r="I397" i="36"/>
  <c r="J397" i="36" s="1"/>
  <c r="I93" i="36"/>
  <c r="J93" i="36" s="1"/>
  <c r="I322" i="36"/>
  <c r="J322" i="36" s="1"/>
  <c r="I444" i="36"/>
  <c r="J444" i="36" s="1"/>
  <c r="I357" i="36"/>
  <c r="J357" i="36" s="1"/>
  <c r="I134" i="36"/>
  <c r="J134" i="36" s="1"/>
  <c r="I495" i="36"/>
  <c r="J495" i="36" s="1"/>
  <c r="I279" i="36"/>
  <c r="J279" i="36" s="1"/>
  <c r="I536" i="36"/>
  <c r="J536" i="36" s="1"/>
  <c r="H683" i="36"/>
  <c r="I683" i="36" s="1"/>
  <c r="J683" i="36" s="1"/>
  <c r="I173" i="36"/>
  <c r="J173" i="36" s="1"/>
  <c r="I443" i="36"/>
  <c r="J443" i="36" s="1"/>
  <c r="I321" i="36"/>
  <c r="J321" i="36" s="1"/>
  <c r="I224" i="36"/>
  <c r="J224" i="36" s="1"/>
  <c r="I635" i="36"/>
  <c r="J635" i="36" s="1"/>
  <c r="I133" i="36"/>
  <c r="J133" i="36" s="1"/>
  <c r="I107" i="36"/>
  <c r="J107" i="36" s="1"/>
  <c r="I347" i="36"/>
  <c r="J347" i="36" s="1"/>
  <c r="I428" i="36"/>
  <c r="J428" i="36" s="1"/>
  <c r="I191" i="36"/>
  <c r="J191" i="36" s="1"/>
  <c r="I470" i="36"/>
  <c r="J470" i="36" s="1"/>
  <c r="I67" i="36"/>
  <c r="J67" i="36" s="1"/>
  <c r="I307" i="36"/>
  <c r="J307" i="36" s="1"/>
  <c r="I532" i="36"/>
  <c r="J532" i="36" s="1"/>
  <c r="I63" i="36"/>
  <c r="J63" i="36" s="1"/>
  <c r="I677" i="36"/>
  <c r="J677" i="36" s="1"/>
  <c r="I432" i="36"/>
  <c r="J432" i="36" s="1"/>
  <c r="I80" i="36"/>
  <c r="J80" i="36" s="1"/>
  <c r="I580" i="36"/>
  <c r="J580" i="36" s="1"/>
  <c r="I199" i="36"/>
  <c r="J199" i="36" s="1"/>
  <c r="I447" i="36"/>
  <c r="J447" i="36" s="1"/>
  <c r="I323" i="36"/>
  <c r="J323" i="36" s="1"/>
  <c r="I319" i="36"/>
  <c r="J319" i="36" s="1"/>
  <c r="I598" i="36"/>
  <c r="J598" i="36" s="1"/>
  <c r="I512" i="36"/>
  <c r="J512" i="36" s="1"/>
  <c r="I182" i="36"/>
  <c r="J182" i="36" s="1"/>
  <c r="I622" i="36"/>
  <c r="J622" i="36" s="1"/>
  <c r="I293" i="36"/>
  <c r="J293" i="36" s="1"/>
  <c r="I234" i="36"/>
  <c r="J234" i="36" s="1"/>
  <c r="I579" i="36"/>
  <c r="J579" i="36" s="1"/>
  <c r="I282" i="36"/>
  <c r="J282" i="36" s="1"/>
  <c r="I626" i="36"/>
  <c r="J626" i="36" s="1"/>
  <c r="I241" i="36"/>
  <c r="J241" i="36" s="1"/>
  <c r="I365" i="36"/>
  <c r="J365" i="36" s="1"/>
  <c r="I451" i="36"/>
  <c r="J451" i="36" s="1"/>
  <c r="I123" i="36"/>
  <c r="J123" i="36" s="1"/>
  <c r="I482" i="36"/>
  <c r="J482" i="36" s="1"/>
  <c r="I572" i="36"/>
  <c r="J572" i="36" s="1"/>
  <c r="I143" i="36"/>
  <c r="J143" i="36" s="1"/>
  <c r="I411" i="36"/>
  <c r="J411" i="36" s="1"/>
  <c r="I83" i="36"/>
  <c r="J83" i="36" s="1"/>
  <c r="I551" i="36"/>
  <c r="J551" i="36" s="1"/>
  <c r="I166" i="36"/>
  <c r="J166" i="36" s="1"/>
  <c r="I621" i="36"/>
  <c r="J621" i="36" s="1"/>
  <c r="I376" i="36"/>
  <c r="J376" i="36" s="1"/>
  <c r="I205" i="36"/>
  <c r="J205" i="36" s="1"/>
  <c r="I425" i="36"/>
  <c r="J425" i="36" s="1"/>
  <c r="I367" i="36"/>
  <c r="J367" i="36" s="1"/>
  <c r="I65" i="36"/>
  <c r="J65" i="36" s="1"/>
  <c r="I509" i="36"/>
  <c r="J509" i="36" s="1"/>
  <c r="I101" i="36"/>
  <c r="J101" i="36" s="1"/>
  <c r="J42" i="36"/>
  <c r="I450" i="36"/>
  <c r="J450" i="36" s="1"/>
  <c r="I272" i="36"/>
  <c r="J272" i="36" s="1"/>
  <c r="I381" i="36"/>
  <c r="J381" i="36" s="1"/>
  <c r="I518" i="36"/>
  <c r="J518" i="36" s="1"/>
  <c r="I154" i="36"/>
  <c r="J154" i="36" s="1"/>
  <c r="I498" i="36"/>
  <c r="J498" i="36" s="1"/>
  <c r="I265" i="36"/>
  <c r="J265" i="36" s="1"/>
  <c r="I238" i="36"/>
  <c r="J238" i="36" s="1"/>
  <c r="I566" i="36"/>
  <c r="J566" i="36" s="1"/>
  <c r="I114" i="36"/>
  <c r="J114" i="36" s="1"/>
  <c r="I602" i="36"/>
  <c r="J602" i="36" s="1"/>
  <c r="I137" i="36"/>
  <c r="J137" i="36" s="1"/>
  <c r="I110" i="36"/>
  <c r="J110" i="36" s="1"/>
  <c r="I438" i="36"/>
  <c r="J438" i="36" s="1"/>
  <c r="I128" i="36"/>
  <c r="J128" i="36" s="1"/>
  <c r="I639" i="36"/>
  <c r="J639" i="36" s="1"/>
  <c r="I669" i="36"/>
  <c r="J669" i="36" s="1"/>
  <c r="I84" i="36"/>
  <c r="J84" i="36" s="1"/>
  <c r="I152" i="36"/>
  <c r="J152" i="36" s="1"/>
  <c r="I453" i="36"/>
  <c r="J453" i="36" s="1"/>
  <c r="I295" i="36"/>
  <c r="J295" i="36" s="1"/>
  <c r="I408" i="36"/>
  <c r="J408" i="36" s="1"/>
  <c r="I169" i="36"/>
  <c r="J169" i="36" s="1"/>
  <c r="I501" i="36"/>
  <c r="J501" i="36" s="1"/>
  <c r="I253" i="36"/>
  <c r="J253" i="36" s="1"/>
  <c r="I506" i="36"/>
  <c r="J506" i="36" s="1"/>
  <c r="I129" i="36"/>
  <c r="J129" i="36" s="1"/>
  <c r="I573" i="36"/>
  <c r="J573" i="36" s="1"/>
  <c r="I220" i="36"/>
  <c r="J220" i="36" s="1"/>
  <c r="I125" i="36"/>
  <c r="J125" i="36" s="1"/>
  <c r="I378" i="36"/>
  <c r="J378" i="36" s="1"/>
  <c r="I75" i="36"/>
  <c r="J75" i="36" s="1"/>
  <c r="I423" i="36"/>
  <c r="J423" i="36" s="1"/>
  <c r="I254" i="36"/>
  <c r="J254" i="36" s="1"/>
  <c r="I151" i="36"/>
  <c r="J151" i="36" s="1"/>
  <c r="I606" i="36"/>
  <c r="J606" i="36" s="1"/>
  <c r="I652" i="36"/>
  <c r="J652" i="36" s="1"/>
  <c r="I139" i="36"/>
  <c r="J139" i="36" s="1"/>
  <c r="I487" i="36"/>
  <c r="J487" i="36" s="1"/>
  <c r="I239" i="36"/>
  <c r="J239" i="36" s="1"/>
  <c r="I140" i="36"/>
  <c r="J140" i="36" s="1"/>
  <c r="I480" i="36"/>
  <c r="J480" i="36" s="1"/>
  <c r="I346" i="36"/>
  <c r="J346" i="36" s="1"/>
  <c r="I359" i="36"/>
  <c r="J359" i="36" s="1"/>
  <c r="I341" i="36"/>
  <c r="J341" i="36" s="1"/>
  <c r="I252" i="36"/>
  <c r="J252" i="36" s="1"/>
  <c r="I528" i="36"/>
  <c r="J528" i="36" s="1"/>
  <c r="I275" i="36"/>
  <c r="J275" i="36" s="1"/>
  <c r="I412" i="36"/>
  <c r="J412" i="36" s="1"/>
  <c r="I156" i="36"/>
  <c r="J156" i="36" s="1"/>
  <c r="I61" i="36"/>
  <c r="J61" i="36" s="1"/>
  <c r="I649" i="36"/>
  <c r="J649" i="36" s="1"/>
  <c r="I267" i="36"/>
  <c r="J267" i="36" s="1"/>
  <c r="I615" i="36"/>
  <c r="J615" i="36" s="1"/>
  <c r="I258" i="36"/>
  <c r="J258" i="36" s="1"/>
  <c r="I479" i="36"/>
  <c r="J479" i="36" s="1"/>
  <c r="I538" i="36"/>
  <c r="J538" i="36" s="1"/>
  <c r="I86" i="36"/>
  <c r="J86" i="36" s="1"/>
  <c r="I326" i="36"/>
  <c r="J326" i="36" s="1"/>
  <c r="I499" i="36"/>
  <c r="J499" i="36" s="1"/>
  <c r="I393" i="36"/>
  <c r="J393" i="36" s="1"/>
  <c r="I410" i="36"/>
  <c r="J410" i="36" s="1"/>
  <c r="I597" i="36"/>
  <c r="J597" i="36" s="1"/>
  <c r="I103" i="36"/>
  <c r="J103" i="36" s="1"/>
  <c r="I547" i="36"/>
  <c r="J547" i="36" s="1"/>
  <c r="I250" i="36"/>
  <c r="J250" i="36" s="1"/>
  <c r="I155" i="36"/>
  <c r="J155" i="36" s="1"/>
  <c r="I567" i="36"/>
  <c r="J567" i="36" s="1"/>
  <c r="I255" i="36"/>
  <c r="J255" i="36" s="1"/>
  <c r="I424" i="36"/>
  <c r="J424" i="36" s="1"/>
  <c r="I178" i="36"/>
  <c r="J178" i="36" s="1"/>
  <c r="I666" i="36"/>
  <c r="J666" i="36" s="1"/>
  <c r="I368" i="36"/>
  <c r="J368" i="36" s="1"/>
  <c r="I163" i="36"/>
  <c r="J163" i="36" s="1"/>
  <c r="I655" i="36"/>
  <c r="J655" i="36" s="1"/>
  <c r="I183" i="36"/>
  <c r="J183" i="36" s="1"/>
  <c r="I360" i="36"/>
  <c r="J360" i="36" s="1"/>
  <c r="I251" i="36"/>
  <c r="J251" i="36" s="1"/>
  <c r="I610" i="36"/>
  <c r="J610" i="36" s="1"/>
  <c r="I150" i="36"/>
  <c r="J150" i="36" s="1"/>
  <c r="I55" i="36"/>
  <c r="J55" i="36" s="1"/>
  <c r="K55" i="36" s="1"/>
  <c r="I563" i="36"/>
  <c r="J563" i="36" s="1"/>
  <c r="I264" i="36"/>
  <c r="J264" i="36" s="1"/>
  <c r="I297" i="36"/>
  <c r="J297" i="36" s="1"/>
  <c r="I108" i="36"/>
  <c r="J108" i="36" s="1"/>
  <c r="I616" i="36"/>
  <c r="J616" i="36" s="1"/>
  <c r="I168" i="36"/>
  <c r="J168" i="36" s="1"/>
  <c r="I71" i="36"/>
  <c r="J71" i="36" s="1"/>
  <c r="I311" i="36"/>
  <c r="J311" i="36" s="1"/>
  <c r="I488" i="36"/>
  <c r="J488" i="36" s="1"/>
  <c r="I190" i="36"/>
  <c r="J190" i="36" s="1"/>
  <c r="I95" i="36"/>
  <c r="J95" i="36" s="1"/>
  <c r="K95" i="36" s="1"/>
  <c r="I427" i="36"/>
  <c r="J427" i="36" s="1"/>
  <c r="I50" i="36"/>
  <c r="J50" i="36" s="1"/>
  <c r="I486" i="36"/>
  <c r="J486" i="36" s="1"/>
  <c r="I162" i="36"/>
  <c r="J162" i="36" s="1"/>
  <c r="I665" i="36"/>
  <c r="J665" i="36" s="1"/>
  <c r="I420" i="36"/>
  <c r="J420" i="36" s="1"/>
  <c r="I94" i="36"/>
  <c r="J94" i="36" s="1"/>
  <c r="I274" i="36"/>
  <c r="J274" i="36" s="1"/>
  <c r="I179" i="36"/>
  <c r="J179" i="36" s="1"/>
  <c r="K179" i="36" s="1"/>
  <c r="I404" i="36"/>
  <c r="J404" i="36" s="1"/>
  <c r="I294" i="36"/>
  <c r="J294" i="36" s="1"/>
  <c r="I414" i="36"/>
  <c r="J414" i="36" s="1"/>
  <c r="I504" i="36"/>
  <c r="J504" i="36" s="1"/>
  <c r="I203" i="36"/>
  <c r="J203" i="36" s="1"/>
  <c r="I676" i="36"/>
  <c r="J676" i="36" s="1"/>
  <c r="I12" i="36"/>
  <c r="I614" i="36"/>
  <c r="J614" i="36" s="1"/>
  <c r="I214" i="36"/>
  <c r="J214" i="36" s="1"/>
  <c r="I197" i="36"/>
  <c r="J197" i="36" s="1"/>
  <c r="I577" i="36"/>
  <c r="J577" i="36" s="1"/>
  <c r="I344" i="36"/>
  <c r="J344" i="36" s="1"/>
  <c r="I249" i="36"/>
  <c r="J249" i="36" s="1"/>
  <c r="I645" i="36"/>
  <c r="J645" i="36" s="1"/>
  <c r="I313" i="36"/>
  <c r="J313" i="36" s="1"/>
  <c r="I679" i="36"/>
  <c r="J679" i="36" s="1"/>
  <c r="I216" i="36"/>
  <c r="J216" i="36" s="1"/>
  <c r="K216" i="36" s="1"/>
  <c r="I121" i="36"/>
  <c r="J121" i="36" s="1"/>
  <c r="I517" i="36"/>
  <c r="J517" i="36" s="1"/>
  <c r="I505" i="36"/>
  <c r="J505" i="36" s="1"/>
  <c r="I623" i="36"/>
  <c r="J623" i="36" s="1"/>
  <c r="I430" i="36"/>
  <c r="J430" i="36" s="1"/>
  <c r="I298" i="36"/>
  <c r="J298" i="36" s="1"/>
  <c r="I375" i="36"/>
  <c r="J375" i="36" s="1"/>
  <c r="I193" i="36"/>
  <c r="J193" i="36" s="1"/>
  <c r="I637" i="36"/>
  <c r="J637" i="36" s="1"/>
  <c r="I496" i="36"/>
  <c r="J496" i="36" s="1"/>
  <c r="I248" i="36"/>
  <c r="J248" i="36" s="1"/>
  <c r="I604" i="36"/>
  <c r="J604" i="36" s="1"/>
  <c r="I332" i="36"/>
  <c r="J332" i="36" s="1"/>
  <c r="I569" i="36"/>
  <c r="J569" i="36" s="1"/>
  <c r="I208" i="36"/>
  <c r="J208" i="36" s="1"/>
  <c r="I640" i="36"/>
  <c r="J640" i="36" s="1"/>
  <c r="I303" i="36"/>
  <c r="J303" i="36" s="1"/>
  <c r="I204" i="36"/>
  <c r="J204" i="36" s="1"/>
  <c r="I544" i="36"/>
  <c r="J544" i="36" s="1"/>
  <c r="I49" i="36"/>
  <c r="J49" i="36" s="1"/>
  <c r="I564" i="36"/>
  <c r="J564" i="36" s="1"/>
  <c r="I590" i="36"/>
  <c r="J590" i="36" s="1"/>
  <c r="I340" i="36"/>
  <c r="J340" i="36" s="1"/>
  <c r="I385" i="36"/>
  <c r="J385" i="36" s="1"/>
  <c r="I73" i="36"/>
  <c r="J73" i="36" s="1"/>
  <c r="J46" i="36"/>
  <c r="I374" i="36"/>
  <c r="J374" i="36" s="1"/>
  <c r="I212" i="36"/>
  <c r="J212" i="36" s="1"/>
  <c r="I664" i="36"/>
  <c r="J664" i="36" s="1"/>
  <c r="I290" i="36"/>
  <c r="J290" i="36" s="1"/>
  <c r="I458" i="36"/>
  <c r="J458" i="36" s="1"/>
  <c r="I335" i="36"/>
  <c r="J335" i="36" s="1"/>
  <c r="I603" i="36"/>
  <c r="J603" i="36" s="1"/>
  <c r="I13" i="36"/>
  <c r="J13" i="36" s="1"/>
  <c r="I522" i="36"/>
  <c r="J522" i="36" s="1"/>
  <c r="I612" i="36"/>
  <c r="J612" i="36" s="1"/>
  <c r="I231" i="36"/>
  <c r="J231" i="36" s="1"/>
  <c r="I675" i="36"/>
  <c r="J675" i="36" s="1"/>
  <c r="I226" i="36"/>
  <c r="J226" i="36" s="1"/>
  <c r="I394" i="36"/>
  <c r="J394" i="36" s="1"/>
  <c r="I484" i="36"/>
  <c r="J484" i="36" s="1"/>
  <c r="I68" i="36"/>
  <c r="J68" i="36" s="1"/>
  <c r="I531" i="36"/>
  <c r="J531" i="36" s="1"/>
  <c r="I545" i="36"/>
  <c r="J545" i="36" s="1"/>
  <c r="I100" i="36"/>
  <c r="J100" i="36" s="1"/>
  <c r="I477" i="36"/>
  <c r="J477" i="36" s="1"/>
  <c r="I148" i="36"/>
  <c r="J148" i="36" s="1"/>
  <c r="I600" i="36"/>
  <c r="J600" i="36" s="1"/>
  <c r="I147" i="36"/>
  <c r="J147" i="36" s="1"/>
  <c r="I650" i="36"/>
  <c r="J650" i="36" s="1"/>
  <c r="I349" i="36"/>
  <c r="J349" i="36" s="1"/>
  <c r="I202" i="36"/>
  <c r="J202" i="36" s="1"/>
  <c r="I561" i="36"/>
  <c r="J561" i="36" s="1"/>
  <c r="I647" i="36"/>
  <c r="J647" i="36" s="1"/>
  <c r="I222" i="36"/>
  <c r="J222" i="36" s="1"/>
  <c r="I642" i="36"/>
  <c r="J642" i="36" s="1"/>
  <c r="I334" i="36"/>
  <c r="J334" i="36" s="1"/>
  <c r="I613" i="36"/>
  <c r="J613" i="36" s="1"/>
  <c r="I165" i="36"/>
  <c r="J165" i="36" s="1"/>
  <c r="I106" i="36"/>
  <c r="J106" i="36" s="1"/>
  <c r="I514" i="36"/>
  <c r="J514" i="36" s="1"/>
  <c r="I111" i="36"/>
  <c r="J111" i="36" s="1"/>
  <c r="I352" i="36"/>
  <c r="J352" i="36" s="1"/>
  <c r="I306" i="36"/>
  <c r="J306" i="36" s="1"/>
  <c r="I463" i="36"/>
  <c r="J463" i="36" s="1"/>
  <c r="I342" i="36"/>
  <c r="J342" i="36" s="1"/>
  <c r="I247" i="36"/>
  <c r="J247" i="36" s="1"/>
  <c r="I122" i="36"/>
  <c r="J122" i="36" s="1"/>
  <c r="I439" i="36"/>
  <c r="J439" i="36" s="1"/>
  <c r="I273" i="36"/>
  <c r="J273" i="36" s="1"/>
  <c r="I446" i="36"/>
  <c r="J446" i="36" s="1"/>
  <c r="I53" i="36"/>
  <c r="J53" i="36" s="1"/>
  <c r="K53" i="36" s="1"/>
  <c r="I520" i="36"/>
  <c r="J520" i="36" s="1"/>
  <c r="I530" i="36"/>
  <c r="J530" i="36" s="1"/>
  <c r="J30" i="36"/>
  <c r="I629" i="36"/>
  <c r="J629" i="36" s="1"/>
  <c r="I260" i="36"/>
  <c r="J260" i="36" s="1"/>
  <c r="I392" i="36"/>
  <c r="J392" i="36" s="1"/>
  <c r="I402" i="36"/>
  <c r="J402" i="36" s="1"/>
  <c r="I206" i="36"/>
  <c r="J206" i="36" s="1"/>
  <c r="I485" i="36"/>
  <c r="J485" i="36" s="1"/>
  <c r="I571" i="36"/>
  <c r="J571" i="36" s="1"/>
  <c r="I66" i="36"/>
  <c r="J66" i="36" s="1"/>
  <c r="I618" i="36"/>
  <c r="J618" i="36" s="1"/>
  <c r="I102" i="36"/>
  <c r="J102" i="36" s="1"/>
  <c r="I557" i="36"/>
  <c r="J557" i="36" s="1"/>
  <c r="I643" i="36"/>
  <c r="J643" i="36" s="1"/>
  <c r="I345" i="36"/>
  <c r="J345" i="36" s="1"/>
  <c r="I490" i="36"/>
  <c r="J490" i="36" s="1"/>
  <c r="I52" i="36"/>
  <c r="J52" i="36" s="1"/>
  <c r="K52" i="36" s="1"/>
  <c r="I292" i="36"/>
  <c r="J292" i="36" s="1"/>
  <c r="I401" i="36"/>
  <c r="J401" i="36" s="1"/>
  <c r="I104" i="36"/>
  <c r="J104" i="36" s="1"/>
  <c r="K104" i="36" s="1"/>
  <c r="I471" i="36"/>
  <c r="J471" i="36" s="1"/>
  <c r="I533" i="36"/>
  <c r="J533" i="36" s="1"/>
  <c r="I441" i="36"/>
  <c r="J441" i="36" s="1"/>
  <c r="I315" i="36"/>
  <c r="J315" i="36" s="1"/>
  <c r="I674" i="36"/>
  <c r="J674" i="36" s="1"/>
  <c r="I405" i="36"/>
  <c r="J405" i="36" s="1"/>
  <c r="I221" i="36"/>
  <c r="J221" i="36" s="1"/>
  <c r="I521" i="36"/>
  <c r="J521" i="36" s="1"/>
  <c r="I176" i="36"/>
  <c r="J176" i="36" s="1"/>
  <c r="I81" i="36"/>
  <c r="J81" i="36" s="1"/>
  <c r="I589" i="36"/>
  <c r="J589" i="36" s="1"/>
  <c r="I117" i="36"/>
  <c r="J117" i="36" s="1"/>
  <c r="I584" i="36"/>
  <c r="J584" i="36" s="1"/>
  <c r="I48" i="36"/>
  <c r="J48" i="36" s="1"/>
  <c r="I288" i="36"/>
  <c r="J288" i="36" s="1"/>
  <c r="I461" i="36"/>
  <c r="J461" i="36" s="1"/>
  <c r="I127" i="36"/>
  <c r="J127" i="36" s="1"/>
  <c r="I406" i="36"/>
  <c r="J406" i="36" s="1"/>
  <c r="I646" i="36"/>
  <c r="J646" i="36" s="1"/>
  <c r="I592" i="36"/>
  <c r="J592" i="36" s="1"/>
  <c r="I289" i="36"/>
  <c r="J289" i="36" s="1"/>
  <c r="I369" i="36"/>
  <c r="J369" i="36" s="1"/>
  <c r="I181" i="36"/>
  <c r="J181" i="36" s="1"/>
  <c r="I196" i="36"/>
  <c r="J196" i="36" s="1"/>
  <c r="I596" i="36"/>
  <c r="J596" i="36" s="1"/>
  <c r="J25" i="36"/>
  <c r="I426" i="36"/>
  <c r="J426" i="36" s="1"/>
  <c r="I119" i="36"/>
  <c r="J119" i="36" s="1"/>
  <c r="I266" i="36"/>
  <c r="J266" i="36" s="1"/>
  <c r="I625" i="36"/>
  <c r="J625" i="36" s="1"/>
  <c r="I380" i="36"/>
  <c r="J380" i="36" s="1"/>
  <c r="I207" i="36"/>
  <c r="J207" i="36" s="1"/>
  <c r="I475" i="36"/>
  <c r="J475" i="36" s="1"/>
  <c r="I138" i="36"/>
  <c r="J138" i="36" s="1"/>
  <c r="I497" i="36"/>
  <c r="J497" i="36" s="1"/>
  <c r="I583" i="36"/>
  <c r="J583" i="36" s="1"/>
  <c r="I662" i="36"/>
  <c r="J662" i="36" s="1"/>
  <c r="I338" i="36"/>
  <c r="J338" i="36" s="1"/>
  <c r="I243" i="36"/>
  <c r="J243" i="36" s="1"/>
  <c r="I468" i="36"/>
  <c r="J468" i="36" s="1"/>
  <c r="I403" i="36"/>
  <c r="J403" i="36" s="1"/>
  <c r="I210" i="36"/>
  <c r="J210" i="36" s="1"/>
  <c r="I115" i="36"/>
  <c r="J115" i="36" s="1"/>
  <c r="I593" i="36"/>
  <c r="J593" i="36" s="1"/>
  <c r="I305" i="36"/>
  <c r="J305" i="36" s="1"/>
  <c r="I429" i="36"/>
  <c r="J429" i="36" s="1"/>
  <c r="I515" i="36"/>
  <c r="J515" i="36" s="1"/>
  <c r="I261" i="36"/>
  <c r="J261" i="36" s="1"/>
  <c r="I641" i="36"/>
  <c r="J641" i="36" s="1"/>
  <c r="I62" i="36"/>
  <c r="J62" i="36" s="1"/>
  <c r="I302" i="36"/>
  <c r="J302" i="36" s="1"/>
  <c r="I630" i="36"/>
  <c r="J630" i="36" s="1"/>
  <c r="I513" i="36"/>
  <c r="J513" i="36" s="1"/>
  <c r="I186" i="36"/>
  <c r="J186" i="36" s="1"/>
  <c r="I350" i="36"/>
  <c r="J350" i="36" s="1"/>
  <c r="I440" i="36"/>
  <c r="J440" i="36" s="1"/>
  <c r="I218" i="36"/>
  <c r="J218" i="36" s="1"/>
  <c r="I562" i="36"/>
  <c r="J562" i="36" s="1"/>
  <c r="I330" i="36"/>
  <c r="J330" i="36" s="1"/>
  <c r="I419" i="36"/>
  <c r="J419" i="36" s="1"/>
  <c r="I377" i="36"/>
  <c r="J377" i="36" s="1"/>
  <c r="I617" i="36"/>
  <c r="J617" i="36" s="1"/>
  <c r="I481" i="36"/>
  <c r="J481" i="36" s="1"/>
  <c r="I280" i="36"/>
  <c r="J280" i="36" s="1"/>
  <c r="I185" i="36"/>
  <c r="J185" i="36" s="1"/>
  <c r="I581" i="36"/>
  <c r="J581" i="36" s="1"/>
  <c r="I651" i="36"/>
  <c r="J651" i="36" s="1"/>
  <c r="I240" i="36"/>
  <c r="J240" i="36" s="1"/>
  <c r="I145" i="36"/>
  <c r="J145" i="36" s="1"/>
  <c r="I653" i="36"/>
  <c r="J653" i="36" s="1"/>
  <c r="I236" i="36"/>
  <c r="J236" i="36" s="1"/>
  <c r="I523" i="36"/>
  <c r="J523" i="36" s="1"/>
  <c r="I257" i="36"/>
  <c r="J257" i="36" s="1"/>
  <c r="I366" i="36"/>
  <c r="J366" i="36" s="1"/>
  <c r="I628" i="36"/>
  <c r="J628" i="36" s="1"/>
  <c r="I654" i="36"/>
  <c r="J654" i="36" s="1"/>
  <c r="J26" i="36"/>
  <c r="I370" i="36"/>
  <c r="J370" i="36" s="1"/>
  <c r="I96" i="36"/>
  <c r="J96" i="36" s="1"/>
  <c r="I660" i="36"/>
  <c r="J660" i="36" s="1"/>
  <c r="I215" i="36"/>
  <c r="J215" i="36" s="1"/>
  <c r="I670" i="36"/>
  <c r="J670" i="36" s="1"/>
  <c r="I353" i="36"/>
  <c r="J353" i="36" s="1"/>
  <c r="I164" i="36"/>
  <c r="J164" i="36" s="1"/>
  <c r="I680" i="36"/>
  <c r="J680" i="36" s="1"/>
  <c r="I99" i="36"/>
  <c r="J99" i="36" s="1"/>
  <c r="I591" i="36"/>
  <c r="J591" i="36" s="1"/>
  <c r="I560" i="36"/>
  <c r="J560" i="36" s="1"/>
  <c r="I276" i="36"/>
  <c r="J276" i="36" s="1"/>
  <c r="I281" i="36"/>
  <c r="J281" i="36" s="1"/>
  <c r="I144" i="36"/>
  <c r="J144" i="36" s="1"/>
  <c r="I644" i="36"/>
  <c r="J644" i="36" s="1"/>
  <c r="I180" i="36"/>
  <c r="J180" i="36" s="1"/>
  <c r="I85" i="36"/>
  <c r="J85" i="36" s="1"/>
  <c r="I529" i="36"/>
  <c r="J529" i="36" s="1"/>
  <c r="I237" i="36"/>
  <c r="J237" i="36" s="1"/>
  <c r="I387" i="36"/>
  <c r="J387" i="36" s="1"/>
  <c r="I198" i="36"/>
  <c r="J198" i="36" s="1"/>
  <c r="I455" i="36"/>
  <c r="J455" i="36" s="1"/>
  <c r="I648" i="36"/>
  <c r="J648" i="36" s="1"/>
  <c r="I259" i="36"/>
  <c r="J259" i="36" s="1"/>
  <c r="I659" i="36"/>
  <c r="J659" i="36" s="1"/>
  <c r="I308" i="36"/>
  <c r="J308" i="36" s="1"/>
  <c r="I232" i="36"/>
  <c r="J232" i="36" s="1"/>
  <c r="I627" i="36"/>
  <c r="J627" i="36" s="1"/>
  <c r="I246" i="36"/>
  <c r="J246" i="36" s="1"/>
  <c r="I355" i="36"/>
  <c r="J355" i="36" s="1"/>
  <c r="I314" i="36"/>
  <c r="J314" i="36" s="1"/>
  <c r="I219" i="36"/>
  <c r="J219" i="36" s="1"/>
  <c r="I631" i="36"/>
  <c r="J631" i="36" s="1"/>
  <c r="I118" i="36"/>
  <c r="J118" i="36" s="1"/>
  <c r="I558" i="36"/>
  <c r="J558" i="36" s="1"/>
  <c r="I681" i="36"/>
  <c r="J681" i="36" s="1"/>
  <c r="I331" i="36"/>
  <c r="J331" i="36" s="1"/>
  <c r="I348" i="36"/>
  <c r="J348" i="36" s="1"/>
  <c r="I175" i="36"/>
  <c r="J175" i="36" s="1"/>
  <c r="K175" i="36" s="1"/>
  <c r="I76" i="36"/>
  <c r="J76" i="36" s="1"/>
  <c r="I416" i="36"/>
  <c r="J416" i="36" s="1"/>
  <c r="I291" i="36"/>
  <c r="J291" i="36" s="1"/>
  <c r="I452" i="36"/>
  <c r="J452" i="36" s="1"/>
  <c r="I47" i="36"/>
  <c r="J47" i="36" s="1"/>
  <c r="I287" i="36"/>
  <c r="J287" i="36" s="1"/>
  <c r="I620" i="36"/>
  <c r="J620" i="36" s="1"/>
  <c r="I457" i="36"/>
  <c r="J457" i="36" s="1"/>
  <c r="I474" i="36"/>
  <c r="J474" i="36" s="1"/>
  <c r="I97" i="36"/>
  <c r="J97" i="36" s="1"/>
  <c r="I337" i="36"/>
  <c r="J337" i="36" s="1"/>
  <c r="I510" i="36"/>
  <c r="J510" i="36" s="1"/>
  <c r="I74" i="36"/>
  <c r="J74" i="36" s="1"/>
  <c r="I433" i="36"/>
  <c r="J433" i="36" s="1"/>
  <c r="I304" i="36"/>
  <c r="J304" i="36" s="1"/>
  <c r="I209" i="36"/>
  <c r="J209" i="36" s="1"/>
  <c r="I382" i="36"/>
  <c r="J382" i="36" s="1"/>
  <c r="I230" i="36"/>
  <c r="J230" i="36" s="1"/>
  <c r="K230" i="36" s="1"/>
  <c r="I399" i="36"/>
  <c r="J399" i="36" s="1"/>
  <c r="I262" i="36"/>
  <c r="J262" i="36" s="1"/>
  <c r="I435" i="36"/>
  <c r="J435" i="36" s="1"/>
  <c r="I310" i="36"/>
  <c r="J310" i="36" s="1"/>
  <c r="I607" i="36"/>
  <c r="J607" i="36" s="1"/>
  <c r="I142" i="36"/>
  <c r="J142" i="36" s="1"/>
  <c r="I421" i="36"/>
  <c r="J421" i="36" s="1"/>
  <c r="I508" i="36"/>
  <c r="J508" i="36" s="1"/>
  <c r="I324" i="36"/>
  <c r="J324" i="36" s="1"/>
  <c r="I456" i="36"/>
  <c r="J456" i="36" s="1"/>
  <c r="I466" i="36"/>
  <c r="J466" i="36" s="1"/>
  <c r="I312" i="36"/>
  <c r="J312" i="36" s="1"/>
  <c r="I656" i="36"/>
  <c r="J656" i="36" s="1"/>
  <c r="I77" i="36"/>
  <c r="J77" i="36" s="1"/>
  <c r="I317" i="36"/>
  <c r="J317" i="36" s="1"/>
  <c r="I570" i="36"/>
  <c r="J570" i="36" s="1"/>
  <c r="I184" i="36"/>
  <c r="J184" i="36" s="1"/>
  <c r="I540" i="36"/>
  <c r="J540" i="36" s="1"/>
  <c r="I672" i="36"/>
  <c r="J672" i="36" s="1"/>
  <c r="I409" i="36"/>
  <c r="J409" i="36" s="1"/>
  <c r="I554" i="36"/>
  <c r="J554" i="36" s="1"/>
  <c r="I113" i="36"/>
  <c r="J113" i="36" s="1"/>
  <c r="I601" i="36"/>
  <c r="J601" i="36" s="1"/>
  <c r="I161" i="36"/>
  <c r="J161" i="36" s="1"/>
  <c r="I70" i="36"/>
  <c r="J70" i="36" s="1"/>
  <c r="I574" i="36"/>
  <c r="J574" i="36" s="1"/>
  <c r="I268" i="36"/>
  <c r="J268" i="36" s="1"/>
  <c r="I473" i="36"/>
  <c r="J473" i="36" s="1"/>
  <c r="I227" i="36"/>
  <c r="J227" i="36" s="1"/>
  <c r="I388" i="36"/>
  <c r="J388" i="36" s="1"/>
  <c r="I263" i="36"/>
  <c r="J263" i="36" s="1"/>
  <c r="I511" i="36"/>
  <c r="J511" i="36" s="1"/>
  <c r="I541" i="36"/>
  <c r="J541" i="36" s="1"/>
  <c r="I271" i="36"/>
  <c r="J271" i="36" s="1"/>
  <c r="I539" i="36"/>
  <c r="J539" i="36" s="1"/>
  <c r="I112" i="36"/>
  <c r="J112" i="36" s="1"/>
  <c r="I525" i="36"/>
  <c r="J525" i="36" s="1"/>
  <c r="I316" i="36"/>
  <c r="J316" i="36" s="1"/>
  <c r="I608" i="36"/>
  <c r="J608" i="36" s="1"/>
  <c r="I256" i="36"/>
  <c r="J256" i="36" s="1"/>
  <c r="I436" i="36"/>
  <c r="J436" i="36" s="1"/>
  <c r="I462" i="36"/>
  <c r="J462" i="36" s="1"/>
  <c r="I217" i="36"/>
  <c r="J217" i="36" s="1"/>
  <c r="I362" i="36"/>
  <c r="J362" i="36" s="1"/>
  <c r="I109" i="36"/>
  <c r="J109" i="36" s="1"/>
  <c r="I371" i="36"/>
  <c r="J371" i="36" s="1"/>
  <c r="I286" i="36"/>
  <c r="J286" i="36" s="1"/>
  <c r="I658" i="36"/>
  <c r="J658" i="36" s="1"/>
  <c r="I160" i="36"/>
  <c r="J160" i="36" s="1"/>
  <c r="I131" i="36"/>
  <c r="J131" i="36" s="1"/>
  <c r="I213" i="36"/>
  <c r="J213" i="36" s="1"/>
  <c r="I454" i="36"/>
  <c r="J454" i="36" s="1"/>
  <c r="I599" i="36"/>
  <c r="J599" i="36" s="1"/>
  <c r="I548" i="36"/>
  <c r="J548" i="36" s="1"/>
  <c r="I543" i="36"/>
  <c r="J543" i="36" s="1"/>
  <c r="I478" i="36"/>
  <c r="J478" i="36" s="1"/>
  <c r="I568" i="36"/>
  <c r="J568" i="36" s="1"/>
  <c r="I194" i="36"/>
  <c r="J194" i="36" s="1"/>
  <c r="I415" i="36"/>
  <c r="J415" i="36" s="1"/>
  <c r="I135" i="36"/>
  <c r="J135" i="36" s="1"/>
  <c r="I552" i="36"/>
  <c r="J552" i="36" s="1"/>
  <c r="I187" i="36"/>
  <c r="J187" i="36" s="1"/>
  <c r="I546" i="36"/>
  <c r="J546" i="36" s="1"/>
  <c r="I124" i="36"/>
  <c r="J124" i="36" s="1"/>
  <c r="I400" i="36"/>
  <c r="J400" i="36" s="1"/>
  <c r="I59" i="36"/>
  <c r="J59" i="36" s="1"/>
  <c r="I418" i="36"/>
  <c r="J418" i="36" s="1"/>
  <c r="I619" i="36"/>
  <c r="J619" i="36" s="1"/>
  <c r="I158" i="36"/>
  <c r="J158" i="36" s="1"/>
  <c r="I422" i="36"/>
  <c r="J422" i="36" s="1"/>
  <c r="I269" i="36"/>
  <c r="J269" i="36" s="1"/>
  <c r="I489" i="36"/>
  <c r="J489" i="36" s="1"/>
  <c r="I431" i="36"/>
  <c r="J431" i="36" s="1"/>
  <c r="I54" i="36"/>
  <c r="J54" i="36" s="1"/>
  <c r="K54" i="36" s="1"/>
  <c r="I141" i="36"/>
  <c r="J141" i="36" s="1"/>
  <c r="I361" i="36"/>
  <c r="J361" i="36" s="1"/>
  <c r="I582" i="36"/>
  <c r="J582" i="36" s="1"/>
  <c r="I242" i="36"/>
  <c r="J242" i="36" s="1"/>
  <c r="I678" i="36"/>
  <c r="J678" i="36" s="1"/>
  <c r="I98" i="36"/>
  <c r="J98" i="36" s="1"/>
  <c r="I585" i="36"/>
  <c r="J585" i="36" s="1"/>
  <c r="I146" i="36"/>
  <c r="J146" i="36" s="1"/>
  <c r="I51" i="36"/>
  <c r="J51" i="36" s="1"/>
  <c r="K51" i="36" s="1"/>
  <c r="I555" i="36"/>
  <c r="J555" i="36" s="1"/>
  <c r="I90" i="36"/>
  <c r="J90" i="36" s="1"/>
  <c r="I434" i="36"/>
  <c r="J434" i="36" s="1"/>
  <c r="I507" i="36"/>
  <c r="J507" i="36" s="1"/>
  <c r="I336" i="36"/>
  <c r="J336" i="36" s="1"/>
  <c r="I445" i="36"/>
  <c r="J445" i="36" s="1"/>
  <c r="I116" i="36"/>
  <c r="J116" i="36" s="1"/>
  <c r="I465" i="36"/>
  <c r="J465" i="36" s="1"/>
  <c r="I89" i="36"/>
  <c r="J89" i="36" s="1"/>
  <c r="I460" i="36"/>
  <c r="J460" i="36" s="1"/>
  <c r="I327" i="36"/>
  <c r="J327" i="36" s="1"/>
  <c r="I228" i="36"/>
  <c r="J228" i="36" s="1"/>
  <c r="I329" i="36"/>
  <c r="J329" i="36" s="1"/>
  <c r="I201" i="36"/>
  <c r="J201" i="36" s="1"/>
  <c r="I502" i="36"/>
  <c r="J502" i="36" s="1"/>
  <c r="I285" i="36"/>
  <c r="J285" i="36" s="1"/>
  <c r="I565" i="36"/>
  <c r="J565" i="36" s="1"/>
  <c r="I333" i="36"/>
  <c r="J333" i="36" s="1"/>
  <c r="I553" i="36"/>
  <c r="J553" i="36" s="1"/>
  <c r="I407" i="36"/>
  <c r="J407" i="36" s="1"/>
  <c r="I469" i="36"/>
  <c r="J469" i="36" s="1"/>
  <c r="I60" i="36"/>
  <c r="J60" i="36" s="1"/>
  <c r="I667" i="36"/>
  <c r="J667" i="36" s="1"/>
  <c r="I339" i="36"/>
  <c r="J339" i="36" s="1"/>
  <c r="I459" i="36"/>
  <c r="J459" i="36" s="1"/>
  <c r="I283" i="36"/>
  <c r="J283" i="36" s="1"/>
  <c r="I364" i="36"/>
  <c r="J364" i="36" s="1"/>
  <c r="I284" i="36"/>
  <c r="J284" i="36" s="1"/>
  <c r="I189" i="36"/>
  <c r="J189" i="36" s="1"/>
  <c r="I390" i="36"/>
  <c r="J390" i="36" s="1"/>
  <c r="I328" i="36"/>
  <c r="J328" i="36" s="1"/>
  <c r="I389" i="36"/>
  <c r="J389" i="36" s="1"/>
  <c r="I384" i="36"/>
  <c r="J384" i="36" s="1"/>
  <c r="I299" i="36"/>
  <c r="J299" i="36" s="1"/>
  <c r="I200" i="36"/>
  <c r="J200" i="36" s="1"/>
  <c r="I594" i="36"/>
  <c r="J594" i="36" s="1"/>
  <c r="I519" i="36"/>
  <c r="J519" i="36" s="1"/>
  <c r="I437" i="36"/>
  <c r="J437" i="36" s="1"/>
  <c r="I177" i="36"/>
  <c r="J177" i="36" s="1"/>
  <c r="I537" i="36"/>
  <c r="J537" i="36" s="1"/>
  <c r="I309" i="36"/>
  <c r="J309" i="36" s="1"/>
  <c r="I550" i="36"/>
  <c r="J550" i="36" s="1"/>
  <c r="I300" i="36"/>
  <c r="J300" i="36" s="1"/>
  <c r="I325" i="36"/>
  <c r="J325" i="36" s="1"/>
  <c r="I657" i="36"/>
  <c r="J657" i="36" s="1"/>
  <c r="I301" i="36"/>
  <c r="J301" i="36" s="1"/>
  <c r="I195" i="36"/>
  <c r="J195" i="36" s="1"/>
  <c r="I82" i="36"/>
  <c r="J82" i="36" s="1"/>
  <c r="I159" i="36"/>
  <c r="J159" i="36" s="1"/>
  <c r="I491" i="36"/>
  <c r="J491" i="36" s="1"/>
  <c r="J35" i="36"/>
  <c r="I527" i="36"/>
  <c r="J527" i="36" s="1"/>
  <c r="I126" i="36"/>
  <c r="J126" i="36" s="1"/>
  <c r="I363" i="36"/>
  <c r="J363" i="36" s="1"/>
  <c r="I211" i="36"/>
  <c r="J211" i="36" s="1"/>
  <c r="I383" i="36"/>
  <c r="J383" i="36" s="1"/>
  <c r="I413" i="36"/>
  <c r="J413" i="36" s="1"/>
  <c r="I167" i="36"/>
  <c r="J167" i="36" s="1"/>
  <c r="I611" i="36"/>
  <c r="J611" i="36" s="1"/>
  <c r="I235" i="36"/>
  <c r="J235" i="36" s="1"/>
  <c r="I136" i="36"/>
  <c r="J136" i="36" s="1"/>
  <c r="I556" i="36"/>
  <c r="J556" i="36" s="1"/>
  <c r="I483" i="36"/>
  <c r="J483" i="36" s="1"/>
  <c r="I229" i="36"/>
  <c r="J229" i="36" s="1"/>
  <c r="I170" i="36"/>
  <c r="J170" i="36" s="1"/>
  <c r="I578" i="36"/>
  <c r="J578" i="36" s="1"/>
  <c r="I668" i="36"/>
  <c r="J668" i="36" s="1"/>
  <c r="I379" i="36"/>
  <c r="J379" i="36" s="1"/>
  <c r="I130" i="36"/>
  <c r="J130" i="36" s="1"/>
  <c r="I351" i="36"/>
  <c r="J351" i="36" s="1"/>
  <c r="I153" i="36"/>
  <c r="J153" i="36" s="1"/>
  <c r="I524" i="36"/>
  <c r="J524" i="36" s="1"/>
  <c r="I576" i="36"/>
  <c r="J576" i="36" s="1"/>
  <c r="I79" i="36"/>
  <c r="J79" i="36" s="1"/>
  <c r="I503" i="36"/>
  <c r="J503" i="36" s="1"/>
  <c r="I270" i="36"/>
  <c r="J270" i="36" s="1"/>
  <c r="I549" i="36"/>
  <c r="J549" i="36" s="1"/>
  <c r="I318" i="36"/>
  <c r="J318" i="36" s="1"/>
  <c r="I354" i="36"/>
  <c r="J354" i="36" s="1"/>
  <c r="I526" i="36"/>
  <c r="J526" i="36" s="1"/>
  <c r="I661" i="36"/>
  <c r="J661" i="36" s="1"/>
  <c r="I633" i="36"/>
  <c r="J633" i="36" s="1"/>
  <c r="I192" i="36"/>
  <c r="J192" i="36" s="1"/>
  <c r="I372" i="36"/>
  <c r="J372" i="36" s="1"/>
  <c r="I398" i="36"/>
  <c r="J398" i="36" s="1"/>
  <c r="I69" i="36"/>
  <c r="J69" i="36" s="1"/>
  <c r="I449" i="36"/>
  <c r="J449" i="36" s="1"/>
  <c r="I64" i="36"/>
  <c r="J64" i="36" s="1"/>
  <c r="I575" i="36"/>
  <c r="J575" i="36" s="1"/>
  <c r="I605" i="36"/>
  <c r="J605" i="36" s="1"/>
  <c r="I245" i="36"/>
  <c r="J245" i="36" s="1"/>
  <c r="I624" i="36"/>
  <c r="J624" i="36" s="1"/>
  <c r="I391" i="36"/>
  <c r="J391" i="36" s="1"/>
  <c r="I233" i="36"/>
  <c r="J233" i="36" s="1"/>
  <c r="I386" i="36"/>
  <c r="J386" i="36" s="1"/>
  <c r="I78" i="36"/>
  <c r="J78" i="36" s="1"/>
  <c r="I244" i="36"/>
  <c r="J244" i="36" s="1"/>
  <c r="I472" i="36"/>
  <c r="J472" i="36" s="1"/>
  <c r="I171" i="36"/>
  <c r="J171" i="36" s="1"/>
  <c r="I72" i="36"/>
  <c r="J72" i="36" s="1"/>
  <c r="I492" i="36"/>
  <c r="J492" i="36" s="1"/>
  <c r="I120" i="36"/>
  <c r="J120" i="36" s="1"/>
  <c r="I476" i="36"/>
  <c r="J476" i="36" s="1"/>
  <c r="I87" i="36"/>
  <c r="J87" i="36" s="1"/>
  <c r="I542" i="36"/>
  <c r="J542" i="36" s="1"/>
  <c r="I632" i="36"/>
  <c r="J632" i="36" s="1"/>
  <c r="I296" i="36"/>
  <c r="J296" i="36" s="1"/>
  <c r="I663" i="36"/>
  <c r="J663" i="36" s="1"/>
  <c r="I88" i="36"/>
  <c r="J88" i="36" s="1"/>
  <c r="I595" i="36"/>
  <c r="J595" i="36" s="1"/>
  <c r="I609" i="36"/>
  <c r="J609" i="36" s="1"/>
  <c r="I373" i="36"/>
  <c r="J373" i="36" s="1"/>
  <c r="I343" i="36"/>
  <c r="J343" i="36" s="1"/>
  <c r="I516" i="36"/>
  <c r="J516" i="36" s="1"/>
  <c r="I149" i="36"/>
  <c r="J149" i="36" s="1"/>
  <c r="I157" i="36"/>
  <c r="J157" i="36" s="1"/>
  <c r="I493" i="36"/>
  <c r="J493" i="36" s="1"/>
  <c r="I91" i="36"/>
  <c r="J91" i="36" s="1"/>
  <c r="I320" i="36"/>
  <c r="J320" i="36" s="1"/>
  <c r="I442" i="36"/>
  <c r="J442" i="36" s="1"/>
  <c r="I464" i="36"/>
  <c r="J464" i="36" s="1"/>
  <c r="I673" i="36"/>
  <c r="J673" i="36" s="1"/>
  <c r="I448" i="36"/>
  <c r="J448" i="36" s="1"/>
  <c r="I586" i="36"/>
  <c r="J586" i="36" s="1"/>
  <c r="I356" i="36"/>
  <c r="J356" i="36" s="1"/>
  <c r="I172" i="36"/>
  <c r="J172" i="36" s="1"/>
  <c r="I634" i="36"/>
  <c r="J634" i="36" s="1"/>
  <c r="I188" i="36"/>
  <c r="J188" i="36" s="1"/>
  <c r="I671" i="36"/>
  <c r="J671" i="36" s="1"/>
  <c r="I559" i="36"/>
  <c r="J559" i="36" s="1"/>
  <c r="I417" i="36"/>
  <c r="J417" i="36" s="1"/>
  <c r="I56" i="36"/>
  <c r="J56" i="36" s="1"/>
  <c r="K56" i="36" s="1"/>
  <c r="I534" i="36"/>
  <c r="J534" i="36" s="1"/>
  <c r="I223" i="36"/>
  <c r="J223" i="36" s="1"/>
  <c r="I132" i="36"/>
  <c r="J132" i="36" s="1"/>
  <c r="I467" i="36"/>
  <c r="J467" i="36" s="1"/>
  <c r="I638" i="36"/>
  <c r="J638" i="36" s="1"/>
  <c r="I500" i="36"/>
  <c r="J500" i="36" s="1"/>
  <c r="I105" i="36"/>
  <c r="J105" i="36" s="1"/>
  <c r="I395" i="36"/>
  <c r="J395" i="36" s="1"/>
  <c r="I277" i="36"/>
  <c r="J277" i="36" s="1"/>
  <c r="I494" i="36"/>
  <c r="J494" i="36" s="1"/>
  <c r="I587" i="36"/>
  <c r="J587" i="36" s="1"/>
  <c r="I278" i="36"/>
  <c r="J278" i="36" s="1"/>
  <c r="I396" i="36"/>
  <c r="J396" i="36" s="1"/>
  <c r="I92" i="36"/>
  <c r="J92" i="36" s="1"/>
  <c r="I57" i="36"/>
  <c r="J57" i="36" s="1"/>
  <c r="K57" i="36" s="1"/>
  <c r="G685" i="36"/>
  <c r="G684" i="36"/>
  <c r="H684" i="36" l="1"/>
  <c r="I684" i="36" s="1"/>
  <c r="J684" i="36" s="1"/>
  <c r="H685" i="36"/>
  <c r="I685" i="36" s="1"/>
  <c r="J685" i="36" s="1"/>
  <c r="J12" i="36"/>
  <c r="I9" i="36" l="1"/>
  <c r="J10" i="36"/>
  <c r="G10" i="36" s="1"/>
  <c r="J9" i="36" l="1"/>
  <c r="K200" i="36" l="1"/>
  <c r="K46" i="36"/>
  <c r="K43" i="36"/>
  <c r="K218" i="36"/>
  <c r="K17" i="36"/>
  <c r="M16" i="3" s="1"/>
  <c r="K12" i="36"/>
  <c r="M9" i="3" s="1"/>
  <c r="K10" i="36"/>
  <c r="M58" i="3" s="1"/>
  <c r="K608" i="36"/>
  <c r="K296" i="36"/>
  <c r="K459" i="36"/>
  <c r="K171" i="36"/>
  <c r="K598" i="36"/>
  <c r="K323" i="36"/>
  <c r="K252" i="36"/>
  <c r="K532" i="36"/>
  <c r="K191" i="36"/>
  <c r="K673" i="36"/>
  <c r="K553" i="36"/>
  <c r="K391" i="36"/>
  <c r="K575" i="36"/>
  <c r="K398" i="36"/>
  <c r="K173" i="36"/>
  <c r="K374" i="36"/>
  <c r="K25" i="36"/>
  <c r="K596" i="36"/>
  <c r="K152" i="36"/>
  <c r="K292" i="36"/>
  <c r="K555" i="36"/>
  <c r="K98" i="36"/>
  <c r="K524" i="36"/>
  <c r="K431" i="36"/>
  <c r="K158" i="36"/>
  <c r="K375" i="36"/>
  <c r="K309" i="36"/>
  <c r="K537" i="36"/>
  <c r="K101" i="36"/>
  <c r="K273" i="36"/>
  <c r="K210" i="36"/>
  <c r="K243" i="36"/>
  <c r="K363" i="36"/>
  <c r="K35" i="36"/>
  <c r="K423" i="36"/>
  <c r="K676" i="36"/>
  <c r="K143" i="36"/>
  <c r="K514" i="36"/>
  <c r="K334" i="36"/>
  <c r="K622" i="36"/>
  <c r="K348" i="36"/>
  <c r="K27" i="36"/>
  <c r="K326" i="36"/>
  <c r="K529" i="36"/>
  <c r="K144" i="36"/>
  <c r="K364" i="36"/>
  <c r="K339" i="36"/>
  <c r="K407" i="36"/>
  <c r="K147" i="36"/>
  <c r="K447" i="36"/>
  <c r="K432" i="36"/>
  <c r="K231" i="36"/>
  <c r="K603" i="36"/>
  <c r="K157" i="36"/>
  <c r="K601" i="36"/>
  <c r="K201" i="36"/>
  <c r="K460" i="36"/>
  <c r="K116" i="36"/>
  <c r="K599" i="36"/>
  <c r="K506" i="36"/>
  <c r="K169" i="36"/>
  <c r="K453" i="36"/>
  <c r="K421" i="36"/>
  <c r="K356" i="36"/>
  <c r="K242" i="36"/>
  <c r="K97" i="36"/>
  <c r="K648" i="36"/>
  <c r="K566" i="36"/>
  <c r="K154" i="36"/>
  <c r="K629" i="36"/>
  <c r="K344" i="36"/>
  <c r="K483" i="36"/>
  <c r="K235" i="36"/>
  <c r="K36" i="36"/>
  <c r="K568" i="36"/>
  <c r="K322" i="36"/>
  <c r="K376" i="36"/>
  <c r="K247" i="36"/>
  <c r="K352" i="36"/>
  <c r="K94" i="36"/>
  <c r="K486" i="36"/>
  <c r="K190" i="36"/>
  <c r="K588" i="36"/>
  <c r="K681" i="36"/>
  <c r="K551" i="36"/>
  <c r="K427" i="36"/>
  <c r="K525" i="36"/>
  <c r="K271" i="36"/>
  <c r="K388" i="36"/>
  <c r="K28" i="36"/>
  <c r="K535" i="36"/>
  <c r="K545" i="36"/>
  <c r="K394" i="36"/>
  <c r="K360" i="36"/>
  <c r="K163" i="36"/>
  <c r="K628" i="36"/>
  <c r="K672" i="36"/>
  <c r="K317" i="36"/>
  <c r="K466" i="36"/>
  <c r="K125" i="36"/>
  <c r="K589" i="36"/>
  <c r="K221" i="36"/>
  <c r="K441" i="36"/>
  <c r="K259" i="36"/>
  <c r="K617" i="36"/>
  <c r="K435" i="36"/>
  <c r="K186" i="36"/>
  <c r="K433" i="36"/>
  <c r="K515" i="36"/>
  <c r="K110" i="36"/>
  <c r="K66" i="36"/>
  <c r="K679" i="36"/>
  <c r="K546" i="36"/>
  <c r="K393" i="36"/>
  <c r="K384" i="36"/>
  <c r="K88" i="36"/>
  <c r="K591" i="36"/>
  <c r="K353" i="36"/>
  <c r="K96" i="36"/>
  <c r="K649" i="36"/>
  <c r="K108" i="36"/>
  <c r="K563" i="36"/>
  <c r="K239" i="36"/>
  <c r="K606" i="36"/>
  <c r="K386" i="36"/>
  <c r="K257" i="36"/>
  <c r="K653" i="36"/>
  <c r="K29" i="36"/>
  <c r="K461" i="36"/>
  <c r="K73" i="36"/>
  <c r="K564" i="36"/>
  <c r="K303" i="36"/>
  <c r="K160" i="36"/>
  <c r="K526" i="36"/>
  <c r="K318" i="36"/>
  <c r="K91" i="36"/>
  <c r="K630" i="36"/>
  <c r="K16" i="36"/>
  <c r="M15" i="3" s="1"/>
  <c r="K490" i="36"/>
  <c r="K102" i="36"/>
  <c r="K505" i="36"/>
  <c r="K387" i="36"/>
  <c r="K237" i="36"/>
  <c r="K620" i="36"/>
  <c r="K291" i="36"/>
  <c r="K662" i="36"/>
  <c r="K138" i="36"/>
  <c r="K625" i="36"/>
  <c r="K214" i="36"/>
  <c r="K255" i="36"/>
  <c r="K547" i="36"/>
  <c r="K241" i="36"/>
  <c r="K493" i="36"/>
  <c r="K202" i="36"/>
  <c r="K636" i="36"/>
  <c r="K290" i="36"/>
  <c r="K499" i="36"/>
  <c r="K436" i="36"/>
  <c r="K390" i="36"/>
  <c r="K542" i="36"/>
  <c r="K492" i="36"/>
  <c r="K14" i="36"/>
  <c r="M11" i="3" s="1"/>
  <c r="K397" i="36"/>
  <c r="K275" i="36"/>
  <c r="K462" i="36"/>
  <c r="K316" i="36"/>
  <c r="K632" i="36"/>
  <c r="K172" i="36"/>
  <c r="K472" i="36"/>
  <c r="K319" i="36"/>
  <c r="K341" i="36"/>
  <c r="K307" i="36"/>
  <c r="K428" i="36"/>
  <c r="K437" i="36"/>
  <c r="K333" i="36"/>
  <c r="K624" i="36"/>
  <c r="K64" i="36"/>
  <c r="K372" i="36"/>
  <c r="K443" i="36"/>
  <c r="K301" i="36"/>
  <c r="K657" i="36"/>
  <c r="K32" i="36"/>
  <c r="K536" i="36"/>
  <c r="K507" i="36"/>
  <c r="K223" i="36"/>
  <c r="K678" i="36"/>
  <c r="K153" i="36"/>
  <c r="K489" i="36"/>
  <c r="K496" i="36"/>
  <c r="K298" i="36"/>
  <c r="K371" i="36"/>
  <c r="K109" i="36"/>
  <c r="K509" i="36"/>
  <c r="K33" i="36"/>
  <c r="K403" i="36"/>
  <c r="K413" i="36"/>
  <c r="K31" i="36"/>
  <c r="K491" i="36"/>
  <c r="K75" i="36"/>
  <c r="K586" i="36"/>
  <c r="K572" i="36"/>
  <c r="K106" i="36"/>
  <c r="K642" i="36"/>
  <c r="K485" i="36"/>
  <c r="K558" i="36"/>
  <c r="K203" i="36"/>
  <c r="K50" i="36"/>
  <c r="K85" i="36"/>
  <c r="K442" i="36"/>
  <c r="K283" i="36"/>
  <c r="K667" i="36"/>
  <c r="K40" i="36"/>
  <c r="K600" i="36"/>
  <c r="K199" i="36"/>
  <c r="K677" i="36"/>
  <c r="K612" i="36"/>
  <c r="K335" i="36"/>
  <c r="K574" i="36"/>
  <c r="K285" i="36"/>
  <c r="K329" i="36"/>
  <c r="K89" i="36"/>
  <c r="K445" i="36"/>
  <c r="K232" i="36"/>
  <c r="K253" i="36"/>
  <c r="K444" i="36"/>
  <c r="K45" i="36"/>
  <c r="K604" i="36"/>
  <c r="K142" i="36"/>
  <c r="K585" i="36"/>
  <c r="K74" i="36"/>
  <c r="K474" i="36"/>
  <c r="K181" i="36"/>
  <c r="K238" i="36"/>
  <c r="K518" i="36"/>
  <c r="K30" i="36"/>
  <c r="K577" i="36"/>
  <c r="K39" i="36"/>
  <c r="K611" i="36"/>
  <c r="K135" i="36"/>
  <c r="K478" i="36"/>
  <c r="K82" i="36"/>
  <c r="K621" i="36"/>
  <c r="K342" i="36"/>
  <c r="K15" i="36"/>
  <c r="M13" i="3" s="1"/>
  <c r="K420" i="36"/>
  <c r="K222" i="36"/>
  <c r="K602" i="36"/>
  <c r="K619" i="36"/>
  <c r="K219" i="36"/>
  <c r="K294" i="36"/>
  <c r="K635" i="36"/>
  <c r="K609" i="36"/>
  <c r="K18" i="36"/>
  <c r="M17" i="3" s="1"/>
  <c r="K680" i="36"/>
  <c r="K227" i="36"/>
  <c r="K488" i="36"/>
  <c r="K168" i="36"/>
  <c r="K531" i="36"/>
  <c r="K150" i="36"/>
  <c r="K183" i="36"/>
  <c r="K671" i="36"/>
  <c r="K370" i="36"/>
  <c r="K113" i="36"/>
  <c r="K540" i="36"/>
  <c r="K77" i="36"/>
  <c r="K456" i="36"/>
  <c r="K220" i="36"/>
  <c r="K81" i="36"/>
  <c r="K405" i="36"/>
  <c r="K208" i="36"/>
  <c r="K377" i="36"/>
  <c r="K262" i="36"/>
  <c r="K382" i="36"/>
  <c r="K62" i="36"/>
  <c r="K429" i="36"/>
  <c r="K137" i="36"/>
  <c r="K571" i="36"/>
  <c r="K313" i="36"/>
  <c r="K631" i="36"/>
  <c r="K19" i="36"/>
  <c r="M20" i="3" s="1"/>
  <c r="K93" i="36"/>
  <c r="K281" i="36"/>
  <c r="K99" i="36"/>
  <c r="K670" i="36"/>
  <c r="K195" i="36"/>
  <c r="K61" i="36"/>
  <c r="K297" i="36"/>
  <c r="K346" i="36"/>
  <c r="K487" i="36"/>
  <c r="K151" i="36"/>
  <c r="K244" i="36"/>
  <c r="K277" i="36"/>
  <c r="K682" i="36"/>
  <c r="K145" i="36"/>
  <c r="K581" i="36"/>
  <c r="K288" i="36"/>
  <c r="K385" i="36"/>
  <c r="K49" i="36"/>
  <c r="K640" i="36"/>
  <c r="K669" i="36"/>
  <c r="K134" i="36"/>
  <c r="K562" i="36"/>
  <c r="K576" i="36"/>
  <c r="K302" i="36"/>
  <c r="K578" i="36"/>
  <c r="K345" i="36"/>
  <c r="K430" i="36"/>
  <c r="K34" i="36"/>
  <c r="K592" i="36"/>
  <c r="K367" i="36"/>
  <c r="K287" i="36"/>
  <c r="K416" i="36"/>
  <c r="K44" i="36"/>
  <c r="K475" i="36"/>
  <c r="K266" i="36"/>
  <c r="K614" i="36"/>
  <c r="K567" i="36"/>
  <c r="K123" i="36"/>
  <c r="K626" i="36"/>
  <c r="K38" i="36"/>
  <c r="K206" i="36"/>
  <c r="K331" i="36"/>
  <c r="K166" i="36"/>
  <c r="K538" i="36"/>
  <c r="K23" i="36"/>
  <c r="K209" i="36"/>
  <c r="K264" i="36"/>
  <c r="K340" i="36"/>
  <c r="K170" i="36"/>
  <c r="K583" i="36"/>
  <c r="K646" i="36"/>
  <c r="K63" i="36"/>
  <c r="K308" i="36"/>
  <c r="K289" i="36"/>
  <c r="K527" i="36"/>
  <c r="K293" i="36"/>
  <c r="K284" i="36"/>
  <c r="K675" i="36"/>
  <c r="K20" i="36"/>
  <c r="M21" i="3" s="1"/>
  <c r="K508" i="36"/>
  <c r="K286" i="36"/>
  <c r="K424" i="36"/>
  <c r="K187" i="36"/>
  <c r="K263" i="36"/>
  <c r="K655" i="36"/>
  <c r="K378" i="36"/>
  <c r="K330" i="36"/>
  <c r="K392" i="36"/>
  <c r="K120" i="36"/>
  <c r="K78" i="36"/>
  <c r="K590" i="36"/>
  <c r="K229" i="36"/>
  <c r="K452" i="36"/>
  <c r="K250" i="36"/>
  <c r="K103" i="36"/>
  <c r="K663" i="36"/>
  <c r="K224" i="36"/>
  <c r="K67" i="36"/>
  <c r="K105" i="36"/>
  <c r="K245" i="36"/>
  <c r="K192" i="36"/>
  <c r="K454" i="36"/>
  <c r="K131" i="36"/>
  <c r="K434" i="36"/>
  <c r="K79" i="36"/>
  <c r="K269" i="36"/>
  <c r="K455" i="36"/>
  <c r="K450" i="36"/>
  <c r="K593" i="36"/>
  <c r="K383" i="36"/>
  <c r="K159" i="36"/>
  <c r="K83" i="36"/>
  <c r="K165" i="36"/>
  <c r="K217" i="36"/>
  <c r="K404" i="36"/>
  <c r="K180" i="36"/>
  <c r="K541" i="36"/>
  <c r="K349" i="36"/>
  <c r="K580" i="36"/>
  <c r="K522" i="36"/>
  <c r="K70" i="36"/>
  <c r="K228" i="36"/>
  <c r="K336" i="36"/>
  <c r="K21" i="36"/>
  <c r="M23" i="3" s="1"/>
  <c r="K533" i="36"/>
  <c r="K607" i="36"/>
  <c r="K361" i="36"/>
  <c r="K457" i="36"/>
  <c r="K265" i="36"/>
  <c r="K530" i="36"/>
  <c r="K556" i="36"/>
  <c r="K415" i="36"/>
  <c r="K406" i="36"/>
  <c r="K463" i="36"/>
  <c r="K665" i="36"/>
  <c r="K260" i="36"/>
  <c r="K246" i="36"/>
  <c r="K343" i="36"/>
  <c r="K112" i="36"/>
  <c r="K473" i="36"/>
  <c r="K616" i="36"/>
  <c r="K610" i="36"/>
  <c r="K519" i="36"/>
  <c r="K554" i="36"/>
  <c r="K656" i="36"/>
  <c r="K573" i="36"/>
  <c r="K674" i="36"/>
  <c r="K300" i="36"/>
  <c r="K440" i="36"/>
  <c r="K641" i="36"/>
  <c r="K114" i="36"/>
  <c r="K249" i="36"/>
  <c r="K464" i="36"/>
  <c r="K276" i="36"/>
  <c r="K215" i="36"/>
  <c r="K156" i="36"/>
  <c r="K480" i="36"/>
  <c r="K516" i="36"/>
  <c r="K37" i="36"/>
  <c r="K240" i="36"/>
  <c r="K48" i="36"/>
  <c r="K544" i="36"/>
  <c r="K639" i="36"/>
  <c r="K270" i="36"/>
  <c r="K379" i="36"/>
  <c r="K643" i="36"/>
  <c r="K517" i="36"/>
  <c r="K425" i="36"/>
  <c r="K76" i="36"/>
  <c r="K207" i="36"/>
  <c r="K122" i="36"/>
  <c r="K451" i="36"/>
  <c r="K479" i="36"/>
  <c r="K118" i="36"/>
  <c r="K258" i="36"/>
  <c r="K268" i="36"/>
  <c r="K409" i="36"/>
  <c r="K312" i="36"/>
  <c r="K315" i="36"/>
  <c r="K350" i="36"/>
  <c r="K618" i="36"/>
  <c r="K418" i="36"/>
  <c r="K560" i="36"/>
  <c r="K660" i="36"/>
  <c r="K140" i="36"/>
  <c r="K366" i="36"/>
  <c r="K651" i="36"/>
  <c r="K204" i="36"/>
  <c r="K128" i="36"/>
  <c r="K668" i="36"/>
  <c r="K121" i="36"/>
  <c r="K205" i="36"/>
  <c r="K380" i="36"/>
  <c r="K534" i="36"/>
  <c r="K182" i="36"/>
  <c r="K347" i="36"/>
  <c r="K449" i="36"/>
  <c r="K213" i="36"/>
  <c r="K146" i="36"/>
  <c r="K637" i="36"/>
  <c r="K65" i="36"/>
  <c r="K126" i="36"/>
  <c r="K482" i="36"/>
  <c r="K314" i="36"/>
  <c r="K189" i="36"/>
  <c r="K148" i="36"/>
  <c r="K417" i="36"/>
  <c r="K465" i="36"/>
  <c r="K408" i="36"/>
  <c r="K22" i="36"/>
  <c r="K550" i="36"/>
  <c r="K197" i="36"/>
  <c r="K178" i="36"/>
  <c r="K647" i="36"/>
  <c r="K410" i="36"/>
  <c r="K164" i="36"/>
  <c r="K68" i="36"/>
  <c r="K26" i="36"/>
  <c r="K324" i="36"/>
  <c r="K569" i="36"/>
  <c r="K305" i="36"/>
  <c r="K458" i="36"/>
  <c r="K476" i="36"/>
  <c r="K139" i="36"/>
  <c r="K185" i="36"/>
  <c r="K225" i="36"/>
  <c r="K321" i="36"/>
  <c r="K47" i="36"/>
  <c r="K155" i="36"/>
  <c r="K414" i="36"/>
  <c r="K256" i="36"/>
  <c r="K107" i="36"/>
  <c r="K212" i="36"/>
  <c r="K549" i="36"/>
  <c r="K193" i="36"/>
  <c r="K468" i="36"/>
  <c r="K111" i="36"/>
  <c r="K188" i="36"/>
  <c r="K477" i="36"/>
  <c r="K174" i="36"/>
  <c r="K129" i="36"/>
  <c r="K399" i="36"/>
  <c r="K272" i="36"/>
  <c r="K552" i="36"/>
  <c r="K358" i="36"/>
  <c r="K86" i="36"/>
  <c r="K71" i="36"/>
  <c r="K654" i="36"/>
  <c r="K521" i="36"/>
  <c r="K304" i="36"/>
  <c r="K504" i="36"/>
  <c r="K267" i="36"/>
  <c r="K652" i="36"/>
  <c r="K280" i="36"/>
  <c r="K354" i="36"/>
  <c r="K623" i="36"/>
  <c r="K497" i="36"/>
  <c r="K579" i="36"/>
  <c r="K87" i="36"/>
  <c r="K528" i="36"/>
  <c r="K470" i="36"/>
  <c r="K495" i="36"/>
  <c r="K605" i="36"/>
  <c r="K633" i="36"/>
  <c r="K396" i="36"/>
  <c r="K659" i="36"/>
  <c r="K90" i="36"/>
  <c r="K582" i="36"/>
  <c r="K422" i="36"/>
  <c r="K369" i="36"/>
  <c r="K42" i="36"/>
  <c r="K115" i="36"/>
  <c r="K211" i="36"/>
  <c r="K254" i="36"/>
  <c r="K411" i="36"/>
  <c r="K613" i="36"/>
  <c r="K400" i="36"/>
  <c r="K597" i="36"/>
  <c r="K644" i="36"/>
  <c r="K511" i="36"/>
  <c r="K650" i="36"/>
  <c r="K80" i="36"/>
  <c r="K13" i="36"/>
  <c r="M10" i="3" s="1"/>
  <c r="K161" i="36"/>
  <c r="K327" i="36"/>
  <c r="K661" i="36"/>
  <c r="K501" i="36"/>
  <c r="K471" i="36"/>
  <c r="K310" i="36"/>
  <c r="K141" i="36"/>
  <c r="K658" i="36"/>
  <c r="K498" i="36"/>
  <c r="K520" i="36"/>
  <c r="K136" i="36"/>
  <c r="K194" i="36"/>
  <c r="K127" i="36"/>
  <c r="K306" i="36"/>
  <c r="K162" i="36"/>
  <c r="K645" i="36"/>
  <c r="K439" i="36"/>
  <c r="K373" i="36"/>
  <c r="K539" i="36"/>
  <c r="K100" i="36"/>
  <c r="K251" i="36"/>
  <c r="K500" i="36"/>
  <c r="K117" i="36"/>
  <c r="K481" i="36"/>
  <c r="K261" i="36"/>
  <c r="K299" i="36"/>
  <c r="K412" i="36"/>
  <c r="K594" i="36"/>
  <c r="K584" i="36"/>
  <c r="K503" i="36"/>
  <c r="K557" i="36"/>
  <c r="K338" i="36"/>
  <c r="K365" i="36"/>
  <c r="K355" i="36"/>
  <c r="K72" i="36"/>
  <c r="K359" i="36"/>
  <c r="K565" i="36"/>
  <c r="K664" i="36"/>
  <c r="K84" i="36"/>
  <c r="K351" i="36"/>
  <c r="K198" i="36"/>
  <c r="K279" i="36"/>
  <c r="K368" i="36"/>
  <c r="K234" i="36"/>
  <c r="K638" i="36"/>
  <c r="K60" i="36"/>
  <c r="K226" i="36"/>
  <c r="K502" i="36"/>
  <c r="K426" i="36"/>
  <c r="K248" i="36"/>
  <c r="K510" i="36"/>
  <c r="K381" i="36"/>
  <c r="K167" i="36"/>
  <c r="K274" i="36"/>
  <c r="K124" i="36"/>
  <c r="K595" i="36"/>
  <c r="K311" i="36"/>
  <c r="K278" i="36"/>
  <c r="K184" i="36"/>
  <c r="K176" i="36"/>
  <c r="K419" i="36"/>
  <c r="K402" i="36"/>
  <c r="K389" i="36"/>
  <c r="K615" i="36"/>
  <c r="K357" i="36"/>
  <c r="K523" i="36"/>
  <c r="K196" i="36"/>
  <c r="K513" i="36"/>
  <c r="K177" i="36"/>
  <c r="K627" i="36"/>
  <c r="K282" i="36"/>
  <c r="K512" i="36"/>
  <c r="K233" i="36"/>
  <c r="K69" i="36"/>
  <c r="K401" i="36"/>
  <c r="K130" i="36"/>
  <c r="K446" i="36"/>
  <c r="K666" i="36"/>
  <c r="K548" i="36"/>
  <c r="K469" i="36"/>
  <c r="K448" i="36"/>
  <c r="K295" i="36"/>
  <c r="K337" i="36"/>
  <c r="K559" i="36"/>
  <c r="K543" i="36"/>
  <c r="K561" i="36"/>
  <c r="K132" i="36"/>
  <c r="K484" i="36"/>
  <c r="K570" i="36"/>
  <c r="K332" i="36"/>
  <c r="K438" i="36"/>
  <c r="K328" i="36"/>
  <c r="K24" i="36"/>
  <c r="K236" i="36"/>
  <c r="K325" i="36"/>
  <c r="K133" i="36"/>
  <c r="K362" i="36"/>
  <c r="K119" i="36"/>
  <c r="K59" i="36"/>
  <c r="K494" i="36"/>
  <c r="K149" i="36"/>
  <c r="K395" i="36"/>
  <c r="K683" i="36"/>
  <c r="K587" i="36"/>
  <c r="K41" i="36"/>
  <c r="K467" i="36"/>
  <c r="K634" i="36"/>
  <c r="K92" i="36"/>
  <c r="K320" i="36"/>
  <c r="K684" i="36"/>
  <c r="K685" i="36"/>
  <c r="M42" i="3" l="1"/>
  <c r="M57" i="3"/>
  <c r="M35" i="3"/>
  <c r="M26" i="3"/>
  <c r="M18" i="3"/>
  <c r="M54" i="3"/>
  <c r="M38" i="3"/>
  <c r="M59" i="3"/>
  <c r="M30" i="3"/>
  <c r="M14" i="3"/>
  <c r="M33" i="3"/>
  <c r="M48" i="3"/>
  <c r="M56" i="3"/>
  <c r="M60" i="3"/>
  <c r="M50" i="3"/>
  <c r="M12" i="3"/>
  <c r="M27" i="3"/>
  <c r="M53" i="3"/>
  <c r="M36" i="3"/>
  <c r="M46" i="3"/>
  <c r="M24" i="3"/>
  <c r="M31" i="3"/>
  <c r="M43" i="3"/>
  <c r="M52" i="3"/>
  <c r="M49" i="3"/>
  <c r="M37" i="3"/>
  <c r="M32" i="3"/>
  <c r="M47" i="3"/>
  <c r="M39" i="3"/>
  <c r="M41" i="3"/>
  <c r="M45" i="3"/>
  <c r="M19" i="3"/>
  <c r="M29" i="3"/>
  <c r="M51" i="3"/>
  <c r="M55" i="3"/>
  <c r="M44" i="3"/>
  <c r="M25" i="3"/>
  <c r="M22" i="3"/>
  <c r="M40" i="3"/>
  <c r="M34" i="3"/>
  <c r="M28" i="3"/>
  <c r="E45" i="3"/>
  <c r="E50" i="3"/>
  <c r="E49" i="3"/>
  <c r="E43" i="3"/>
  <c r="E48" i="3"/>
  <c r="E46" i="3"/>
  <c r="E44" i="3"/>
  <c r="E47" i="3"/>
  <c r="E13" i="3"/>
  <c r="C13" i="3" s="1"/>
  <c r="H13" i="3"/>
  <c r="H24" i="3"/>
  <c r="E24" i="3"/>
  <c r="H59" i="3"/>
  <c r="E59" i="3"/>
  <c r="H60" i="3"/>
  <c r="E60" i="3"/>
  <c r="E57" i="3"/>
  <c r="H58" i="3"/>
  <c r="E58" i="3"/>
  <c r="H57" i="3"/>
  <c r="H39" i="3"/>
  <c r="E39" i="3"/>
  <c r="E31" i="3"/>
  <c r="H31" i="3"/>
  <c r="H35" i="3"/>
  <c r="E35" i="3"/>
  <c r="H50" i="3"/>
  <c r="E52" i="3"/>
  <c r="H52" i="3"/>
  <c r="E56" i="3"/>
  <c r="H56" i="3"/>
  <c r="H53" i="3"/>
  <c r="E54" i="3"/>
  <c r="C54" i="3" s="1"/>
  <c r="H54" i="3"/>
  <c r="E53" i="3"/>
  <c r="E55" i="3"/>
  <c r="H55" i="3"/>
  <c r="H43" i="3"/>
  <c r="H25" i="3"/>
  <c r="E25" i="3"/>
  <c r="H9" i="3"/>
  <c r="E9" i="3"/>
  <c r="H44" i="3"/>
  <c r="H19" i="3"/>
  <c r="E19" i="3"/>
  <c r="E30" i="3"/>
  <c r="H30" i="3"/>
  <c r="G9" i="36"/>
  <c r="M8" i="3" s="1"/>
  <c r="H47" i="3"/>
  <c r="H38" i="3"/>
  <c r="E38" i="3"/>
  <c r="E51" i="3"/>
  <c r="H51" i="3"/>
  <c r="H27" i="3"/>
  <c r="E27" i="3"/>
  <c r="E22" i="3"/>
  <c r="H22" i="3"/>
  <c r="H49" i="3"/>
  <c r="H17" i="3"/>
  <c r="E17" i="3"/>
  <c r="C17" i="3" s="1"/>
  <c r="H46" i="3"/>
  <c r="H34" i="3"/>
  <c r="E34" i="3"/>
  <c r="H33" i="3"/>
  <c r="E33" i="3"/>
  <c r="C33" i="3" s="1"/>
  <c r="E10" i="3"/>
  <c r="H10" i="3"/>
  <c r="E14" i="3"/>
  <c r="H14" i="3"/>
  <c r="H29" i="3"/>
  <c r="E29" i="3"/>
  <c r="E37" i="3"/>
  <c r="H37" i="3"/>
  <c r="E28" i="3"/>
  <c r="H28" i="3"/>
  <c r="H16" i="3"/>
  <c r="E16" i="3"/>
  <c r="H48" i="3"/>
  <c r="H23" i="3"/>
  <c r="E23" i="3"/>
  <c r="H45" i="3"/>
  <c r="E15" i="3"/>
  <c r="H15" i="3"/>
  <c r="H41" i="3"/>
  <c r="E41" i="3"/>
  <c r="H32" i="3"/>
  <c r="E32" i="3"/>
  <c r="H26" i="3"/>
  <c r="E26" i="3"/>
  <c r="E21" i="3"/>
  <c r="H21" i="3"/>
  <c r="E11" i="3"/>
  <c r="H11" i="3"/>
  <c r="H20" i="3"/>
  <c r="E20" i="3"/>
  <c r="H40" i="3"/>
  <c r="E40" i="3"/>
  <c r="E36" i="3"/>
  <c r="H36" i="3"/>
  <c r="H18" i="3"/>
  <c r="E18" i="3"/>
  <c r="H12" i="3"/>
  <c r="E12" i="3"/>
  <c r="E42" i="3"/>
  <c r="H42" i="3"/>
  <c r="K9" i="36"/>
  <c r="C24" i="3" l="1"/>
  <c r="C59" i="3"/>
  <c r="C30" i="3"/>
  <c r="C56" i="3"/>
  <c r="C18" i="3"/>
  <c r="E55" i="2" s="1"/>
  <c r="C41" i="3"/>
  <c r="C16" i="3"/>
  <c r="E53" i="2" s="1"/>
  <c r="C19" i="3"/>
  <c r="E56" i="2" s="1"/>
  <c r="C36" i="3"/>
  <c r="E73" i="2" s="1"/>
  <c r="C21" i="3"/>
  <c r="E58" i="2" s="1"/>
  <c r="C15" i="3"/>
  <c r="E52" i="2" s="1"/>
  <c r="C28" i="3"/>
  <c r="C10" i="3"/>
  <c r="E47" i="2" s="1"/>
  <c r="C40" i="3"/>
  <c r="C26" i="3"/>
  <c r="C57" i="3"/>
  <c r="C23" i="3"/>
  <c r="E60" i="2" s="1"/>
  <c r="C25" i="3"/>
  <c r="C60" i="3"/>
  <c r="C42" i="3"/>
  <c r="C11" i="3"/>
  <c r="E48" i="2" s="1"/>
  <c r="C14" i="3"/>
  <c r="E51" i="2" s="1"/>
  <c r="C12" i="3"/>
  <c r="E49" i="2" s="1"/>
  <c r="C20" i="3"/>
  <c r="E57" i="2" s="1"/>
  <c r="C32" i="3"/>
  <c r="C29" i="3"/>
  <c r="C34" i="3"/>
  <c r="C27" i="3"/>
  <c r="C38" i="3"/>
  <c r="C53" i="3"/>
  <c r="C31" i="3"/>
  <c r="C58" i="3"/>
  <c r="C44" i="3"/>
  <c r="C49" i="3"/>
  <c r="C9" i="3"/>
  <c r="E46" i="2" s="1"/>
  <c r="C35" i="3"/>
  <c r="C39" i="3"/>
  <c r="C46" i="3"/>
  <c r="C50" i="3"/>
  <c r="C48" i="3"/>
  <c r="C45" i="3"/>
  <c r="C37" i="3"/>
  <c r="C22" i="3"/>
  <c r="C51" i="3"/>
  <c r="C55" i="3"/>
  <c r="C52" i="3"/>
  <c r="C47" i="3"/>
  <c r="C43" i="3"/>
  <c r="E50" i="2"/>
  <c r="E54" i="2"/>
  <c r="E8" i="3"/>
  <c r="H8" i="3"/>
  <c r="C8" i="3" l="1"/>
  <c r="E23" i="2" s="1"/>
  <c r="E36" i="2" s="1"/>
  <c r="E70" i="2"/>
  <c r="E77" i="2"/>
  <c r="E71" i="2"/>
  <c r="E75" i="2"/>
  <c r="E78" i="2"/>
  <c r="E96" i="2"/>
  <c r="E83" i="2"/>
  <c r="E72" i="2"/>
  <c r="E69" i="2"/>
  <c r="E76" i="2"/>
  <c r="E79" i="2"/>
  <c r="E81" i="2"/>
  <c r="E74" i="2"/>
  <c r="E80" i="2"/>
  <c r="E95" i="2" l="1"/>
  <c r="E97" i="2"/>
  <c r="E92" i="2"/>
  <c r="E94" i="2"/>
  <c r="E93" i="2"/>
  <c r="E38" i="2"/>
  <c r="E45" i="2" l="1"/>
  <c r="E59" i="2"/>
  <c r="E43" i="2"/>
  <c r="E68" i="2"/>
  <c r="E40" i="2"/>
  <c r="E44" i="2"/>
  <c r="E39" i="2"/>
  <c r="E61" i="2"/>
  <c r="E41" i="2"/>
  <c r="E42" i="2"/>
  <c r="G177" i="2" l="1"/>
  <c r="I177" i="2" s="1"/>
  <c r="E107" i="2"/>
  <c r="G187" i="2" s="1"/>
  <c r="I187" i="2" s="1"/>
  <c r="E66" i="2"/>
  <c r="E84" i="2"/>
  <c r="E136" i="2" s="1"/>
  <c r="G216" i="2" s="1"/>
  <c r="I216" i="2" s="1"/>
  <c r="E82" i="2"/>
  <c r="E91" i="2"/>
  <c r="E143" i="2" s="1"/>
  <c r="G223" i="2" s="1"/>
  <c r="I223" i="2" s="1"/>
  <c r="E102" i="2"/>
  <c r="G182" i="2" s="1"/>
  <c r="I182" i="2" s="1"/>
  <c r="E109" i="2"/>
  <c r="G189" i="2" s="1"/>
  <c r="I189" i="2" s="1"/>
  <c r="E135" i="2"/>
  <c r="G215" i="2" s="1"/>
  <c r="I215" i="2" s="1"/>
  <c r="G176" i="2"/>
  <c r="I176" i="2" s="1"/>
  <c r="E132" i="2"/>
  <c r="G212" i="2" s="1"/>
  <c r="I212" i="2" s="1"/>
  <c r="E99" i="2"/>
  <c r="G179" i="2" s="1"/>
  <c r="I179" i="2" s="1"/>
  <c r="E126" i="2"/>
  <c r="G206" i="2" s="1"/>
  <c r="I206" i="2" s="1"/>
  <c r="E148" i="2"/>
  <c r="G228" i="2" s="1"/>
  <c r="I228" i="2" s="1"/>
  <c r="E145" i="2"/>
  <c r="G225" i="2" s="1"/>
  <c r="I225" i="2" s="1"/>
  <c r="E149" i="2"/>
  <c r="G229" i="2" s="1"/>
  <c r="I229" i="2" s="1"/>
  <c r="E146" i="2"/>
  <c r="G226" i="2" s="1"/>
  <c r="I226" i="2" s="1"/>
  <c r="E147" i="2"/>
  <c r="G227" i="2" s="1"/>
  <c r="I227" i="2" s="1"/>
  <c r="E110" i="2"/>
  <c r="G190" i="2" s="1"/>
  <c r="I190" i="2" s="1"/>
  <c r="E101" i="2"/>
  <c r="G181" i="2" s="1"/>
  <c r="I181" i="2" s="1"/>
  <c r="E131" i="2"/>
  <c r="G211" i="2" s="1"/>
  <c r="I211" i="2" s="1"/>
  <c r="E129" i="2"/>
  <c r="G209" i="2" s="1"/>
  <c r="I209" i="2" s="1"/>
  <c r="E130" i="2"/>
  <c r="G210" i="2" s="1"/>
  <c r="I210" i="2" s="1"/>
  <c r="E144" i="2"/>
  <c r="G224" i="2" s="1"/>
  <c r="I224" i="2" s="1"/>
  <c r="E103" i="2"/>
  <c r="G183" i="2" s="1"/>
  <c r="I183" i="2" s="1"/>
  <c r="E123" i="2"/>
  <c r="G203" i="2" s="1"/>
  <c r="I203" i="2" s="1"/>
  <c r="E98" i="2"/>
  <c r="G178" i="2" s="1"/>
  <c r="I178" i="2" s="1"/>
  <c r="E104" i="2"/>
  <c r="G184" i="2" s="1"/>
  <c r="I184" i="2" s="1"/>
  <c r="E100" i="2"/>
  <c r="G180" i="2" s="1"/>
  <c r="I180" i="2" s="1"/>
  <c r="E121" i="2"/>
  <c r="G201" i="2" s="1"/>
  <c r="I201" i="2" s="1"/>
  <c r="E122" i="2"/>
  <c r="G202" i="2" s="1"/>
  <c r="I202" i="2" s="1"/>
  <c r="E112" i="2"/>
  <c r="G192" i="2" s="1"/>
  <c r="I192" i="2" s="1"/>
  <c r="E128" i="2"/>
  <c r="G208" i="2" s="1"/>
  <c r="I208" i="2" s="1"/>
  <c r="E133" i="2"/>
  <c r="G213" i="2" s="1"/>
  <c r="I213" i="2" s="1"/>
  <c r="E120" i="2"/>
  <c r="G200" i="2" s="1"/>
  <c r="I200" i="2" s="1"/>
  <c r="E125" i="2"/>
  <c r="G205" i="2" s="1"/>
  <c r="I205" i="2" s="1"/>
  <c r="E113" i="2"/>
  <c r="G193" i="2" s="1"/>
  <c r="I193" i="2" s="1"/>
  <c r="E105" i="2"/>
  <c r="G185" i="2" s="1"/>
  <c r="I185" i="2" s="1"/>
  <c r="E124" i="2"/>
  <c r="G204" i="2" s="1"/>
  <c r="I204" i="2" s="1"/>
  <c r="E127" i="2"/>
  <c r="G207" i="2" s="1"/>
  <c r="I207" i="2" s="1"/>
  <c r="E106" i="2"/>
  <c r="G186" i="2" s="1"/>
  <c r="I186" i="2" s="1"/>
  <c r="E111" i="2"/>
  <c r="G191" i="2" s="1"/>
  <c r="I191" i="2" s="1"/>
  <c r="E108" i="2"/>
  <c r="G188" i="2" s="1"/>
  <c r="I188" i="2" s="1"/>
  <c r="E67" i="2"/>
  <c r="G175" i="2"/>
  <c r="I175" i="2" s="1"/>
  <c r="E65" i="2"/>
  <c r="G174" i="2"/>
  <c r="I174" i="2" s="1"/>
  <c r="E64" i="2"/>
  <c r="G172" i="2"/>
  <c r="I172" i="2" s="1"/>
  <c r="E62" i="2"/>
  <c r="G173" i="2"/>
  <c r="I173" i="2" s="1"/>
  <c r="E63" i="2"/>
  <c r="E118" i="2" l="1"/>
  <c r="G198" i="2" s="1"/>
  <c r="I198" i="2" s="1"/>
  <c r="E88" i="2"/>
  <c r="E89" i="2"/>
  <c r="E86" i="2"/>
  <c r="E134" i="2"/>
  <c r="G214" i="2" s="1"/>
  <c r="I214" i="2" s="1"/>
  <c r="E117" i="2"/>
  <c r="G197" i="2" s="1"/>
  <c r="I197" i="2" s="1"/>
  <c r="E87" i="2"/>
  <c r="E116" i="2"/>
  <c r="G196" i="2" s="1"/>
  <c r="I196" i="2" s="1"/>
  <c r="E90" i="2"/>
  <c r="E119" i="2"/>
  <c r="G199" i="2" s="1"/>
  <c r="I199" i="2" s="1"/>
  <c r="E115" i="2"/>
  <c r="G195" i="2" s="1"/>
  <c r="I195" i="2" s="1"/>
  <c r="E85" i="2"/>
  <c r="E114" i="2"/>
  <c r="G194" i="2" s="1"/>
  <c r="I194" i="2" s="1"/>
  <c r="E140" i="2" l="1"/>
  <c r="G220" i="2" s="1"/>
  <c r="I220" i="2" s="1"/>
  <c r="E138" i="2"/>
  <c r="G218" i="2" s="1"/>
  <c r="I218" i="2" s="1"/>
  <c r="E141" i="2"/>
  <c r="G221" i="2" s="1"/>
  <c r="I221" i="2" s="1"/>
  <c r="E139" i="2"/>
  <c r="G219" i="2" s="1"/>
  <c r="I219" i="2" s="1"/>
  <c r="E137" i="2"/>
  <c r="G217" i="2" s="1"/>
  <c r="I217" i="2" s="1"/>
  <c r="E142" i="2"/>
  <c r="G222" i="2" s="1"/>
  <c r="I222" i="2" s="1"/>
</calcChain>
</file>

<file path=xl/comments1.xml><?xml version="1.0" encoding="utf-8"?>
<comments xmlns="http://schemas.openxmlformats.org/spreadsheetml/2006/main">
  <authors>
    <author>Christopher D. Jones</author>
  </authors>
  <commentList>
    <comment ref="D12" authorId="0" shapeId="0">
      <text>
        <r>
          <rPr>
            <b/>
            <sz val="9"/>
            <color indexed="81"/>
            <rFont val="Tahoma"/>
            <family val="2"/>
          </rPr>
          <t>Christopher D. Jones:</t>
        </r>
        <r>
          <rPr>
            <sz val="9"/>
            <color indexed="81"/>
            <rFont val="Tahoma"/>
            <family val="2"/>
          </rPr>
          <t xml:space="preserve">
Not sure</t>
        </r>
      </text>
    </comment>
  </commentList>
</comments>
</file>

<file path=xl/sharedStrings.xml><?xml version="1.0" encoding="utf-8"?>
<sst xmlns="http://schemas.openxmlformats.org/spreadsheetml/2006/main" count="33328" uniqueCount="836">
  <si>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</si>
  <si>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</si>
  <si>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</si>
  <si>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</si>
  <si>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</si>
  <si>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</si>
  <si>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</si>
  <si>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</si>
  <si>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</si>
  <si>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</si>
  <si>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</si>
  <si>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</si>
  <si>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</si>
  <si>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</si>
  <si>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</si>
  <si>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</si>
  <si>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</si>
  <si>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</si>
  <si>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</si>
  <si>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</si>
  <si>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</si>
  <si>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</si>
  <si>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</si>
  <si>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</si>
  <si>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</si>
  <si>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</si>
  <si>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</si>
  <si>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</si>
  <si>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</si>
  <si>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</si>
  <si>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</si>
  <si>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</si>
  <si>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</si>
  <si>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</si>
  <si>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</si>
  <si>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</si>
  <si>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</si>
  <si>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</si>
  <si>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</si>
  <si>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</si>
  <si>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</si>
  <si>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</si>
  <si>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</si>
  <si>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</si>
  <si>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</si>
  <si>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</si>
  <si>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</si>
  <si>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</si>
  <si>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</si>
  <si>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</si>
  <si>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</si>
  <si>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</si>
  <si>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</si>
  <si>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</si>
  <si>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</si>
  <si>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</si>
  <si>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</si>
  <si>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</si>
  <si>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</si>
  <si>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</si>
  <si>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</si>
  <si>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</si>
  <si>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</si>
  <si>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</si>
  <si>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</si>
  <si>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</si>
  <si>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</si>
  <si>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</si>
  <si>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</si>
  <si>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</si>
  <si>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</si>
  <si>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</si>
  <si>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</si>
  <si>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</si>
  <si>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</si>
  <si>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</si>
  <si>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</si>
  <si>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</si>
  <si>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</si>
  <si>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</si>
  <si>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</si>
  <si>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</si>
  <si>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</si>
  <si>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</si>
  <si>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</si>
  <si>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</si>
  <si>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</si>
  <si>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</si>
  <si>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</si>
  <si>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</si>
  <si>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</si>
  <si>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</si>
  <si>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</si>
  <si>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</si>
  <si>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</si>
  <si>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</si>
  <si>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</si>
  <si>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</si>
  <si>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</si>
  <si>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</si>
  <si>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</si>
  <si>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</si>
  <si>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</si>
  <si>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</si>
  <si>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</si>
  <si>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</si>
  <si>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</si>
  <si>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</si>
  <si>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</si>
  <si>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</si>
  <si>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</si>
  <si>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</si>
  <si>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</si>
  <si>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</si>
  <si>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</si>
  <si>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</si>
  <si>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</si>
  <si>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</si>
  <si>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</si>
  <si>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</si>
  <si>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</si>
  <si>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</si>
  <si>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</si>
  <si>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</si>
  <si>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</si>
  <si>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</si>
  <si>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</si>
  <si>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</si>
  <si>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</si>
  <si>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</si>
  <si>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</si>
  <si>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</si>
  <si>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</si>
  <si>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</si>
  <si>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</si>
  <si>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</si>
  <si>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</si>
  <si>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</si>
  <si>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</si>
  <si>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</si>
  <si>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</si>
  <si>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</si>
  <si>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</si>
  <si>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</si>
  <si>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</si>
  <si>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</si>
  <si>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</si>
  <si>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</si>
  <si>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</si>
  <si>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</si>
  <si>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</si>
  <si>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</si>
  <si>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</si>
  <si>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</si>
  <si>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</si>
  <si>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</si>
  <si>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</si>
  <si>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</si>
  <si>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</si>
  <si>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</si>
  <si>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</si>
  <si>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</si>
  <si>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</si>
  <si>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</si>
  <si>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</si>
  <si>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</si>
  <si>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</si>
  <si>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</si>
  <si>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</si>
  <si>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</si>
  <si>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</si>
  <si>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</si>
  <si>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</si>
  <si>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</si>
  <si>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</si>
  <si>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</si>
  <si>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</si>
  <si>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</si>
  <si>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</si>
  <si>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</si>
  <si>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</si>
  <si>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</si>
  <si>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</si>
  <si>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</si>
  <si>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</si>
  <si>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</si>
  <si>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</si>
  <si>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</si>
  <si>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</si>
  <si>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</si>
  <si>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</si>
  <si>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</si>
  <si>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</si>
  <si>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</si>
  <si>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</si>
  <si>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</si>
  <si>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</si>
  <si>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</si>
  <si>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</si>
  <si>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</si>
  <si>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</si>
  <si>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</si>
  <si>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</si>
  <si>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</si>
  <si>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</si>
  <si>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</si>
  <si>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</si>
  <si>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</si>
  <si>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</si>
  <si>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</si>
  <si>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</si>
  <si>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</si>
  <si>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</si>
  <si>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</si>
  <si>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</si>
  <si>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</si>
  <si>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</si>
  <si>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</si>
  <si>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</si>
  <si>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</si>
  <si>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</si>
  <si>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</si>
  <si>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Assumption #</t>
  </si>
  <si>
    <t>USA</t>
  </si>
  <si>
    <t>N/A</t>
  </si>
  <si>
    <t>No</t>
  </si>
  <si>
    <t>GAS_PROFILE.NAME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</si>
  <si>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</si>
  <si>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</si>
  <si>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</si>
  <si>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</si>
  <si>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</si>
  <si>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</si>
  <si>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</si>
  <si>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</si>
  <si>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</si>
  <si>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</si>
  <si>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</si>
  <si>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</si>
  <si>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</si>
  <si>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</si>
  <si>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</si>
  <si>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</si>
  <si>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</si>
  <si>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</si>
  <si>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SPECIES_ID</t>
  </si>
  <si>
    <t>WEIGHT_PER</t>
  </si>
  <si>
    <t>UNCERTAINT</t>
  </si>
  <si>
    <t>UNC_METHOD</t>
  </si>
  <si>
    <t>ANLYMETHOD</t>
  </si>
  <si>
    <t>CAS</t>
  </si>
  <si>
    <t>EPAID</t>
  </si>
  <si>
    <t>SAROAD</t>
  </si>
  <si>
    <t>PAMS</t>
  </si>
  <si>
    <t>HAPS</t>
  </si>
  <si>
    <t>SPECIES_PROPERTIES.NAME</t>
  </si>
  <si>
    <t>SYMBOL</t>
  </si>
  <si>
    <t>SPEC_MW</t>
  </si>
  <si>
    <t>NonVOCTOG</t>
  </si>
  <si>
    <t>DOCUMENT</t>
  </si>
  <si>
    <t>Uncontrolled</t>
  </si>
  <si>
    <t>Not Available</t>
  </si>
  <si>
    <t>71-43-2</t>
  </si>
  <si>
    <t>Benzene</t>
  </si>
  <si>
    <t>BENZE</t>
  </si>
  <si>
    <t>74-84-0</t>
  </si>
  <si>
    <t>Ethane</t>
  </si>
  <si>
    <t>ETHANE</t>
  </si>
  <si>
    <t>75-28-5</t>
  </si>
  <si>
    <t>Isobutane</t>
  </si>
  <si>
    <t>I_BUTA</t>
  </si>
  <si>
    <t>74-82-8</t>
  </si>
  <si>
    <t>Methane</t>
  </si>
  <si>
    <t>106-97-8</t>
  </si>
  <si>
    <t>N-butane</t>
  </si>
  <si>
    <t>N_BUTA</t>
  </si>
  <si>
    <t>142-82-5</t>
  </si>
  <si>
    <t>N-heptane</t>
  </si>
  <si>
    <t>N_HEPT</t>
  </si>
  <si>
    <t>110-54-3</t>
  </si>
  <si>
    <t>N-hexane</t>
  </si>
  <si>
    <t>N_HEX</t>
  </si>
  <si>
    <t>111-65-9</t>
  </si>
  <si>
    <t>N-octane</t>
  </si>
  <si>
    <t>N_OCT</t>
  </si>
  <si>
    <t>109-66-0</t>
  </si>
  <si>
    <t>N-pentane</t>
  </si>
  <si>
    <t>N_PENT</t>
  </si>
  <si>
    <t>74-98-6</t>
  </si>
  <si>
    <t>Propane</t>
  </si>
  <si>
    <t>N_PROP</t>
  </si>
  <si>
    <t>C-7 Cycloparaffinss</t>
  </si>
  <si>
    <t>C-8 Cycloparaffins</t>
  </si>
  <si>
    <t>Isomers of pentane</t>
  </si>
  <si>
    <t>108-88-3</t>
  </si>
  <si>
    <t>Toluene</t>
  </si>
  <si>
    <t>TOLUE</t>
  </si>
  <si>
    <t>540-84-1</t>
  </si>
  <si>
    <t>2,2,4-trimethylpentane</t>
  </si>
  <si>
    <t>PA224M</t>
  </si>
  <si>
    <t xml:space="preserve">Viswanath, R.S. and J.H. Van Sandt.  Oil Field Emissions of Volatile Organic  Compounds.  EPA-450/2-89-007.  Office of Air Quality Planning and Standards,  U. S. Environmental Protection Agency, Research Triangle Park, North Carolina.  April 1989. </t>
  </si>
  <si>
    <t>75-83-2</t>
  </si>
  <si>
    <t>2,2-dimethylbutane</t>
  </si>
  <si>
    <t>BU22DM</t>
  </si>
  <si>
    <t>79-29-8</t>
  </si>
  <si>
    <t>2,3-dimethylbutane</t>
  </si>
  <si>
    <t>BU23DM</t>
  </si>
  <si>
    <t>565-59-3</t>
  </si>
  <si>
    <t>2,3-dimethylpentane</t>
  </si>
  <si>
    <t>PEN23M</t>
  </si>
  <si>
    <t>108-08-7</t>
  </si>
  <si>
    <t>2,4-dimethylpentane</t>
  </si>
  <si>
    <t>PEN24M</t>
  </si>
  <si>
    <t>592-27-8</t>
  </si>
  <si>
    <t>2-methylheptane</t>
  </si>
  <si>
    <t>HEP2ME</t>
  </si>
  <si>
    <t>591-76-4</t>
  </si>
  <si>
    <t>2-methylhexane</t>
  </si>
  <si>
    <t>HEXA2M</t>
  </si>
  <si>
    <t>107-83-5</t>
  </si>
  <si>
    <t>2-methylpentane (isohexane)</t>
  </si>
  <si>
    <t>PENA2M</t>
  </si>
  <si>
    <t>589-81-1</t>
  </si>
  <si>
    <t>3-methylheptane</t>
  </si>
  <si>
    <t>HEP3ME</t>
  </si>
  <si>
    <t>589-34-4</t>
  </si>
  <si>
    <t>3-methylhexane</t>
  </si>
  <si>
    <t>HEXA3M</t>
  </si>
  <si>
    <t>96-14-0</t>
  </si>
  <si>
    <t>3-methylpentane</t>
  </si>
  <si>
    <t>PENA3M</t>
  </si>
  <si>
    <t>110-82-7</t>
  </si>
  <si>
    <t>Cyclohexane</t>
  </si>
  <si>
    <t>CYHEXA</t>
  </si>
  <si>
    <t>287-92-3</t>
  </si>
  <si>
    <t>Cyclopentane</t>
  </si>
  <si>
    <t>CPENTA</t>
  </si>
  <si>
    <t>100-41-4</t>
  </si>
  <si>
    <t>Ethylbenzene</t>
  </si>
  <si>
    <t>ETBZ</t>
  </si>
  <si>
    <t>1678-91-7</t>
  </si>
  <si>
    <t>Ethylcyclohexane</t>
  </si>
  <si>
    <t>78-78-4</t>
  </si>
  <si>
    <t>Isopentane (2-Methylbutane)</t>
  </si>
  <si>
    <t>IPENTA</t>
  </si>
  <si>
    <t>108-38-3; 106-42-3</t>
  </si>
  <si>
    <t>M &amp; p-xylene</t>
  </si>
  <si>
    <t>MP_X</t>
  </si>
  <si>
    <t>108-87-2</t>
  </si>
  <si>
    <t>Methylcyclohexane</t>
  </si>
  <si>
    <t>MECYHX</t>
  </si>
  <si>
    <t>96-37-7</t>
  </si>
  <si>
    <t>Methylcyclopentane</t>
  </si>
  <si>
    <t>MCYPNA</t>
  </si>
  <si>
    <t>95-47-6</t>
  </si>
  <si>
    <t>O-xylene</t>
  </si>
  <si>
    <t>O_XYL</t>
  </si>
  <si>
    <t>Undefined VOC</t>
  </si>
  <si>
    <t>S999</t>
  </si>
  <si>
    <t>95-63-6</t>
  </si>
  <si>
    <t>1,2,4-trimethylbenzene  (1,3,4-trimethylbenzene)</t>
  </si>
  <si>
    <t>BZ124M</t>
  </si>
  <si>
    <t>98-82-8</t>
  </si>
  <si>
    <t>Isopropylbenzene (cumene)</t>
  </si>
  <si>
    <t>IPRBZ</t>
  </si>
  <si>
    <t>Propylene</t>
  </si>
  <si>
    <t>dimetbut</t>
  </si>
  <si>
    <t>ethane</t>
  </si>
  <si>
    <t>isobut</t>
  </si>
  <si>
    <t>xylene</t>
  </si>
  <si>
    <t>methane</t>
  </si>
  <si>
    <t>propane</t>
  </si>
  <si>
    <t>toluene</t>
  </si>
  <si>
    <t>45201</t>
  </si>
  <si>
    <t>43202</t>
  </si>
  <si>
    <t>43214</t>
  </si>
  <si>
    <t>43201</t>
  </si>
  <si>
    <t>43212</t>
  </si>
  <si>
    <t>43232</t>
  </si>
  <si>
    <t>43231</t>
  </si>
  <si>
    <t>43233</t>
  </si>
  <si>
    <t>43220</t>
  </si>
  <si>
    <t>43204</t>
  </si>
  <si>
    <t>45202</t>
  </si>
  <si>
    <t>43291</t>
  </si>
  <si>
    <t>43274</t>
  </si>
  <si>
    <t>43271</t>
  </si>
  <si>
    <t>98140</t>
  </si>
  <si>
    <t>43275</t>
  </si>
  <si>
    <t>43229</t>
  </si>
  <si>
    <t>43295</t>
  </si>
  <si>
    <t>43230</t>
  </si>
  <si>
    <t>43248</t>
  </si>
  <si>
    <t>43242</t>
  </si>
  <si>
    <t>45203</t>
  </si>
  <si>
    <t>98132</t>
  </si>
  <si>
    <t>43261</t>
  </si>
  <si>
    <t>43262</t>
  </si>
  <si>
    <t>45204</t>
  </si>
  <si>
    <t>98043</t>
  </si>
  <si>
    <t>108-67-8</t>
  </si>
  <si>
    <t>45207</t>
  </si>
  <si>
    <t>1,3,5-trimethylbenzene</t>
  </si>
  <si>
    <t>BZ135M</t>
  </si>
  <si>
    <t>565-75-3</t>
  </si>
  <si>
    <t>43279</t>
  </si>
  <si>
    <t>2,3,4-trimethylpentane</t>
  </si>
  <si>
    <t>PA234M</t>
  </si>
  <si>
    <t>611-14-3</t>
  </si>
  <si>
    <t>1-Methyl-2-ethylbenzene</t>
  </si>
  <si>
    <t>O_ETOL</t>
  </si>
  <si>
    <t>620-14-4</t>
  </si>
  <si>
    <t>1-Methyl-3-ethylbenzene (3-Ethyltoluene)</t>
  </si>
  <si>
    <t>M_ETOL</t>
  </si>
  <si>
    <t>124-18-5</t>
  </si>
  <si>
    <t>N-decane</t>
  </si>
  <si>
    <t>N_DEC</t>
  </si>
  <si>
    <t>111-84-2</t>
  </si>
  <si>
    <t>N-nonane</t>
  </si>
  <si>
    <t>N_NON</t>
  </si>
  <si>
    <t>103-65-1</t>
  </si>
  <si>
    <t>N-propylbenzene</t>
  </si>
  <si>
    <t>N_PRBZ</t>
  </si>
  <si>
    <t>98-06-6</t>
  </si>
  <si>
    <t>T-butylbenzene</t>
  </si>
  <si>
    <t>538-93-2</t>
  </si>
  <si>
    <t>(2-methylpropyl)benzene; isobutylbenzene</t>
  </si>
  <si>
    <t>589-43-5</t>
  </si>
  <si>
    <t>2,4-dimethylhexane</t>
  </si>
  <si>
    <t>HEX24M</t>
  </si>
  <si>
    <t>1120-21-4</t>
  </si>
  <si>
    <t>N-undecane</t>
  </si>
  <si>
    <t>N_UNDE</t>
  </si>
  <si>
    <t>106-42-3</t>
  </si>
  <si>
    <t>P-xylene</t>
  </si>
  <si>
    <t>P_XYL</t>
  </si>
  <si>
    <t>108-38-3</t>
  </si>
  <si>
    <t>M-xylene</t>
  </si>
  <si>
    <t>M_XYL</t>
  </si>
  <si>
    <t>619-99-8</t>
  </si>
  <si>
    <t>3-ethylhexane</t>
  </si>
  <si>
    <t>463-82-1</t>
  </si>
  <si>
    <t>2,2-dimethylpropane</t>
  </si>
  <si>
    <t>584-94-1</t>
  </si>
  <si>
    <t>2,3-dimethylhexane</t>
  </si>
  <si>
    <t>TOG</t>
  </si>
  <si>
    <t>C</t>
  </si>
  <si>
    <t>California</t>
  </si>
  <si>
    <t>D</t>
  </si>
  <si>
    <t>GC-MS</t>
  </si>
  <si>
    <t>99915</t>
  </si>
  <si>
    <t>99912</t>
  </si>
  <si>
    <t>43238</t>
  </si>
  <si>
    <t>43235</t>
  </si>
  <si>
    <t>45209</t>
  </si>
  <si>
    <t>45215</t>
  </si>
  <si>
    <t>45235</t>
  </si>
  <si>
    <t>43277</t>
  </si>
  <si>
    <t>43241</t>
  </si>
  <si>
    <t>45206</t>
  </si>
  <si>
    <t>45205</t>
  </si>
  <si>
    <t>91039</t>
  </si>
  <si>
    <t>98130</t>
  </si>
  <si>
    <t>98139</t>
  </si>
  <si>
    <t>99109</t>
  </si>
  <si>
    <t>99104</t>
  </si>
  <si>
    <t>99110</t>
  </si>
  <si>
    <t>99111</t>
  </si>
  <si>
    <t>C-11 Compounds</t>
  </si>
  <si>
    <t>S647</t>
  </si>
  <si>
    <t>None</t>
  </si>
  <si>
    <t>trimentpen3</t>
  </si>
  <si>
    <t>trimetpen2</t>
  </si>
  <si>
    <t>dimetpen3</t>
  </si>
  <si>
    <t>dimetpen4</t>
  </si>
  <si>
    <t>benzene</t>
  </si>
  <si>
    <t>c11_comp</t>
  </si>
  <si>
    <t>ethyl_benz</t>
  </si>
  <si>
    <t>isopentane</t>
  </si>
  <si>
    <t>methcychex</t>
  </si>
  <si>
    <t>methcycpen</t>
  </si>
  <si>
    <t>N_but</t>
  </si>
  <si>
    <t>N_dec</t>
  </si>
  <si>
    <t>N_hep</t>
  </si>
  <si>
    <t>N_hex</t>
  </si>
  <si>
    <t>N_nonane</t>
  </si>
  <si>
    <t>N_octane</t>
  </si>
  <si>
    <t>N_pentane</t>
  </si>
  <si>
    <t>O_xylene</t>
  </si>
  <si>
    <t>EPA</t>
  </si>
  <si>
    <t>Washington, D.C.</t>
  </si>
  <si>
    <t>Environmental Protection Agency</t>
  </si>
  <si>
    <t>http://www.epa.gov/ttn/chief/software/speciate/index.html#documentation</t>
  </si>
  <si>
    <t>SPECIATE Version 4.3</t>
  </si>
  <si>
    <t>2011</t>
  </si>
  <si>
    <t>GaBi 5 Import</t>
  </si>
  <si>
    <t>Data Summary page formatted for importation into the GaBi 5</t>
  </si>
  <si>
    <t>isompentane</t>
  </si>
  <si>
    <t>twomethex</t>
  </si>
  <si>
    <t>twometpen</t>
  </si>
  <si>
    <t>threemethex</t>
  </si>
  <si>
    <t>threemetpen</t>
  </si>
  <si>
    <t>1,2,4-Trimethylbenzene [Group NMVOC to air]</t>
  </si>
  <si>
    <t>2,2,4-Trimethylpentane [Group NMVOC to air]</t>
  </si>
  <si>
    <t>2,3,4-Trimethylpentane [Group NMVOC to air]</t>
  </si>
  <si>
    <t>2,3-Dimethylbutane [Group NMVOC to air]</t>
  </si>
  <si>
    <t>2,3 Dimethylpentane [Group NMVOC to air]</t>
  </si>
  <si>
    <t>2,4-Dimethylpentane [Group NMVOC to air]</t>
  </si>
  <si>
    <t>2-Methylhexane [Group NMVOC to air]</t>
  </si>
  <si>
    <t>2-Methylpentane [Group NMVOC to air]</t>
  </si>
  <si>
    <t>3-Methylhexane [Group NMVOC to air]</t>
  </si>
  <si>
    <t>3-Methylpentane [Group NMVOC to air]</t>
  </si>
  <si>
    <t>Ethane [Group NMVOC to air]</t>
  </si>
  <si>
    <t>iso-Butane [Group NMVOC to air]</t>
  </si>
  <si>
    <t>iso-Pentane [Group NMVOC to air]</t>
  </si>
  <si>
    <t>Xylene (dimethyl benzene) [Group NMVOC to air]</t>
  </si>
  <si>
    <t>Methane [Organic emissions to air (group VOC)]</t>
  </si>
  <si>
    <t>Methyl cyclopentane [Group NMVOC to air]</t>
  </si>
  <si>
    <t>m-Xylene [unspecified]</t>
  </si>
  <si>
    <t>Butane (n-butane) [Group NMVOC to air]</t>
  </si>
  <si>
    <t>Decane [Group NMVOC to air]</t>
  </si>
  <si>
    <t>Nonane [Group NMVOC to air]</t>
  </si>
  <si>
    <t>Pentane (n-pentane) [Group NMVOC to air]</t>
  </si>
  <si>
    <t>o-Xylene [unspecified]</t>
  </si>
  <si>
    <t>Propane [Group NMVOC to air]</t>
  </si>
  <si>
    <t>Toluene (methyl benzene) [Group NMVOC to air]</t>
  </si>
  <si>
    <t>Ethyl benzene [Group NMVOC to air]</t>
  </si>
  <si>
    <t>Benzene [Group NMVOC to air]</t>
  </si>
  <si>
    <t>Methyl cyclohexane [Group NMVOC to air]</t>
  </si>
  <si>
    <t>EPA. (2011). SPECIATE Version 4.3. In Environmental Protection Agency (Ed.). Washington, D.C. Retrieved, from http://www.epa.gov/ttn/chief/software/speciate/index.html#documentation</t>
  </si>
  <si>
    <t>kg/kg</t>
  </si>
  <si>
    <t/>
  </si>
  <si>
    <t>Representative mix of samples was designed to group numerous components into systems of varying complexity and function.  Within each system, the nature of fugitive emissions from various components is considered identical or very similar.  For example, t</t>
  </si>
  <si>
    <t>4.4</t>
  </si>
  <si>
    <t>A. Censullo, California Polytechic State University, San Luis Obispo, "Development of Species Profiles for Selected Organic Emission Sources; Volume I: Oil Field Fugitive Emissions", ARB Contract A832-059, April 30, 1991.</t>
  </si>
  <si>
    <t>C-10 Compounds</t>
  </si>
  <si>
    <t>S646</t>
  </si>
  <si>
    <t>99105</t>
  </si>
  <si>
    <t>C-5 Compounds</t>
  </si>
  <si>
    <t>S641</t>
  </si>
  <si>
    <t>99106</t>
  </si>
  <si>
    <t>C-6 Compounds</t>
  </si>
  <si>
    <t>S642</t>
  </si>
  <si>
    <t>99107</t>
  </si>
  <si>
    <t>C-7 Compounds</t>
  </si>
  <si>
    <t>S643</t>
  </si>
  <si>
    <t>99108</t>
  </si>
  <si>
    <t>C-8 Compounds</t>
  </si>
  <si>
    <t>S644</t>
  </si>
  <si>
    <t>C-9 Compounds</t>
  </si>
  <si>
    <t>S645</t>
  </si>
  <si>
    <t>C-4 Compounds</t>
  </si>
  <si>
    <t>S640</t>
  </si>
  <si>
    <t>dimetbut22</t>
  </si>
  <si>
    <t>methep2</t>
  </si>
  <si>
    <t>methep3</t>
  </si>
  <si>
    <t>cyclohexane</t>
  </si>
  <si>
    <t>cyclopentane</t>
  </si>
  <si>
    <t>ethcyclhex</t>
  </si>
  <si>
    <t>isopben</t>
  </si>
  <si>
    <t>propylene</t>
  </si>
  <si>
    <t>undef_VOC</t>
  </si>
  <si>
    <t>isobutben</t>
  </si>
  <si>
    <t>ethben12</t>
  </si>
  <si>
    <t>ethben13</t>
  </si>
  <si>
    <t>dimethpro</t>
  </si>
  <si>
    <t>dimethhex23</t>
  </si>
  <si>
    <t>dimethhex24</t>
  </si>
  <si>
    <t>ethylhexane</t>
  </si>
  <si>
    <t>N_proben</t>
  </si>
  <si>
    <t>T_butben</t>
  </si>
  <si>
    <t>c10_comp</t>
  </si>
  <si>
    <t>c5_comp</t>
  </si>
  <si>
    <t>c6_comp</t>
  </si>
  <si>
    <t>c7_comp</t>
  </si>
  <si>
    <t>c8_comp</t>
  </si>
  <si>
    <t>c9_comp</t>
  </si>
  <si>
    <t>Nitrogen</t>
  </si>
  <si>
    <t>Carbon Dioxide</t>
  </si>
  <si>
    <t>CO2</t>
  </si>
  <si>
    <t>nitrogen</t>
  </si>
  <si>
    <t>i_hexanes</t>
  </si>
  <si>
    <t>i_heptanes</t>
  </si>
  <si>
    <t>i_octanes</t>
  </si>
  <si>
    <t>i_nonanes</t>
  </si>
  <si>
    <t>i_decanes</t>
  </si>
  <si>
    <t>i_uncan_P</t>
  </si>
  <si>
    <t>1,3,5-Trimethylbenzene [Group NMVOC to air]</t>
  </si>
  <si>
    <t>ortho-Ethyltoluene [Group NMVOC to air]</t>
  </si>
  <si>
    <t>meta-Ethyltoluene [Group NMVOC to air]</t>
  </si>
  <si>
    <t>2,2-Dimethylbutane [Group NMVOC to air]</t>
  </si>
  <si>
    <t>2,3-Dimethylhexane [Group NMVOC to air]</t>
  </si>
  <si>
    <t>2,4-Dimethylhexane [Group NMVOC to air]</t>
  </si>
  <si>
    <t>2-Methylheptane [Group NMVOC to air]</t>
  </si>
  <si>
    <t>3-Methylheptane [Group NMVOC to air]</t>
  </si>
  <si>
    <t>Cyclohexane (hexahydro benzene) [Group NMVOC to air]</t>
  </si>
  <si>
    <t>Cyclopentane [Group NMVOC to air]</t>
  </si>
  <si>
    <t>Ethyl cyclohexane [Group NMVOC to air]</t>
  </si>
  <si>
    <t>Cumene (isopropylbenzene) [Group NMVOC to air]</t>
  </si>
  <si>
    <t>1-Propylbenzene [Group NMVOC to air]</t>
  </si>
  <si>
    <t>Xylene (para-Xylene; 1,4-Dimethylbenzene) [Group NMVOC to air]</t>
  </si>
  <si>
    <t>Propene (propylene) [Group NMVOC to air]</t>
  </si>
  <si>
    <t>NMVOC (unspecified) [Group NMVOC to air]</t>
  </si>
  <si>
    <t>M_xylene</t>
  </si>
  <si>
    <t>P_xylene</t>
  </si>
  <si>
    <t>Cleanup Venting</t>
  </si>
  <si>
    <t>Active Well &amp; Cellar</t>
  </si>
  <si>
    <t>Compressor</t>
  </si>
  <si>
    <t>Dehydrator</t>
  </si>
  <si>
    <t>Gathering Pipeline</t>
  </si>
  <si>
    <t>Separator</t>
  </si>
  <si>
    <t>Vented Assoc. Gas</t>
  </si>
  <si>
    <t>Workover Venting</t>
  </si>
  <si>
    <t>emitted associated gas</t>
  </si>
  <si>
    <r>
      <t xml:space="preserve">Note: All inputs and outputs are normalized per the reference flow (e.g., per </t>
    </r>
    <r>
      <rPr>
        <b/>
        <sz val="10"/>
        <color rgb="FF000000"/>
        <rFont val="Arial"/>
        <family val="2"/>
      </rPr>
      <t xml:space="preserve">kg </t>
    </r>
    <r>
      <rPr>
        <sz val="10"/>
        <color indexed="8"/>
        <rFont val="Arial"/>
        <family val="2"/>
      </rPr>
      <t>associated gas)</t>
    </r>
  </si>
  <si>
    <t>Crude Oil Production - Well Heads (Water Flood)</t>
  </si>
  <si>
    <t>3</t>
  </si>
  <si>
    <t>Crude comes from the Oklahoma Glen Sand formation which is at a depth of 1500 feet. Nine samples were taken in stainless steel canisters and analyzed using a GC with cryogenic sample pre-concentration and flame ionization detection.</t>
  </si>
  <si>
    <t>3.2</t>
  </si>
  <si>
    <t>43276</t>
  </si>
  <si>
    <t>98001</t>
  </si>
  <si>
    <t>43288</t>
  </si>
  <si>
    <t>99024</t>
  </si>
  <si>
    <t>Crude comes from the Oklahoma Redfork formation which is at a depth of 1,300 feet. Eight samples were taken in stainless steel canisters and analyzed using a GC with cryogenic sample pre-concentration and flame ionization detection.</t>
  </si>
  <si>
    <t>Crude Oil Production - Well Heads (Gas Drive)</t>
  </si>
  <si>
    <t>Crude comes from the Oklahoma Dutcher formation which is at a depth of 1,400 feet. Four samples were taken in stainless steel canisters and analyzed using a GC with cryogenic sample pre-concentration and flame ionization detection.</t>
  </si>
  <si>
    <t>Oil Field - Well</t>
  </si>
  <si>
    <t>526-73-8</t>
  </si>
  <si>
    <t>45225</t>
  </si>
  <si>
    <t>1,2,3-trimethylbenzene</t>
  </si>
  <si>
    <t>BZ123M</t>
  </si>
  <si>
    <t>135-01-3</t>
  </si>
  <si>
    <t>98154</t>
  </si>
  <si>
    <t>1,2-diethylbenzene (ortho)</t>
  </si>
  <si>
    <t>141-93-5</t>
  </si>
  <si>
    <t>45113</t>
  </si>
  <si>
    <t>1,3-diethylbenzene (meta)</t>
  </si>
  <si>
    <t>DETBZ1</t>
  </si>
  <si>
    <t>105-05-5</t>
  </si>
  <si>
    <t>45114</t>
  </si>
  <si>
    <t>1,4-diethylbenzene (para)</t>
  </si>
  <si>
    <t>DETBZ2</t>
  </si>
  <si>
    <t>E17133786</t>
  </si>
  <si>
    <t>45105</t>
  </si>
  <si>
    <t>Isomers of butylbenzene</t>
  </si>
  <si>
    <t>68411-44-9</t>
  </si>
  <si>
    <t>Butylbenzene</t>
  </si>
  <si>
    <t>BUTB</t>
  </si>
  <si>
    <t>Oil Field - Compressor - Vapor Recovery</t>
  </si>
  <si>
    <t>methpent</t>
  </si>
  <si>
    <t>2-Methyl-1-pentene [Group NMVOC to air]</t>
  </si>
  <si>
    <t>Species</t>
  </si>
  <si>
    <t>Hexane (isomers) [Group NMVOC to air]</t>
  </si>
  <si>
    <t>Heptane (isomers) [Group NMVOC to air]</t>
  </si>
  <si>
    <t>MW</t>
  </si>
  <si>
    <t>ID</t>
  </si>
  <si>
    <t>ROW</t>
  </si>
  <si>
    <t>AVG_W_PER</t>
  </si>
  <si>
    <t>CONDITIONED</t>
  </si>
  <si>
    <t>ADJUSTED</t>
  </si>
  <si>
    <t>trimetben124</t>
  </si>
  <si>
    <t>trimethben135</t>
  </si>
  <si>
    <t>trimethben123</t>
  </si>
  <si>
    <t>dietben12</t>
  </si>
  <si>
    <t>dietben14</t>
  </si>
  <si>
    <t>betben</t>
  </si>
  <si>
    <t>N_und</t>
  </si>
  <si>
    <t>c_4_comp</t>
  </si>
  <si>
    <t>c_8_cpfin</t>
  </si>
  <si>
    <t>c_7_cpfins</t>
  </si>
  <si>
    <t>i_but</t>
  </si>
  <si>
    <t>PARAMETER</t>
  </si>
  <si>
    <t># ROWS</t>
  </si>
  <si>
    <t>C4_plus</t>
  </si>
  <si>
    <t>HAS_FLOW/C4+</t>
  </si>
  <si>
    <t>C4_plus_m</t>
  </si>
  <si>
    <t>[kg/kmol] Molar mass of C4+ VOCs</t>
  </si>
  <si>
    <t>MW of C4+</t>
  </si>
  <si>
    <t>Oil Field - Separator</t>
  </si>
  <si>
    <t>Oil Field - Tank</t>
  </si>
  <si>
    <t>20 well composite vapor</t>
  </si>
  <si>
    <t>20 composite samples</t>
  </si>
  <si>
    <t>Oil Field - Dehydration Tank</t>
  </si>
  <si>
    <t>50 well heavy oil composite samples</t>
  </si>
  <si>
    <t>Composite of 100 samples</t>
  </si>
  <si>
    <t>PS</t>
  </si>
  <si>
    <t>Species Data</t>
  </si>
  <si>
    <t>Well_Head</t>
  </si>
  <si>
    <t>Tank</t>
  </si>
  <si>
    <t>Species data for well head operations from SPECIATE</t>
  </si>
  <si>
    <t>Species data master sheet</t>
  </si>
  <si>
    <t>Species data for separator operations from SPECIATE</t>
  </si>
  <si>
    <t>Species data for compressor operations from SPECIATE</t>
  </si>
  <si>
    <t>Species data for tank operations from SPECIATE</t>
  </si>
  <si>
    <t>SPECIATE data</t>
  </si>
  <si>
    <t>Tank species data apply to cleanup venting and gathering pipeline emissions</t>
  </si>
  <si>
    <t>Well head species data apply to active well &amp; cellar, vented associated gas and workover emissions</t>
  </si>
  <si>
    <t>Acid Gas Remover</t>
  </si>
  <si>
    <t>Heater Treater</t>
  </si>
  <si>
    <t>Separator species data apply to dehydrator and acid gas remover emissions</t>
  </si>
  <si>
    <t>Tank flash gas composition can be estimated as an average of separator and tank species</t>
  </si>
  <si>
    <t>Storage Tank Flash Losses</t>
  </si>
  <si>
    <t>N2</t>
  </si>
  <si>
    <t>C1</t>
  </si>
  <si>
    <t>C2</t>
  </si>
  <si>
    <t>C3</t>
  </si>
  <si>
    <t>H2S</t>
  </si>
  <si>
    <t>N2_m</t>
  </si>
  <si>
    <t>kg/mol</t>
  </si>
  <si>
    <t>[kg/mol] kg of nitrogen per mole of associated gas - 28.0134 is the molar mass in kg/kmol</t>
  </si>
  <si>
    <t>CO2_m</t>
  </si>
  <si>
    <t>[kg/mol] kg of carbon dioxide per mole of associated gas - 44.01 is the molar mass in kg/kmol</t>
  </si>
  <si>
    <t>C1_m</t>
  </si>
  <si>
    <t>[kg/mol] kg of methane per mole of associated gas - 16.04 is the molar mass in kg/kmol</t>
  </si>
  <si>
    <t>C2_m</t>
  </si>
  <si>
    <t>[kg/mol] kg of ethane per mole of associated gas - 30.07 is the molar mass in kg/kmol</t>
  </si>
  <si>
    <t>C3_m</t>
  </si>
  <si>
    <t>[kg/mol] kg of propane per mole of associated gas - 44.1 is the molar mass in kg/kmol</t>
  </si>
  <si>
    <t>H2S_m</t>
  </si>
  <si>
    <t>[kg/mol] kg of hydrogen sulfide per mole of associated gas - 34.0809 is the molar mass in kg/kmol</t>
  </si>
  <si>
    <t>gas_mass_sum</t>
  </si>
  <si>
    <t>[kg/mol] kg of associated gas per mole of associated gas</t>
  </si>
  <si>
    <t>N2_mass</t>
  </si>
  <si>
    <t>CO2_mass</t>
  </si>
  <si>
    <t>CH4_mass</t>
  </si>
  <si>
    <t>C2H6_mass</t>
  </si>
  <si>
    <t>C3H8_mass</t>
  </si>
  <si>
    <t>C4_plus_mass</t>
  </si>
  <si>
    <t>H2S_mass</t>
  </si>
  <si>
    <t>[kg/mol] kg of C4+ per mole of associated gas</t>
  </si>
  <si>
    <t>[kg/mol] Molar mass of C4+ VOCs</t>
  </si>
  <si>
    <t>[kg/kg] kg of carbon dioxide  per kg of associated gas</t>
  </si>
  <si>
    <t>[kg/kg] kg of ethane per kg of associated gas</t>
  </si>
  <si>
    <t>[kg/kg] kg of propane per kg of associated gas</t>
  </si>
  <si>
    <t>[kg/kg] kg of hydrogen sulfide per kg of associated gas</t>
  </si>
  <si>
    <t>[kg/kg] kg of C4+ per kg of associated gas</t>
  </si>
  <si>
    <t>[kg/kg] kg of nitrogen  per kg of associated gas</t>
  </si>
  <si>
    <t>Cleanup venting [Intermediate products]</t>
  </si>
  <si>
    <t>[Intermediate Product] Release of associated gas from cleanups</t>
  </si>
  <si>
    <t>Workover venting [Intermediate products]</t>
  </si>
  <si>
    <t>[Intermediate Product] Release of associated gas from workovers</t>
  </si>
  <si>
    <t>Vented associated gas [Intermediate products]</t>
  </si>
  <si>
    <t>[Intermediate Product] Venting of associated gas from petroleum extraction</t>
  </si>
  <si>
    <t>Compressor emissions [Intermediate products]</t>
  </si>
  <si>
    <t>[Intermediate Product] Emissions of associated gas from compressors</t>
  </si>
  <si>
    <t>Active well and cellar emissions [Intermediate products]</t>
  </si>
  <si>
    <t>[Intermediate Product] Emissions of associated gas from active wells and well cellars</t>
  </si>
  <si>
    <t>Gathering pipeline emissions [Intermediate products]</t>
  </si>
  <si>
    <t>[Intermediate Product] Emissions of associated gas from gathering pipelines</t>
  </si>
  <si>
    <t>Separator emissions [Intermediate products]</t>
  </si>
  <si>
    <t>[Intermediate Product] Emissions of associated gas from separator</t>
  </si>
  <si>
    <t>Dehydrator emissions [Intermediate products]</t>
  </si>
  <si>
    <t>[Intermediate Product] Emissions of associated gas from dehydrator</t>
  </si>
  <si>
    <t>AGR emissions [Intermediate products]</t>
  </si>
  <si>
    <t>Speciated vented and fugitive losses of unit process specific associated gas</t>
  </si>
  <si>
    <t>[Intermediate Product] Emissions of associated gas from acid gas remover</t>
  </si>
  <si>
    <t>[Intermediate Product] Emissions of associated gas from storage tank flash</t>
  </si>
  <si>
    <t>[Intermediate Product] Emissions of associated gas from heater treater</t>
  </si>
  <si>
    <t>dietben13</t>
  </si>
  <si>
    <t>Dehydration_Tank</t>
  </si>
  <si>
    <t>Species data for heater treater operations from SPECIATE</t>
  </si>
  <si>
    <t>Thermophysical Properties of Fluid Systems</t>
  </si>
  <si>
    <t>NIST</t>
  </si>
  <si>
    <t>http://webbook.nist.gov/chemistry/fluid/</t>
  </si>
  <si>
    <t>November 18, 2013</t>
  </si>
  <si>
    <t>NIST. (2011). "Thermophysical Properties of Fluid Systems."   Retrieved November 18, 2013, from http://webbook.nist.gov/chemistry/fluid/.</t>
  </si>
  <si>
    <t>m,o,p Xylene in the produced water flash gas is evenly m, o, and p Xylene</t>
  </si>
  <si>
    <t>Produced Water Tank</t>
  </si>
  <si>
    <t>M-Xylene</t>
  </si>
  <si>
    <t>O-Xylene</t>
  </si>
  <si>
    <t>P-Xylene</t>
  </si>
  <si>
    <t>Isomers of hexane</t>
  </si>
  <si>
    <t>Isomers of heptane</t>
  </si>
  <si>
    <t>Isomers of octane</t>
  </si>
  <si>
    <t>Isomers of undecane</t>
  </si>
  <si>
    <t>Isomers of nonane</t>
  </si>
  <si>
    <t>Isomers of decane</t>
  </si>
  <si>
    <t>AAAA</t>
  </si>
  <si>
    <t>Liquid storage tank emissions [Intermediate products]</t>
  </si>
  <si>
    <t>Heater treater emissions [Intermediate products]</t>
  </si>
  <si>
    <t>sec-Butyl benzene [Group NMVOC to air]</t>
  </si>
  <si>
    <t>1-Butylbenzene [Group NMVOC to air]</t>
  </si>
  <si>
    <t>1,2,3-Trimethylbenzene [Group NMVOC to air]</t>
  </si>
  <si>
    <t>Neopentane [Group NMVOC to air]</t>
  </si>
  <si>
    <t>1-Undecane [Group NMVOC to air]</t>
  </si>
  <si>
    <t>Octane [Group NMVOC to air]</t>
  </si>
  <si>
    <t>Nitrogen (atmospheric nitrogen) [Inorganic emissions to air]</t>
  </si>
  <si>
    <t>Carbon dioxide [Inorganic emissions to air]</t>
  </si>
  <si>
    <t>Tech. Report</t>
  </si>
  <si>
    <t>Emission Factor Determination for Produced Water Storage Tanks</t>
  </si>
  <si>
    <t>TCEQ</t>
  </si>
  <si>
    <t>2010</t>
  </si>
  <si>
    <t>Austin, Texas</t>
  </si>
  <si>
    <t>https://www.tceq.texas.gov/assets/public/implementation/air/am/contracts/reports/ei/5820784005FY1024-20100830-environ-%20EmissionFactorDeterminationForProducedWaterStorageTanks.pdf</t>
  </si>
  <si>
    <t>TCEQ (2010). Emission Factor Determination for Produced Water Storage Tanks. Retrieved from https://www.tceq.texas.gov/assets/public/implementation/air/am/contracts/reports/ei/5820784005FY1024-20100830-environ-%20EmissionFactorDeterminationForProducedWaterStorageTanks.pdf</t>
  </si>
  <si>
    <t>1,3</t>
  </si>
  <si>
    <t>TCEQ data</t>
  </si>
  <si>
    <t>From Reference [1]</t>
  </si>
  <si>
    <t>From Reference [1,3]</t>
  </si>
  <si>
    <t>Ethane [Group NMVOC to air]</t>
  </si>
  <si>
    <t>Propane [Group NMVOC to air]</t>
  </si>
  <si>
    <t>Hydrogen sulphide [Inorganic emissions to air]</t>
  </si>
  <si>
    <t>Engineering Calculations</t>
  </si>
  <si>
    <t>C4_plus_MW</t>
  </si>
  <si>
    <t>N2*28.0134</t>
  </si>
  <si>
    <t>CO2*44.01</t>
  </si>
  <si>
    <t>C1*16.04</t>
  </si>
  <si>
    <t>C2*30.07</t>
  </si>
  <si>
    <t>C3*44.1</t>
  </si>
  <si>
    <t>C4_plus*C4_plus_MW</t>
  </si>
  <si>
    <t>H2S*34.0809</t>
  </si>
  <si>
    <t>N2_m+CO2_m+C1_m+C2_m+C3_m+C4_plus_m+H2S_m</t>
  </si>
  <si>
    <t>N2_m/gas_mass_sum</t>
  </si>
  <si>
    <t>CO2_m/gas_mass_sum</t>
  </si>
  <si>
    <t>C1_m/gas_mass_sum</t>
  </si>
  <si>
    <t>C2_m/gas_mass_sum</t>
  </si>
  <si>
    <t>C3_m/gas_mass_sum</t>
  </si>
  <si>
    <t>C4_plus_m/gas_mass_sum</t>
  </si>
  <si>
    <t>H2S_m/gas_mass_sum</t>
  </si>
  <si>
    <t>[1]</t>
  </si>
  <si>
    <t>[5]</t>
  </si>
  <si>
    <t>[3]</t>
  </si>
  <si>
    <t>[1,3]</t>
  </si>
  <si>
    <t>[2]</t>
  </si>
  <si>
    <t>[4]</t>
  </si>
  <si>
    <r>
      <rPr>
        <b/>
        <sz val="10"/>
        <rFont val="Arial"/>
        <family val="2"/>
      </rPr>
      <t xml:space="preserve">Enter Secondary Condition Below:  </t>
    </r>
    <r>
      <rPr>
        <sz val="10"/>
        <rFont val="Arial"/>
        <family val="2"/>
      </rPr>
      <t xml:space="preserve">                   0 = Primary; 1 = Water Flood, 2 = Gas Drive, 3 = Produced Water</t>
    </r>
  </si>
  <si>
    <t>This unit process provides a summary of relevant output flows associated with active wells and cellars, cleanup venting, compressors, dehydrators, gathering pipelines, separators, direct venting, workover venting, acid gas removal, storage tank flashing and heater treaters. Outputs are nitrogen, carbon dioxide, methane, ethane, propane, and the species of the C4+ associated gas by mass per total mass of associated gas emitted by a process. Default values for different products are provided in the scenarios.</t>
  </si>
  <si>
    <t>[dimensionless] mole fraction of nitrogen in associated gas stream</t>
  </si>
  <si>
    <t>[dimensionless] mole fraction of carbon dioxide in associated natural gas stream</t>
  </si>
  <si>
    <t>[dimensionless] mole fraction of methane in associated natural gas stream</t>
  </si>
  <si>
    <t>[dimensionless] mole fraction of ethane in associated natural gas stream</t>
  </si>
  <si>
    <t>[dimensionless] mole fraction of propane in associated natural gas stream</t>
  </si>
  <si>
    <t>[dimensionless] mole fraction of butane and higher hydrocarbons in associated natural gas stream</t>
  </si>
  <si>
    <t>[dimensionless] mole fraction of hydrogen sulfide in associated natural gas stream</t>
  </si>
  <si>
    <t>Crude Production Associated Gas Emissions Composition</t>
  </si>
  <si>
    <t>This unit process is composed of this document and the file, DF_Stage1_O_Crude_Production_Associated_Gas_Emissions_Composition_2014.01.docx,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</si>
</sst>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0"/>
    <numFmt numFmtId="165" formatCode="m/d/yy\ h:mm"/>
    <numFmt numFmtId="166" formatCode="_ [$€-2]\ * #,##0.00_ ;_ [$€-2]\ * \-#,##0.00_ ;_ [$€-2]\ * &quot;-&quot;??_ "/>
    <numFmt numFmtId="167" formatCode="mmm\ dd\,\ yyyy"/>
    <numFmt numFmtId="168" formatCode="mmm\-yyyy"/>
    <numFmt numFmtId="169" formatCode="yyyy"/>
    <numFmt numFmtId="170" formatCode="[=0]&quot;&quot;;General"/>
    <numFmt numFmtId="171" formatCode="0.00E+0;[=0]&quot;-&quot;;0.00E+0"/>
    <numFmt numFmtId="172" formatCode="dd\-mmm\-yy"/>
    <numFmt numFmtId="173" formatCode="0.0000E+00"/>
  </numFmts>
  <fonts count="67"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8"/>
      <name val="Helv"/>
    </font>
    <font>
      <sz val="11"/>
      <name val="Calibri"/>
      <family val="2"/>
      <scheme val="minor"/>
    </font>
    <font>
      <b/>
      <sz val="10"/>
      <color rgb="FF000000"/>
      <name val="Arial"/>
      <family val="2"/>
    </font>
    <font>
      <sz val="10"/>
      <color rgb="FFFF0000"/>
      <name val="Arial"/>
      <family val="2"/>
    </font>
    <font>
      <sz val="10"/>
      <color indexed="8"/>
      <name val="Arial"/>
      <family val="2"/>
    </font>
    <font>
      <b/>
      <sz val="10"/>
      <color indexed="8"/>
      <name val="Arial"/>
      <family val="2"/>
    </font>
    <font>
      <sz val="11"/>
      <color rgb="FFFF0000"/>
      <name val="Calibri"/>
      <family val="2"/>
      <scheme val="minor"/>
    </font>
    <font>
      <sz val="10"/>
      <color theme="1"/>
      <name val="Helvetica"/>
    </font>
    <font>
      <b/>
      <sz val="12"/>
      <color theme="0"/>
      <name val="Helvetica"/>
    </font>
    <font>
      <b/>
      <sz val="12"/>
      <color theme="5"/>
      <name val="Helvetica"/>
    </font>
    <font>
      <sz val="12"/>
      <color theme="1"/>
      <name val="Helvetica"/>
    </font>
    <font>
      <b/>
      <sz val="16"/>
      <color theme="0"/>
      <name val="Helvetica"/>
    </font>
    <font>
      <u/>
      <sz val="12"/>
      <color theme="10"/>
      <name val="Calibri"/>
      <family val="2"/>
      <scheme val="minor"/>
    </font>
    <font>
      <sz val="10"/>
      <name val="Helvetica"/>
    </font>
    <font>
      <sz val="10"/>
      <color theme="5"/>
      <name val="Helvetica"/>
    </font>
    <font>
      <sz val="11"/>
      <color rgb="FF92D050"/>
      <name val="Calibri"/>
      <family val="2"/>
      <scheme val="minor"/>
    </font>
  </fonts>
  <fills count="4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0"/>
      </patternFill>
    </fill>
    <fill>
      <patternFill patternType="solid">
        <fgColor theme="0"/>
      </patternFill>
    </fill>
    <fill>
      <patternFill patternType="solid">
        <fgColor theme="5"/>
        <bgColor indexed="64"/>
      </patternFill>
    </fill>
    <fill>
      <patternFill patternType="solid">
        <fgColor rgb="FFEDE8DD"/>
      </patternFill>
    </fill>
  </fills>
  <borders count="8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22"/>
      </right>
      <top style="thin">
        <color indexed="22"/>
      </top>
      <bottom style="thin">
        <color indexed="22"/>
      </bottom>
      <diagonal/>
    </border>
    <border>
      <left/>
      <right style="medium">
        <color indexed="64"/>
      </right>
      <top style="medium">
        <color indexed="64"/>
      </top>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22"/>
      </left>
      <right style="thin">
        <color indexed="22"/>
      </right>
      <top/>
      <bottom/>
      <diagonal/>
    </border>
    <border>
      <left style="thin">
        <color indexed="64"/>
      </left>
      <right/>
      <top style="medium">
        <color indexed="64"/>
      </top>
      <bottom style="medium">
        <color indexed="64"/>
      </bottom>
      <diagonal/>
    </border>
    <border>
      <left/>
      <right style="thin">
        <color indexed="22"/>
      </right>
      <top style="thin">
        <color indexed="22"/>
      </top>
      <bottom style="thin">
        <color indexed="2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15">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35" applyNumberFormat="0" applyAlignment="0" applyProtection="0"/>
    <xf numFmtId="0" fontId="35" fillId="35" borderId="36" applyNumberFormat="0" applyAlignment="0" applyProtection="0"/>
    <xf numFmtId="43" fontId="4" fillId="0" borderId="0" applyFont="0" applyFill="0" applyBorder="0" applyAlignment="0" applyProtection="0"/>
    <xf numFmtId="165" fontId="4" fillId="0" borderId="0" applyFont="0" applyFill="0" applyBorder="0" applyAlignment="0" applyProtection="0">
      <alignment wrapText="1"/>
    </xf>
    <xf numFmtId="165" fontId="4" fillId="0" borderId="0" applyFont="0" applyFill="0" applyBorder="0" applyAlignment="0" applyProtection="0">
      <alignment wrapText="1"/>
    </xf>
    <xf numFmtId="166" fontId="25"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37"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35" applyNumberFormat="0" applyAlignment="0" applyProtection="0"/>
    <xf numFmtId="0" fontId="43" fillId="0" borderId="40" applyNumberFormat="0" applyFill="0" applyAlignment="0" applyProtection="0"/>
    <xf numFmtId="0" fontId="44" fillId="36" borderId="0" applyNumberFormat="0" applyBorder="0" applyAlignment="0" applyProtection="0"/>
    <xf numFmtId="0" fontId="4" fillId="0" borderId="0"/>
    <xf numFmtId="0" fontId="4" fillId="37" borderId="41" applyNumberFormat="0" applyFont="0" applyAlignment="0" applyProtection="0"/>
    <xf numFmtId="0" fontId="4" fillId="37" borderId="41" applyNumberFormat="0" applyFont="0" applyAlignment="0" applyProtection="0"/>
    <xf numFmtId="0" fontId="45" fillId="34" borderId="42"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43" applyNumberFormat="0" applyProtection="0">
      <alignment horizontal="center" wrapText="1"/>
    </xf>
    <xf numFmtId="0" fontId="6" fillId="38" borderId="44"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45" applyNumberFormat="0">
      <alignment wrapText="1"/>
    </xf>
    <xf numFmtId="0" fontId="4" fillId="40" borderId="45"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7" fontId="4" fillId="0" borderId="0" applyFill="0" applyBorder="0" applyAlignment="0" applyProtection="0">
      <alignment wrapText="1"/>
    </xf>
    <xf numFmtId="167" fontId="4" fillId="0" borderId="0" applyFill="0" applyBorder="0" applyAlignment="0" applyProtection="0">
      <alignmen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0" fontId="47" fillId="0" borderId="0">
      <alignment horizontal="center" vertical="center"/>
    </xf>
    <xf numFmtId="0" fontId="48" fillId="0" borderId="0" applyNumberFormat="0" applyFill="0" applyBorder="0" applyAlignment="0" applyProtection="0"/>
    <xf numFmtId="0" fontId="49" fillId="0" borderId="46" applyNumberFormat="0" applyFill="0" applyAlignment="0" applyProtection="0"/>
    <xf numFmtId="0" fontId="50" fillId="0" borderId="0" applyNumberFormat="0" applyFill="0" applyBorder="0" applyAlignment="0" applyProtection="0"/>
    <xf numFmtId="171" fontId="4" fillId="0" borderId="0">
      <alignment horizontal="center" vertical="center"/>
    </xf>
    <xf numFmtId="171" fontId="4" fillId="0" borderId="0">
      <alignment horizontal="center" vertical="center"/>
    </xf>
    <xf numFmtId="0" fontId="51" fillId="0" borderId="0">
      <alignment horizontal="left"/>
    </xf>
    <xf numFmtId="0" fontId="13" fillId="0" borderId="0"/>
    <xf numFmtId="0" fontId="55" fillId="0" borderId="0"/>
    <xf numFmtId="0" fontId="55" fillId="0" borderId="0"/>
    <xf numFmtId="0" fontId="55" fillId="0" borderId="0"/>
    <xf numFmtId="0" fontId="55" fillId="0" borderId="0"/>
    <xf numFmtId="0" fontId="58" fillId="42" borderId="63"/>
    <xf numFmtId="0" fontId="59" fillId="43" borderId="9"/>
    <xf numFmtId="0" fontId="60" fillId="44" borderId="9"/>
    <xf numFmtId="0" fontId="61" fillId="5" borderId="9"/>
    <xf numFmtId="0" fontId="62" fillId="43" borderId="9"/>
    <xf numFmtId="0" fontId="63" fillId="0" borderId="0" applyNumberFormat="0" applyFill="0" applyBorder="0" applyAlignment="0" applyProtection="0"/>
    <xf numFmtId="0" fontId="58" fillId="0" borderId="0"/>
    <xf numFmtId="9" fontId="58" fillId="0" borderId="0" applyFont="0" applyFill="0" applyBorder="0" applyAlignment="0" applyProtection="0"/>
    <xf numFmtId="2" fontId="64" fillId="42" borderId="63"/>
    <xf numFmtId="0" fontId="65" fillId="42" borderId="63"/>
    <xf numFmtId="0" fontId="4" fillId="0" borderId="0"/>
  </cellStyleXfs>
  <cellXfs count="46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4" fillId="0" borderId="16" xfId="0" applyFont="1" applyFill="1" applyBorder="1" applyAlignment="1">
      <alignment wrapText="1"/>
    </xf>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4" fillId="0" borderId="16" xfId="0" applyFont="1" applyFill="1" applyBorder="1"/>
    <xf numFmtId="0" fontId="4" fillId="0" borderId="16" xfId="2" applyFont="1" applyBorder="1" applyAlignment="1" applyProtection="1">
      <alignment vertical="top"/>
      <protection locked="0"/>
    </xf>
    <xf numFmtId="0" fontId="14"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4"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5" fillId="2" borderId="0" xfId="2" applyFont="1" applyFill="1"/>
    <xf numFmtId="0" fontId="18" fillId="0" borderId="0" xfId="2" applyFont="1" applyFill="1" applyAlignment="1">
      <alignment horizontal="center"/>
    </xf>
    <xf numFmtId="0" fontId="2" fillId="0" borderId="27" xfId="2" applyFont="1" applyFill="1" applyBorder="1" applyAlignment="1">
      <alignment horizontal="center"/>
    </xf>
    <xf numFmtId="164" fontId="14" fillId="0" borderId="29" xfId="0" applyNumberFormat="1" applyFont="1" applyFill="1" applyBorder="1"/>
    <xf numFmtId="11" fontId="14"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3"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4"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4"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3" fillId="13" borderId="0" xfId="2" applyFont="1" applyFill="1" applyAlignment="1" applyProtection="1">
      <alignment horizontal="left"/>
      <protection locked="0"/>
    </xf>
    <xf numFmtId="0" fontId="4" fillId="0" borderId="0" xfId="2" applyFont="1" applyFill="1" applyAlignment="1">
      <alignment horizontal="left" vertical="top"/>
    </xf>
    <xf numFmtId="0" fontId="14"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5"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4"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14" fillId="0" borderId="0" xfId="2" applyFont="1" applyFill="1"/>
    <xf numFmtId="0" fontId="14" fillId="0" borderId="22" xfId="0" applyFont="1" applyBorder="1"/>
    <xf numFmtId="0" fontId="14" fillId="0" borderId="0" xfId="0" applyFont="1"/>
    <xf numFmtId="0" fontId="4" fillId="0" borderId="0" xfId="2" applyFont="1" applyFill="1"/>
    <xf numFmtId="0" fontId="11" fillId="0" borderId="0" xfId="2" applyFont="1"/>
    <xf numFmtId="2" fontId="14" fillId="0" borderId="0" xfId="0" applyNumberFormat="1" applyFont="1" applyFill="1" applyBorder="1"/>
    <xf numFmtId="0" fontId="4" fillId="0" borderId="10" xfId="2" applyFont="1" applyFill="1" applyBorder="1" applyAlignment="1">
      <alignment horizontal="center" vertical="center" wrapText="1"/>
    </xf>
    <xf numFmtId="0" fontId="4" fillId="0" borderId="0" xfId="2"/>
    <xf numFmtId="0" fontId="4" fillId="0" borderId="29" xfId="2" applyFont="1" applyBorder="1" applyProtection="1">
      <protection locked="0"/>
    </xf>
    <xf numFmtId="0" fontId="52" fillId="0" borderId="0" xfId="0" applyFont="1"/>
    <xf numFmtId="11" fontId="14" fillId="10" borderId="16" xfId="0" applyNumberFormat="1" applyFont="1" applyFill="1" applyBorder="1" applyAlignment="1" applyProtection="1">
      <alignment vertical="top"/>
      <protection hidden="1"/>
    </xf>
    <xf numFmtId="0" fontId="30" fillId="0" borderId="0" xfId="0" applyFont="1"/>
    <xf numFmtId="0" fontId="3" fillId="0" borderId="0" xfId="0" applyFont="1"/>
    <xf numFmtId="0" fontId="4" fillId="5" borderId="48" xfId="2" applyFont="1" applyFill="1" applyBorder="1" applyAlignment="1">
      <alignment horizontal="left" vertical="center" wrapText="1"/>
    </xf>
    <xf numFmtId="0" fontId="13" fillId="0" borderId="41" xfId="99" applyFont="1" applyFill="1" applyBorder="1" applyAlignment="1"/>
    <xf numFmtId="172" fontId="13" fillId="0" borderId="41" xfId="99" applyNumberFormat="1" applyFont="1" applyFill="1" applyBorder="1" applyAlignment="1">
      <alignment horizontal="right"/>
    </xf>
    <xf numFmtId="0" fontId="13" fillId="0" borderId="41" xfId="99" applyFont="1" applyFill="1" applyBorder="1" applyAlignment="1">
      <alignment horizontal="right"/>
    </xf>
    <xf numFmtId="0" fontId="14" fillId="0" borderId="0" xfId="0" applyFont="1" applyBorder="1"/>
    <xf numFmtId="0" fontId="0" fillId="0" borderId="0" xfId="0" applyBorder="1"/>
    <xf numFmtId="0" fontId="14" fillId="0" borderId="0" xfId="2" applyFont="1" applyFill="1" applyBorder="1"/>
    <xf numFmtId="0" fontId="4" fillId="0" borderId="0" xfId="2" applyFont="1" applyBorder="1" applyProtection="1">
      <protection locked="0"/>
    </xf>
    <xf numFmtId="0" fontId="0" fillId="0" borderId="0" xfId="0" applyFill="1" applyBorder="1"/>
    <xf numFmtId="11" fontId="4" fillId="0" borderId="16" xfId="2" applyNumberFormat="1" applyFont="1" applyBorder="1" applyProtection="1">
      <protection locked="0"/>
    </xf>
    <xf numFmtId="11" fontId="4" fillId="10" borderId="16" xfId="0" applyNumberFormat="1" applyFont="1" applyFill="1" applyBorder="1" applyAlignment="1" applyProtection="1">
      <alignment vertical="top"/>
      <protection hidden="1"/>
    </xf>
    <xf numFmtId="0" fontId="4" fillId="0" borderId="0" xfId="2" applyFont="1" applyBorder="1" applyAlignment="1" applyProtection="1">
      <protection locked="0"/>
    </xf>
    <xf numFmtId="11" fontId="54" fillId="10" borderId="16" xfId="1" applyNumberFormat="1" applyFont="1" applyFill="1" applyBorder="1" applyAlignment="1" applyProtection="1">
      <alignment vertical="top"/>
      <protection hidden="1"/>
    </xf>
    <xf numFmtId="0" fontId="0" fillId="13" borderId="0" xfId="0" applyFill="1" applyAlignment="1">
      <alignment wrapText="1"/>
    </xf>
    <xf numFmtId="0" fontId="12" fillId="13" borderId="0" xfId="0" applyFont="1" applyFill="1" applyAlignment="1">
      <alignment horizontal="left" vertical="top" wrapText="1" indent="1"/>
    </xf>
    <xf numFmtId="0" fontId="18" fillId="0" borderId="0" xfId="2" applyFont="1" applyFill="1" applyAlignment="1">
      <alignment horizontal="center"/>
    </xf>
    <xf numFmtId="0" fontId="55" fillId="0" borderId="41" xfId="100" applyFont="1" applyFill="1" applyBorder="1" applyAlignment="1"/>
    <xf numFmtId="172" fontId="55" fillId="0" borderId="41" xfId="100" applyNumberFormat="1" applyFont="1" applyFill="1" applyBorder="1" applyAlignment="1">
      <alignment horizontal="right"/>
    </xf>
    <xf numFmtId="0" fontId="55" fillId="0" borderId="41" xfId="100" applyFont="1" applyFill="1" applyBorder="1" applyAlignment="1">
      <alignment horizontal="right"/>
    </xf>
    <xf numFmtId="0" fontId="55" fillId="0" borderId="41" xfId="101" applyFont="1" applyFill="1" applyBorder="1" applyAlignment="1"/>
    <xf numFmtId="172" fontId="55" fillId="0" borderId="41" xfId="101" applyNumberFormat="1" applyFont="1" applyFill="1" applyBorder="1" applyAlignment="1">
      <alignment horizontal="right"/>
    </xf>
    <xf numFmtId="0" fontId="55" fillId="0" borderId="41" xfId="101" applyFont="1" applyFill="1" applyBorder="1" applyAlignment="1">
      <alignment horizontal="right"/>
    </xf>
    <xf numFmtId="0" fontId="14" fillId="0" borderId="0" xfId="0" applyFont="1" applyFill="1"/>
    <xf numFmtId="0" fontId="0" fillId="0" borderId="0" xfId="0" applyFill="1"/>
    <xf numFmtId="0" fontId="6" fillId="0" borderId="0" xfId="2" applyFont="1" applyFill="1"/>
    <xf numFmtId="0" fontId="30" fillId="0" borderId="0" xfId="0" applyFont="1" applyFill="1"/>
    <xf numFmtId="0" fontId="3" fillId="0" borderId="0" xfId="0" applyFont="1" applyFill="1"/>
    <xf numFmtId="0" fontId="0" fillId="0" borderId="0" xfId="0" applyFont="1" applyFill="1"/>
    <xf numFmtId="0" fontId="56" fillId="0" borderId="47" xfId="100" applyFont="1" applyFill="1" applyBorder="1" applyAlignment="1">
      <alignment horizontal="center"/>
    </xf>
    <xf numFmtId="0" fontId="55" fillId="0" borderId="0" xfId="100" applyFill="1" applyAlignment="1"/>
    <xf numFmtId="0" fontId="30" fillId="0" borderId="49" xfId="0" applyFont="1" applyFill="1" applyBorder="1"/>
    <xf numFmtId="0" fontId="30" fillId="0" borderId="50" xfId="0" applyFont="1" applyFill="1" applyBorder="1"/>
    <xf numFmtId="0" fontId="30" fillId="0" borderId="51" xfId="0" applyFont="1" applyFill="1" applyBorder="1"/>
    <xf numFmtId="0" fontId="30" fillId="0" borderId="31" xfId="0" applyFont="1" applyFill="1" applyBorder="1"/>
    <xf numFmtId="0" fontId="56" fillId="0" borderId="52" xfId="100" applyFont="1" applyFill="1" applyBorder="1" applyAlignment="1">
      <alignment horizontal="center"/>
    </xf>
    <xf numFmtId="0" fontId="30" fillId="0" borderId="53" xfId="0" applyFont="1" applyFill="1" applyBorder="1"/>
    <xf numFmtId="0" fontId="14" fillId="0" borderId="54" xfId="0" applyFont="1" applyFill="1" applyBorder="1"/>
    <xf numFmtId="0" fontId="14" fillId="0" borderId="55" xfId="0" applyFont="1" applyFill="1" applyBorder="1"/>
    <xf numFmtId="0" fontId="3" fillId="0" borderId="56" xfId="0" applyFont="1" applyFill="1" applyBorder="1"/>
    <xf numFmtId="0" fontId="56" fillId="0" borderId="57" xfId="100" applyFont="1" applyFill="1" applyBorder="1" applyAlignment="1">
      <alignment horizontal="center"/>
    </xf>
    <xf numFmtId="0" fontId="56" fillId="0" borderId="58" xfId="100" applyFont="1" applyFill="1" applyBorder="1" applyAlignment="1">
      <alignment horizontal="center"/>
    </xf>
    <xf numFmtId="0" fontId="56" fillId="0" borderId="59" xfId="100" applyFont="1" applyFill="1" applyBorder="1" applyAlignment="1">
      <alignment horizontal="center"/>
    </xf>
    <xf numFmtId="0" fontId="55" fillId="0" borderId="60" xfId="100" applyFont="1" applyFill="1" applyBorder="1" applyAlignment="1"/>
    <xf numFmtId="0" fontId="55" fillId="0" borderId="60" xfId="101" applyFont="1" applyFill="1" applyBorder="1" applyAlignment="1"/>
    <xf numFmtId="0" fontId="0" fillId="0" borderId="5" xfId="0" applyFill="1" applyBorder="1"/>
    <xf numFmtId="0" fontId="14" fillId="0" borderId="28" xfId="0" applyFont="1" applyFill="1" applyBorder="1"/>
    <xf numFmtId="0" fontId="0" fillId="0" borderId="28" xfId="0" applyFill="1" applyBorder="1"/>
    <xf numFmtId="0" fontId="0" fillId="0" borderId="28" xfId="0" applyFont="1" applyFill="1" applyBorder="1"/>
    <xf numFmtId="0" fontId="3" fillId="6" borderId="61" xfId="0" applyFont="1" applyFill="1" applyBorder="1"/>
    <xf numFmtId="0" fontId="0" fillId="0" borderId="8" xfId="0" applyFill="1" applyBorder="1"/>
    <xf numFmtId="0" fontId="14" fillId="0" borderId="0" xfId="0" applyFont="1" applyFill="1" applyBorder="1"/>
    <xf numFmtId="0" fontId="0" fillId="0" borderId="0" xfId="0" applyFont="1" applyFill="1" applyBorder="1"/>
    <xf numFmtId="0" fontId="3" fillId="6" borderId="62" xfId="0" applyFont="1" applyFill="1" applyBorder="1"/>
    <xf numFmtId="0" fontId="0" fillId="0" borderId="12" xfId="0" applyFill="1" applyBorder="1"/>
    <xf numFmtId="0" fontId="14" fillId="0" borderId="13" xfId="0" applyFont="1" applyFill="1" applyBorder="1"/>
    <xf numFmtId="0" fontId="0" fillId="0" borderId="13" xfId="0" applyFill="1" applyBorder="1"/>
    <xf numFmtId="0" fontId="0" fillId="0" borderId="13" xfId="0" applyFont="1" applyFill="1" applyBorder="1"/>
    <xf numFmtId="0" fontId="3" fillId="6" borderId="33" xfId="0" applyFont="1" applyFill="1" applyBorder="1"/>
    <xf numFmtId="0" fontId="3" fillId="0" borderId="49" xfId="0" applyFont="1" applyBorder="1"/>
    <xf numFmtId="0" fontId="3" fillId="0" borderId="50" xfId="0" applyFont="1" applyBorder="1"/>
    <xf numFmtId="0" fontId="4" fillId="0" borderId="16" xfId="2" applyFont="1" applyFill="1" applyBorder="1" applyProtection="1">
      <protection locked="0"/>
    </xf>
    <xf numFmtId="164" fontId="14" fillId="0" borderId="16" xfId="0" applyNumberFormat="1" applyFont="1" applyFill="1" applyBorder="1"/>
    <xf numFmtId="0" fontId="14" fillId="0" borderId="16" xfId="0" applyFont="1" applyFill="1" applyBorder="1" applyAlignment="1" applyProtection="1">
      <alignment horizontal="center"/>
      <protection locked="0"/>
    </xf>
    <xf numFmtId="0" fontId="30" fillId="6" borderId="50" xfId="0" applyFont="1" applyFill="1" applyBorder="1"/>
    <xf numFmtId="0" fontId="13" fillId="41" borderId="47" xfId="99" applyFont="1" applyFill="1" applyBorder="1" applyAlignment="1">
      <alignment horizontal="center"/>
    </xf>
    <xf numFmtId="0" fontId="55" fillId="41" borderId="47" xfId="102" applyFont="1" applyFill="1" applyBorder="1" applyAlignment="1">
      <alignment horizontal="center"/>
    </xf>
    <xf numFmtId="0" fontId="14" fillId="0" borderId="0" xfId="0" applyFont="1" applyFill="1" applyAlignment="1"/>
    <xf numFmtId="0" fontId="0" fillId="0" borderId="0" xfId="0" applyFill="1" applyAlignment="1"/>
    <xf numFmtId="0" fontId="55" fillId="0" borderId="41" xfId="102" applyFont="1" applyFill="1" applyBorder="1" applyAlignment="1"/>
    <xf numFmtId="172" fontId="55" fillId="0" borderId="41" xfId="102" applyNumberFormat="1" applyFont="1" applyFill="1" applyBorder="1" applyAlignment="1">
      <alignment horizontal="right"/>
    </xf>
    <xf numFmtId="0" fontId="55" fillId="0" borderId="41" xfId="102" applyFont="1" applyFill="1" applyBorder="1" applyAlignment="1">
      <alignment horizontal="right"/>
    </xf>
    <xf numFmtId="0" fontId="14" fillId="0" borderId="22" xfId="0" applyFont="1" applyFill="1" applyBorder="1"/>
    <xf numFmtId="0" fontId="14" fillId="6" borderId="55" xfId="0" applyFont="1" applyFill="1" applyBorder="1"/>
    <xf numFmtId="173" fontId="14" fillId="0" borderId="16" xfId="0" applyNumberFormat="1" applyFont="1" applyFill="1" applyBorder="1"/>
    <xf numFmtId="173" fontId="14" fillId="0" borderId="16" xfId="0" applyNumberFormat="1" applyFont="1" applyFill="1" applyBorder="1" applyProtection="1">
      <protection locked="0"/>
    </xf>
    <xf numFmtId="0" fontId="4" fillId="0" borderId="16" xfId="2" applyFill="1" applyBorder="1" applyAlignment="1" applyProtection="1">
      <alignment vertical="top"/>
      <protection locked="0"/>
    </xf>
    <xf numFmtId="0" fontId="14" fillId="0" borderId="16" xfId="0" applyFont="1" applyFill="1" applyBorder="1" applyAlignment="1">
      <alignment vertical="top"/>
    </xf>
    <xf numFmtId="0" fontId="14" fillId="0" borderId="16" xfId="0" applyFont="1" applyFill="1" applyBorder="1" applyAlignment="1" applyProtection="1">
      <alignment vertical="top"/>
      <protection locked="0"/>
    </xf>
    <xf numFmtId="0" fontId="4" fillId="0" borderId="16" xfId="2" applyFill="1" applyBorder="1" applyAlignment="1" applyProtection="1">
      <alignment horizontal="center" vertical="top"/>
      <protection locked="0"/>
    </xf>
    <xf numFmtId="0" fontId="4" fillId="0" borderId="16" xfId="2" applyFill="1" applyBorder="1" applyAlignment="1" applyProtection="1">
      <alignment vertical="top" wrapText="1"/>
      <protection locked="0"/>
    </xf>
    <xf numFmtId="0" fontId="57" fillId="0" borderId="0" xfId="0" applyFont="1"/>
    <xf numFmtId="0" fontId="66" fillId="0" borderId="0" xfId="0" applyFont="1"/>
    <xf numFmtId="0" fontId="4" fillId="13" borderId="0" xfId="0" applyFont="1" applyFill="1" applyAlignment="1" applyProtection="1">
      <alignment horizontal="left" vertical="top" wrapText="1"/>
      <protection locked="0"/>
    </xf>
    <xf numFmtId="0" fontId="4" fillId="0" borderId="65" xfId="2" applyFont="1" applyFill="1" applyBorder="1" applyAlignment="1">
      <alignment horizontal="center" vertical="center" wrapText="1"/>
    </xf>
    <xf numFmtId="0" fontId="55" fillId="0" borderId="66" xfId="100" applyFont="1" applyFill="1" applyBorder="1" applyAlignment="1"/>
    <xf numFmtId="0" fontId="14" fillId="0" borderId="16" xfId="0" applyFont="1" applyFill="1" applyBorder="1" applyAlignment="1" applyProtection="1">
      <alignment horizontal="right"/>
      <protection locked="0"/>
    </xf>
    <xf numFmtId="0" fontId="4" fillId="0" borderId="63" xfId="2" applyFont="1" applyBorder="1"/>
    <xf numFmtId="0" fontId="4" fillId="0" borderId="63" xfId="2" applyBorder="1"/>
    <xf numFmtId="0" fontId="4" fillId="0" borderId="63" xfId="2" applyFont="1" applyFill="1" applyBorder="1" applyAlignment="1" applyProtection="1">
      <alignment vertical="top"/>
      <protection locked="0"/>
    </xf>
    <xf numFmtId="0" fontId="14" fillId="0" borderId="63" xfId="0" applyFont="1" applyFill="1" applyBorder="1" applyAlignment="1">
      <alignment vertical="top"/>
    </xf>
    <xf numFmtId="0" fontId="14" fillId="0" borderId="63" xfId="0" applyFont="1" applyBorder="1" applyAlignment="1">
      <alignment vertical="top"/>
    </xf>
    <xf numFmtId="0" fontId="12" fillId="0" borderId="63" xfId="0" applyFont="1" applyBorder="1" applyAlignment="1">
      <alignment vertical="center"/>
    </xf>
    <xf numFmtId="0" fontId="14" fillId="0" borderId="63" xfId="0" applyFont="1" applyFill="1" applyBorder="1"/>
    <xf numFmtId="0" fontId="4" fillId="0" borderId="63" xfId="2" applyBorder="1" applyAlignment="1" applyProtection="1">
      <alignment horizontal="center" vertical="top" wrapText="1"/>
      <protection locked="0"/>
    </xf>
    <xf numFmtId="0" fontId="14" fillId="0" borderId="0" xfId="2" applyFont="1" applyFill="1" applyBorder="1" applyAlignment="1">
      <alignment horizontal="left"/>
    </xf>
    <xf numFmtId="0" fontId="6" fillId="0" borderId="0" xfId="2" applyFont="1" applyFill="1" applyBorder="1"/>
    <xf numFmtId="0" fontId="3" fillId="0" borderId="67" xfId="0" applyFont="1" applyBorder="1"/>
    <xf numFmtId="0" fontId="3" fillId="0" borderId="0" xfId="0" applyFont="1" applyBorder="1"/>
    <xf numFmtId="0" fontId="18" fillId="0" borderId="0" xfId="2" applyFont="1" applyFill="1" applyAlignment="1">
      <alignment horizontal="left"/>
    </xf>
    <xf numFmtId="0" fontId="0" fillId="0" borderId="0" xfId="0" applyFont="1" applyBorder="1"/>
    <xf numFmtId="0" fontId="30" fillId="0" borderId="0" xfId="0" applyFont="1" applyBorder="1"/>
    <xf numFmtId="0" fontId="18" fillId="0" borderId="0" xfId="2" applyFont="1" applyFill="1" applyBorder="1" applyAlignment="1">
      <alignment horizontal="center"/>
    </xf>
    <xf numFmtId="0" fontId="18" fillId="0" borderId="0" xfId="2" applyFont="1" applyFill="1" applyBorder="1" applyAlignment="1">
      <alignment horizontal="left"/>
    </xf>
    <xf numFmtId="0" fontId="30" fillId="0" borderId="0" xfId="0" applyFont="1" applyFill="1" applyBorder="1"/>
    <xf numFmtId="0" fontId="3" fillId="0" borderId="0" xfId="0" applyFont="1" applyFill="1" applyBorder="1"/>
    <xf numFmtId="0" fontId="56" fillId="0" borderId="66" xfId="100" applyFont="1" applyFill="1" applyBorder="1" applyAlignment="1"/>
    <xf numFmtId="0" fontId="55" fillId="4" borderId="47" xfId="103" applyFont="1" applyFill="1" applyBorder="1" applyAlignment="1">
      <alignment horizontal="center"/>
    </xf>
    <xf numFmtId="0" fontId="4" fillId="0" borderId="0" xfId="2" applyFont="1" applyFill="1" applyBorder="1"/>
    <xf numFmtId="0" fontId="55" fillId="0" borderId="68" xfId="102" applyFont="1" applyFill="1" applyBorder="1" applyAlignment="1"/>
    <xf numFmtId="0" fontId="56" fillId="0" borderId="69" xfId="100" applyFont="1" applyFill="1" applyBorder="1" applyAlignment="1">
      <alignment horizontal="center"/>
    </xf>
    <xf numFmtId="0" fontId="56" fillId="0" borderId="70" xfId="100" applyFont="1" applyFill="1" applyBorder="1" applyAlignment="1">
      <alignment horizontal="center"/>
    </xf>
    <xf numFmtId="0" fontId="56" fillId="0" borderId="71" xfId="100" applyFont="1" applyFill="1" applyBorder="1" applyAlignment="1">
      <alignment horizontal="center"/>
    </xf>
    <xf numFmtId="0" fontId="55" fillId="0" borderId="72" xfId="102" applyFont="1" applyFill="1" applyBorder="1" applyAlignment="1"/>
    <xf numFmtId="0" fontId="55" fillId="0" borderId="73" xfId="102" applyFont="1" applyFill="1" applyBorder="1" applyAlignment="1"/>
    <xf numFmtId="0" fontId="56" fillId="0" borderId="66" xfId="102" applyFont="1" applyFill="1" applyBorder="1" applyAlignment="1"/>
    <xf numFmtId="164" fontId="14" fillId="6" borderId="74" xfId="0" applyNumberFormat="1" applyFont="1" applyFill="1" applyBorder="1" applyAlignment="1">
      <alignment horizontal="center"/>
    </xf>
    <xf numFmtId="0" fontId="7" fillId="0" borderId="75" xfId="2" applyFont="1" applyFill="1" applyBorder="1" applyAlignment="1">
      <alignment horizontal="center" wrapText="1"/>
    </xf>
    <xf numFmtId="0" fontId="7" fillId="0" borderId="76" xfId="2" applyFont="1" applyFill="1" applyBorder="1" applyAlignment="1">
      <alignment horizontal="center" wrapText="1"/>
    </xf>
    <xf numFmtId="0" fontId="4" fillId="0" borderId="26" xfId="2" applyFont="1" applyBorder="1" applyProtection="1">
      <protection locked="0"/>
    </xf>
    <xf numFmtId="164" fontId="14" fillId="6" borderId="27" xfId="0" applyNumberFormat="1" applyFont="1" applyFill="1" applyBorder="1"/>
    <xf numFmtId="164" fontId="14" fillId="0" borderId="26" xfId="0" applyNumberFormat="1" applyFont="1" applyFill="1" applyBorder="1"/>
    <xf numFmtId="164" fontId="14" fillId="0" borderId="6" xfId="0" applyNumberFormat="1" applyFont="1" applyFill="1" applyBorder="1"/>
    <xf numFmtId="164" fontId="14" fillId="0" borderId="7" xfId="0" applyNumberFormat="1" applyFont="1" applyFill="1" applyBorder="1"/>
    <xf numFmtId="164" fontId="14" fillId="0" borderId="65" xfId="0" applyNumberFormat="1" applyFont="1" applyFill="1" applyBorder="1"/>
    <xf numFmtId="164" fontId="14" fillId="0" borderId="11" xfId="0" applyNumberFormat="1" applyFont="1" applyFill="1" applyBorder="1"/>
    <xf numFmtId="0" fontId="4" fillId="0" borderId="77" xfId="2" applyFont="1" applyBorder="1" applyProtection="1">
      <protection locked="0"/>
    </xf>
    <xf numFmtId="164" fontId="14" fillId="0" borderId="77" xfId="0" applyNumberFormat="1" applyFont="1" applyFill="1" applyBorder="1"/>
    <xf numFmtId="164" fontId="14" fillId="0" borderId="14" xfId="0" applyNumberFormat="1" applyFont="1" applyFill="1" applyBorder="1"/>
    <xf numFmtId="164" fontId="14" fillId="0" borderId="15" xfId="0" applyNumberFormat="1" applyFont="1" applyFill="1" applyBorder="1"/>
    <xf numFmtId="164" fontId="3" fillId="0" borderId="0" xfId="0" applyNumberFormat="1" applyFont="1"/>
    <xf numFmtId="0" fontId="4" fillId="0" borderId="11" xfId="2" applyFont="1" applyBorder="1" applyAlignment="1" applyProtection="1">
      <protection locked="0"/>
    </xf>
    <xf numFmtId="0" fontId="3" fillId="0" borderId="30" xfId="0" applyFont="1" applyBorder="1" applyAlignment="1">
      <alignment horizontal="center"/>
    </xf>
    <xf numFmtId="0" fontId="4" fillId="6" borderId="74" xfId="2" applyFont="1" applyFill="1" applyBorder="1" applyAlignment="1">
      <alignment horizontal="center"/>
    </xf>
    <xf numFmtId="0" fontId="7" fillId="0" borderId="74" xfId="2" applyFont="1" applyFill="1" applyBorder="1" applyAlignment="1">
      <alignment horizontal="center" wrapText="1"/>
    </xf>
    <xf numFmtId="164" fontId="14" fillId="6" borderId="51" xfId="0" applyNumberFormat="1" applyFont="1" applyFill="1" applyBorder="1"/>
    <xf numFmtId="0" fontId="3" fillId="11" borderId="1" xfId="0" applyFont="1" applyFill="1" applyBorder="1" applyAlignment="1">
      <alignment horizontal="center"/>
    </xf>
    <xf numFmtId="0" fontId="6" fillId="0" borderId="16" xfId="2" applyFont="1" applyBorder="1" applyAlignment="1">
      <alignment horizontal="center"/>
    </xf>
    <xf numFmtId="0" fontId="3" fillId="0" borderId="16" xfId="0" applyFont="1" applyBorder="1" applyAlignment="1">
      <alignment horizontal="center"/>
    </xf>
    <xf numFmtId="0" fontId="4" fillId="0" borderId="16" xfId="2" applyBorder="1" applyAlignment="1">
      <alignment horizontal="center" wrapText="1"/>
    </xf>
    <xf numFmtId="0" fontId="6" fillId="0" borderId="30" xfId="2" applyFont="1" applyBorder="1" applyAlignment="1">
      <alignment horizontal="center"/>
    </xf>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164" fontId="0" fillId="0" borderId="0" xfId="0" applyNumberFormat="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2" borderId="0" xfId="2" applyFill="1" applyAlignment="1">
      <alignment horizontal="left"/>
    </xf>
    <xf numFmtId="0" fontId="4" fillId="0" borderId="1" xfId="2" applyFont="1" applyFill="1" applyBorder="1" applyAlignment="1" applyProtection="1">
      <alignment horizontal="left"/>
      <protection locked="0"/>
    </xf>
    <xf numFmtId="0" fontId="4" fillId="0" borderId="10" xfId="2" applyFont="1" applyFill="1" applyBorder="1" applyAlignment="1" applyProtection="1">
      <alignment horizontal="left"/>
      <protection locked="0"/>
    </xf>
    <xf numFmtId="0" fontId="4" fillId="0" borderId="17" xfId="2" applyFont="1" applyFill="1" applyBorder="1" applyAlignment="1" applyProtection="1">
      <alignment horizontal="left"/>
      <protection locked="0"/>
    </xf>
    <xf numFmtId="0" fontId="4" fillId="2" borderId="0" xfId="2" applyFill="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0" fillId="0" borderId="10" xfId="0" applyFont="1" applyBorder="1" applyAlignment="1">
      <alignment horizontal="left" vertical="top" wrapText="1"/>
    </xf>
    <xf numFmtId="0" fontId="19" fillId="0" borderId="10" xfId="0" applyFont="1" applyBorder="1" applyAlignment="1">
      <alignment horizontal="left" vertical="top" wrapText="1"/>
    </xf>
    <xf numFmtId="0" fontId="18" fillId="0" borderId="0" xfId="2" applyFont="1" applyFill="1" applyAlignment="1">
      <alignment horizontal="center"/>
    </xf>
    <xf numFmtId="0" fontId="3" fillId="0" borderId="6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9" fillId="0" borderId="79" xfId="0" applyFont="1" applyFill="1" applyBorder="1" applyAlignment="1">
      <alignment horizontal="center"/>
    </xf>
    <xf numFmtId="0" fontId="19" fillId="0" borderId="9" xfId="0" applyFont="1" applyFill="1" applyBorder="1" applyAlignment="1">
      <alignment horizontal="center"/>
    </xf>
    <xf numFmtId="0" fontId="19" fillId="0" borderId="78" xfId="0" applyFont="1" applyFill="1" applyBorder="1" applyAlignment="1">
      <alignment horizontal="center"/>
    </xf>
    <xf numFmtId="0" fontId="6" fillId="0" borderId="5" xfId="2" applyFont="1" applyFill="1" applyBorder="1" applyAlignment="1">
      <alignment horizontal="center"/>
    </xf>
    <xf numFmtId="0" fontId="6" fillId="0" borderId="8" xfId="2" applyFont="1" applyFill="1" applyBorder="1" applyAlignment="1">
      <alignment horizontal="center"/>
    </xf>
    <xf numFmtId="0" fontId="6" fillId="0" borderId="12" xfId="2" applyFont="1" applyFill="1" applyBorder="1" applyAlignment="1">
      <alignment horizontal="center"/>
    </xf>
    <xf numFmtId="0" fontId="6" fillId="0" borderId="28" xfId="2" applyFont="1" applyFill="1" applyBorder="1" applyAlignment="1">
      <alignment horizontal="center"/>
    </xf>
    <xf numFmtId="0" fontId="6" fillId="0" borderId="0" xfId="2" applyFont="1" applyFill="1" applyBorder="1" applyAlignment="1">
      <alignment horizontal="center"/>
    </xf>
    <xf numFmtId="0" fontId="6" fillId="0" borderId="9" xfId="2"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0" fillId="0" borderId="65" xfId="0" applyBorder="1" applyAlignment="1">
      <alignment horizontal="left" vertical="center" wrapText="1"/>
    </xf>
    <xf numFmtId="0" fontId="0" fillId="0" borderId="65" xfId="0" applyFont="1" applyBorder="1" applyAlignment="1">
      <alignment horizontal="left" vertical="center" wrapText="1"/>
    </xf>
  </cellXfs>
  <cellStyles count="115">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Default_Free" xfId="104"/>
    <cellStyle name="Euro" xfId="46"/>
    <cellStyle name="Explanatory Text 2" xfId="47"/>
    <cellStyle name="GHG First" xfId="105"/>
    <cellStyle name="GHG Second" xfId="106"/>
    <cellStyle name="GHG Third" xfId="107"/>
    <cellStyle name="GHG_Title" xfId="108"/>
    <cellStyle name="Good 2" xfId="48"/>
    <cellStyle name="Heading 1 2" xfId="49"/>
    <cellStyle name="Heading 2 2" xfId="50"/>
    <cellStyle name="Heading 3 2" xfId="51"/>
    <cellStyle name="Heading 4 2" xfId="52"/>
    <cellStyle name="Hyperlink" xfId="3" builtinId="8"/>
    <cellStyle name="Hyperlink 2" xfId="53"/>
    <cellStyle name="Hyperlink 3" xfId="109"/>
    <cellStyle name="Input 2" xfId="54"/>
    <cellStyle name="Linked Cell 2" xfId="55"/>
    <cellStyle name="Neutral 2" xfId="56"/>
    <cellStyle name="Normal" xfId="0" builtinId="0"/>
    <cellStyle name="Normal 2" xfId="2"/>
    <cellStyle name="Normal 3" xfId="57"/>
    <cellStyle name="Normal 4" xfId="110"/>
    <cellStyle name="Normal 67" xfId="114"/>
    <cellStyle name="Normal_Compressor" xfId="102"/>
    <cellStyle name="Normal_Crude_Tank_Spec." xfId="100"/>
    <cellStyle name="Normal_Sheet3" xfId="99"/>
    <cellStyle name="Normal_Sheet4" xfId="103"/>
    <cellStyle name="Normal_Well" xfId="101"/>
    <cellStyle name="Note 2" xfId="58"/>
    <cellStyle name="Note 2 2" xfId="59"/>
    <cellStyle name="Output 2" xfId="60"/>
    <cellStyle name="Percent 2" xfId="61"/>
    <cellStyle name="Percent 2 2" xfId="62"/>
    <cellStyle name="Percent 2 3" xfId="63"/>
    <cellStyle name="Percent 3" xfId="111"/>
    <cellStyle name="Source Text" xfId="98"/>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able_Body" xfId="112"/>
    <cellStyle name="text" xfId="92"/>
    <cellStyle name="Title 2" xfId="93"/>
    <cellStyle name="Total 2" xfId="94"/>
    <cellStyle name="User_Free" xfId="113"/>
    <cellStyle name="Warning Text 2" xfId="95"/>
    <cellStyle name="wissenschaft-Eingabe" xfId="96"/>
    <cellStyle name="wissenschaft-Eingabe 2" xfId="97"/>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36</xdr:row>
      <xdr:rowOff>38100</xdr:rowOff>
    </xdr:from>
    <xdr:to>
      <xdr:col>13</xdr:col>
      <xdr:colOff>0</xdr:colOff>
      <xdr:row>50</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62</xdr:row>
      <xdr:rowOff>56030</xdr:rowOff>
    </xdr:from>
    <xdr:to>
      <xdr:col>14</xdr:col>
      <xdr:colOff>5740444</xdr:colOff>
      <xdr:row>65</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462643</xdr:colOff>
      <xdr:row>1</xdr:row>
      <xdr:rowOff>114300</xdr:rowOff>
    </xdr:from>
    <xdr:to>
      <xdr:col>11</xdr:col>
      <xdr:colOff>510785</xdr:colOff>
      <xdr:row>21</xdr:row>
      <xdr:rowOff>137887</xdr:rowOff>
    </xdr:to>
    <xdr:grpSp>
      <xdr:nvGrpSpPr>
        <xdr:cNvPr id="20" name="Group 19">
          <a:extLst>
            <a:ext uri="{FF2B5EF4-FFF2-40B4-BE49-F238E27FC236}">
              <a16:creationId xmlns:a16="http://schemas.microsoft.com/office/drawing/2014/main" id="{00000000-0008-0000-0C00-000014000000}"/>
            </a:ext>
          </a:extLst>
        </xdr:cNvPr>
        <xdr:cNvGrpSpPr/>
      </xdr:nvGrpSpPr>
      <xdr:grpSpPr>
        <a:xfrm>
          <a:off x="1681843" y="304800"/>
          <a:ext cx="5534542" cy="3833587"/>
          <a:chOff x="1681843" y="304800"/>
          <a:chExt cx="5534542" cy="3833587"/>
        </a:xfrm>
      </xdr:grpSpPr>
      <xdr:grpSp>
        <xdr:nvGrpSpPr>
          <xdr:cNvPr id="2" name="Legend">
            <a:extLst>
              <a:ext uri="{FF2B5EF4-FFF2-40B4-BE49-F238E27FC236}">
                <a16:creationId xmlns:a16="http://schemas.microsoft.com/office/drawing/2014/main" id="{00000000-0008-0000-0C00-000002000000}"/>
              </a:ext>
            </a:extLst>
          </xdr:cNvPr>
          <xdr:cNvGrpSpPr/>
        </xdr:nvGrpSpPr>
        <xdr:grpSpPr>
          <a:xfrm>
            <a:off x="1951265" y="3352800"/>
            <a:ext cx="1945747" cy="785587"/>
            <a:chOff x="7457181" y="3134295"/>
            <a:chExt cx="1953912" cy="753022"/>
          </a:xfrm>
        </xdr:grpSpPr>
        <xdr:sp macro="" textlink="">
          <xdr:nvSpPr>
            <xdr:cNvPr id="3" name="LegendBox">
              <a:extLst>
                <a:ext uri="{FF2B5EF4-FFF2-40B4-BE49-F238E27FC236}">
                  <a16:creationId xmlns:a16="http://schemas.microsoft.com/office/drawing/2014/main" id="{00000000-0008-0000-0C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C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grpSp>
        <xdr:nvGrpSpPr>
          <xdr:cNvPr id="19" name="Group 18">
            <a:extLst>
              <a:ext uri="{FF2B5EF4-FFF2-40B4-BE49-F238E27FC236}">
                <a16:creationId xmlns:a16="http://schemas.microsoft.com/office/drawing/2014/main" id="{00000000-0008-0000-0C00-000013000000}"/>
              </a:ext>
            </a:extLst>
          </xdr:cNvPr>
          <xdr:cNvGrpSpPr/>
        </xdr:nvGrpSpPr>
        <xdr:grpSpPr>
          <a:xfrm>
            <a:off x="1681843" y="304800"/>
            <a:ext cx="5534542" cy="3829539"/>
            <a:chOff x="1681843" y="304800"/>
            <a:chExt cx="5534542" cy="3829539"/>
          </a:xfrm>
        </xdr:grpSpPr>
        <xdr:sp macro="" textlink="">
          <xdr:nvSpPr>
            <xdr:cNvPr id="10" name="Reference Flow">
              <a:extLst>
                <a:ext uri="{FF2B5EF4-FFF2-40B4-BE49-F238E27FC236}">
                  <a16:creationId xmlns:a16="http://schemas.microsoft.com/office/drawing/2014/main" id="{00000000-0008-0000-0C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Unit</a:t>
              </a:r>
              <a:r>
                <a:rPr lang="en-US" sz="1000" baseline="0">
                  <a:solidFill>
                    <a:schemeClr val="tx1"/>
                  </a:solidFill>
                  <a:latin typeface="Arial" pitchFamily="34" charset="0"/>
                  <a:cs typeface="Arial" pitchFamily="34" charset="0"/>
                </a:rPr>
                <a:t> process where associated gas is emitted</a:t>
              </a:r>
            </a:p>
          </xdr:txBody>
        </xdr:sp>
        <xdr:cxnSp macro="">
          <xdr:nvCxnSpPr>
            <xdr:cNvPr id="11" name="Straight Arrow Connector Process">
              <a:extLst>
                <a:ext uri="{FF2B5EF4-FFF2-40B4-BE49-F238E27FC236}">
                  <a16:creationId xmlns:a16="http://schemas.microsoft.com/office/drawing/2014/main" id="{00000000-0008-0000-0C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a:extLst>
                <a:ext uri="{FF2B5EF4-FFF2-40B4-BE49-F238E27FC236}">
                  <a16:creationId xmlns:a16="http://schemas.microsoft.com/office/drawing/2014/main" id="{00000000-0008-0000-0C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Species of Emitted Associated Gas: System Boundary</a:t>
              </a:r>
            </a:p>
          </xdr:txBody>
        </xdr:sp>
        <xdr:sp macro="" textlink="">
          <xdr:nvSpPr>
            <xdr:cNvPr id="9" name="Process">
              <a:extLst>
                <a:ext uri="{FF2B5EF4-FFF2-40B4-BE49-F238E27FC236}">
                  <a16:creationId xmlns:a16="http://schemas.microsoft.com/office/drawing/2014/main" id="{00000000-0008-0000-0C00-000009000000}"/>
                </a:ext>
              </a:extLst>
            </xdr:cNvPr>
            <xdr:cNvSpPr/>
          </xdr:nvSpPr>
          <xdr:spPr>
            <a:xfrm>
              <a:off x="4315956" y="1066800"/>
              <a:ext cx="2291250"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Species of associated gas</a:t>
              </a:r>
              <a:r>
                <a:rPr lang="en-US" sz="1000" baseline="0">
                  <a:solidFill>
                    <a:sysClr val="windowText" lastClr="000000"/>
                  </a:solidFill>
                  <a:latin typeface="Arial" pitchFamily="34" charset="0"/>
                  <a:cs typeface="Arial" pitchFamily="34" charset="0"/>
                </a:rPr>
                <a:t> for specific unit process</a:t>
              </a:r>
              <a:endParaRPr lang="en-US" sz="1000">
                <a:solidFill>
                  <a:sysClr val="windowText" lastClr="000000"/>
                </a:solidFill>
                <a:latin typeface="Arial" pitchFamily="34" charset="0"/>
                <a:cs typeface="Arial" pitchFamily="34" charset="0"/>
              </a:endParaRPr>
            </a:p>
          </xdr:txBody>
        </xdr:sp>
        <xdr:sp macro="" textlink="">
          <xdr:nvSpPr>
            <xdr:cNvPr id="12" name="Link 1">
              <a:extLst>
                <a:ext uri="{FF2B5EF4-FFF2-40B4-BE49-F238E27FC236}">
                  <a16:creationId xmlns:a16="http://schemas.microsoft.com/office/drawing/2014/main" id="{00000000-0008-0000-0C00-00000C000000}"/>
                </a:ext>
              </a:extLst>
            </xdr:cNvPr>
            <xdr:cNvSpPr/>
          </xdr:nvSpPr>
          <xdr:spPr>
            <a:xfrm>
              <a:off x="3556000" y="304800"/>
              <a:ext cx="12757"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Upstream Emssion Data 1">
              <a:extLst>
                <a:ext uri="{FF2B5EF4-FFF2-40B4-BE49-F238E27FC236}">
                  <a16:creationId xmlns:a16="http://schemas.microsoft.com/office/drawing/2014/main" id="{00000000-0008-0000-0C00-00000D000000}"/>
                </a:ext>
              </a:extLst>
            </xdr:cNvPr>
            <xdr:cNvSpPr/>
          </xdr:nvSpPr>
          <xdr:spPr>
            <a:xfrm>
              <a:off x="1681843" y="1364407"/>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lang="en-US" sz="1000">
                <a:solidFill>
                  <a:schemeClr val="tx1"/>
                </a:solidFill>
                <a:latin typeface="Arial" pitchFamily="34" charset="0"/>
                <a:cs typeface="Arial" pitchFamily="34" charset="0"/>
              </a:endParaRPr>
            </a:p>
          </xdr:txBody>
        </xdr:sp>
        <xdr:cxnSp macro="">
          <xdr:nvCxnSpPr>
            <xdr:cNvPr id="14" name="Straight Arrow Connector 1">
              <a:extLst>
                <a:ext uri="{FF2B5EF4-FFF2-40B4-BE49-F238E27FC236}">
                  <a16:creationId xmlns:a16="http://schemas.microsoft.com/office/drawing/2014/main" id="{00000000-0008-0000-0C00-00000E000000}"/>
                </a:ext>
              </a:extLst>
            </xdr:cNvPr>
            <xdr:cNvCxnSpPr>
              <a:stCxn id="13" idx="2"/>
              <a:endCxn id="12" idx="1"/>
            </xdr:cNvCxnSpPr>
          </xdr:nvCxnSpPr>
          <xdr:spPr>
            <a:xfrm>
              <a:off x="3076823" y="1712976"/>
              <a:ext cx="479177"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10"/>
  <sheetViews>
    <sheetView workbookViewId="0">
      <selection activeCell="R6" sqref="R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50" t="s">
        <v>0</v>
      </c>
      <c r="B1" s="350"/>
      <c r="C1" s="350"/>
      <c r="D1" s="350"/>
      <c r="E1" s="350"/>
      <c r="F1" s="350"/>
      <c r="G1" s="350"/>
      <c r="H1" s="350"/>
      <c r="I1" s="350"/>
      <c r="J1" s="350"/>
      <c r="K1" s="350"/>
      <c r="L1" s="350"/>
      <c r="M1" s="350"/>
      <c r="N1" s="350"/>
      <c r="O1" s="1"/>
    </row>
    <row r="2" spans="1:27" ht="21" thickBot="1" x14ac:dyDescent="0.35">
      <c r="A2" s="350" t="s">
        <v>1</v>
      </c>
      <c r="B2" s="350"/>
      <c r="C2" s="350"/>
      <c r="D2" s="350"/>
      <c r="E2" s="350"/>
      <c r="F2" s="350"/>
      <c r="G2" s="350"/>
      <c r="H2" s="350"/>
      <c r="I2" s="350"/>
      <c r="J2" s="350"/>
      <c r="K2" s="350"/>
      <c r="L2" s="350"/>
      <c r="M2" s="350"/>
      <c r="N2" s="350"/>
      <c r="O2" s="1"/>
    </row>
    <row r="3" spans="1:27" ht="12.75" customHeight="1" thickBot="1" x14ac:dyDescent="0.25">
      <c r="B3" s="2"/>
      <c r="C3" s="4" t="s">
        <v>2</v>
      </c>
      <c r="D3" s="5" t="str">
        <f>'Data Summary'!D4</f>
        <v>Crude Production Associated Gas Emissions Composition</v>
      </c>
      <c r="E3" s="6"/>
      <c r="F3" s="6"/>
      <c r="G3" s="6"/>
      <c r="H3" s="6"/>
      <c r="I3" s="6"/>
      <c r="J3" s="6"/>
      <c r="K3" s="6"/>
      <c r="L3" s="6"/>
      <c r="M3" s="7"/>
      <c r="N3" s="2"/>
      <c r="O3" s="2"/>
    </row>
    <row r="4" spans="1:27" ht="42.75" customHeight="1" thickBot="1" x14ac:dyDescent="0.25">
      <c r="B4" s="2"/>
      <c r="C4" s="4" t="s">
        <v>3</v>
      </c>
      <c r="D4" s="351" t="str">
        <f>'Data Summary'!D6</f>
        <v>Speciated vented and fugitive losses of unit process specific associated gas</v>
      </c>
      <c r="E4" s="352"/>
      <c r="F4" s="352"/>
      <c r="G4" s="352"/>
      <c r="H4" s="352"/>
      <c r="I4" s="352"/>
      <c r="J4" s="352"/>
      <c r="K4" s="352"/>
      <c r="L4" s="352"/>
      <c r="M4" s="353"/>
      <c r="N4" s="2"/>
      <c r="O4" s="2"/>
    </row>
    <row r="5" spans="1:27" ht="39" customHeight="1" thickBot="1" x14ac:dyDescent="0.25">
      <c r="B5" s="2"/>
      <c r="C5" s="4" t="s">
        <v>4</v>
      </c>
      <c r="D5" s="354" t="s">
        <v>835</v>
      </c>
      <c r="E5" s="355"/>
      <c r="F5" s="355"/>
      <c r="G5" s="355"/>
      <c r="H5" s="355"/>
      <c r="I5" s="355"/>
      <c r="J5" s="355"/>
      <c r="K5" s="355"/>
      <c r="L5" s="355"/>
      <c r="M5" s="356"/>
      <c r="N5" s="2"/>
      <c r="O5" s="2"/>
    </row>
    <row r="6" spans="1:27" ht="56.25" customHeight="1" thickBot="1" x14ac:dyDescent="0.25">
      <c r="B6" s="2"/>
      <c r="C6" s="8" t="s">
        <v>5</v>
      </c>
      <c r="D6" s="354" t="s">
        <v>6</v>
      </c>
      <c r="E6" s="355"/>
      <c r="F6" s="355"/>
      <c r="G6" s="355"/>
      <c r="H6" s="355"/>
      <c r="I6" s="355"/>
      <c r="J6" s="355"/>
      <c r="K6" s="355"/>
      <c r="L6" s="355"/>
      <c r="M6" s="356"/>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44" t="s">
        <v>10</v>
      </c>
      <c r="C9" s="10" t="s">
        <v>11</v>
      </c>
      <c r="D9" s="346" t="s">
        <v>12</v>
      </c>
      <c r="E9" s="346"/>
      <c r="F9" s="346"/>
      <c r="G9" s="346"/>
      <c r="H9" s="346"/>
      <c r="I9" s="346"/>
      <c r="J9" s="346"/>
      <c r="K9" s="346"/>
      <c r="L9" s="346"/>
      <c r="M9" s="347"/>
      <c r="N9" s="2"/>
      <c r="O9" s="2"/>
      <c r="P9" s="2"/>
      <c r="Q9" s="2"/>
      <c r="R9" s="2"/>
      <c r="S9" s="2"/>
      <c r="T9" s="2"/>
      <c r="U9" s="2"/>
      <c r="V9" s="2"/>
      <c r="W9" s="2"/>
      <c r="X9" s="2"/>
      <c r="Y9" s="2"/>
      <c r="Z9" s="2"/>
      <c r="AA9" s="2"/>
    </row>
    <row r="10" spans="1:27" s="11" customFormat="1" ht="15" customHeight="1" x14ac:dyDescent="0.2">
      <c r="A10" s="2"/>
      <c r="B10" s="345"/>
      <c r="C10" s="12" t="s">
        <v>685</v>
      </c>
      <c r="D10" s="348" t="s">
        <v>14</v>
      </c>
      <c r="E10" s="348"/>
      <c r="F10" s="348"/>
      <c r="G10" s="348"/>
      <c r="H10" s="348"/>
      <c r="I10" s="348"/>
      <c r="J10" s="348"/>
      <c r="K10" s="348"/>
      <c r="L10" s="348"/>
      <c r="M10" s="349"/>
      <c r="N10" s="2"/>
      <c r="O10" s="2"/>
      <c r="P10" s="2"/>
      <c r="Q10" s="2"/>
      <c r="R10" s="2"/>
      <c r="S10" s="2"/>
      <c r="T10" s="2"/>
      <c r="U10" s="2"/>
      <c r="V10" s="2"/>
      <c r="W10" s="2"/>
      <c r="X10" s="2"/>
      <c r="Y10" s="2"/>
      <c r="Z10" s="2"/>
      <c r="AA10" s="2"/>
    </row>
    <row r="11" spans="1:27" s="11" customFormat="1" ht="15" customHeight="1" x14ac:dyDescent="0.2">
      <c r="A11" s="2"/>
      <c r="B11" s="345"/>
      <c r="C11" s="12" t="s">
        <v>15</v>
      </c>
      <c r="D11" s="348" t="s">
        <v>16</v>
      </c>
      <c r="E11" s="348"/>
      <c r="F11" s="348"/>
      <c r="G11" s="348"/>
      <c r="H11" s="348"/>
      <c r="I11" s="348"/>
      <c r="J11" s="348"/>
      <c r="K11" s="348"/>
      <c r="L11" s="348"/>
      <c r="M11" s="349"/>
      <c r="N11" s="2"/>
      <c r="O11" s="2"/>
      <c r="P11" s="2"/>
      <c r="Q11" s="2"/>
      <c r="R11" s="2"/>
      <c r="S11" s="2"/>
      <c r="T11" s="2"/>
      <c r="U11" s="2"/>
      <c r="V11" s="2"/>
      <c r="W11" s="2"/>
      <c r="X11" s="2"/>
      <c r="Y11" s="2"/>
      <c r="Z11" s="2"/>
      <c r="AA11" s="2"/>
    </row>
    <row r="12" spans="1:27" s="11" customFormat="1" ht="15" customHeight="1" x14ac:dyDescent="0.2">
      <c r="A12" s="2"/>
      <c r="B12" s="345"/>
      <c r="C12" s="12" t="s">
        <v>17</v>
      </c>
      <c r="D12" s="348" t="s">
        <v>18</v>
      </c>
      <c r="E12" s="348"/>
      <c r="F12" s="348"/>
      <c r="G12" s="348"/>
      <c r="H12" s="348"/>
      <c r="I12" s="348"/>
      <c r="J12" s="348"/>
      <c r="K12" s="348"/>
      <c r="L12" s="348"/>
      <c r="M12" s="349"/>
      <c r="N12" s="2"/>
      <c r="O12" s="2"/>
      <c r="P12" s="2"/>
      <c r="Q12" s="2"/>
      <c r="R12" s="2"/>
      <c r="S12" s="2"/>
      <c r="T12" s="2"/>
      <c r="U12" s="2"/>
      <c r="V12" s="2"/>
      <c r="W12" s="2"/>
      <c r="X12" s="2"/>
      <c r="Y12" s="2"/>
      <c r="Z12" s="2"/>
      <c r="AA12" s="2"/>
    </row>
    <row r="13" spans="1:27" ht="15" customHeight="1" x14ac:dyDescent="0.2">
      <c r="B13" s="359" t="s">
        <v>19</v>
      </c>
      <c r="C13" s="13" t="s">
        <v>686</v>
      </c>
      <c r="D13" s="361" t="s">
        <v>690</v>
      </c>
      <c r="E13" s="361"/>
      <c r="F13" s="361"/>
      <c r="G13" s="361"/>
      <c r="H13" s="361"/>
      <c r="I13" s="361"/>
      <c r="J13" s="361"/>
      <c r="K13" s="361"/>
      <c r="L13" s="361"/>
      <c r="M13" s="362"/>
      <c r="N13" s="2"/>
      <c r="O13" s="2"/>
    </row>
    <row r="14" spans="1:27" ht="15" customHeight="1" x14ac:dyDescent="0.2">
      <c r="B14" s="359"/>
      <c r="C14" s="13" t="s">
        <v>687</v>
      </c>
      <c r="D14" s="361" t="s">
        <v>689</v>
      </c>
      <c r="E14" s="361"/>
      <c r="F14" s="361"/>
      <c r="G14" s="361"/>
      <c r="H14" s="361"/>
      <c r="I14" s="361"/>
      <c r="J14" s="361"/>
      <c r="K14" s="361"/>
      <c r="L14" s="361"/>
      <c r="M14" s="362"/>
      <c r="N14" s="2"/>
      <c r="O14" s="2"/>
    </row>
    <row r="15" spans="1:27" ht="15" customHeight="1" x14ac:dyDescent="0.2">
      <c r="B15" s="359"/>
      <c r="C15" s="13" t="s">
        <v>610</v>
      </c>
      <c r="D15" s="361" t="s">
        <v>691</v>
      </c>
      <c r="E15" s="361"/>
      <c r="F15" s="361"/>
      <c r="G15" s="361"/>
      <c r="H15" s="361"/>
      <c r="I15" s="361"/>
      <c r="J15" s="361"/>
      <c r="K15" s="361"/>
      <c r="L15" s="361"/>
      <c r="M15" s="362"/>
      <c r="N15" s="2"/>
      <c r="O15" s="2"/>
    </row>
    <row r="16" spans="1:27" s="190" customFormat="1" ht="15" customHeight="1" x14ac:dyDescent="0.2">
      <c r="A16" s="2"/>
      <c r="B16" s="359"/>
      <c r="C16" s="13" t="s">
        <v>607</v>
      </c>
      <c r="D16" s="361" t="s">
        <v>692</v>
      </c>
      <c r="E16" s="361"/>
      <c r="F16" s="361"/>
      <c r="G16" s="361"/>
      <c r="H16" s="361"/>
      <c r="I16" s="361"/>
      <c r="J16" s="361"/>
      <c r="K16" s="361"/>
      <c r="L16" s="361"/>
      <c r="M16" s="362"/>
      <c r="N16" s="2"/>
      <c r="O16" s="2"/>
      <c r="P16" s="2"/>
      <c r="Q16" s="2"/>
      <c r="R16" s="2"/>
      <c r="S16" s="2"/>
      <c r="T16" s="2"/>
      <c r="U16" s="2"/>
      <c r="V16" s="2"/>
      <c r="W16" s="2"/>
      <c r="X16" s="2"/>
      <c r="Y16" s="2"/>
      <c r="Z16" s="2"/>
      <c r="AA16" s="2"/>
    </row>
    <row r="17" spans="1:27" s="190" customFormat="1" ht="15" customHeight="1" x14ac:dyDescent="0.2">
      <c r="A17" s="2"/>
      <c r="B17" s="359"/>
      <c r="C17" s="13" t="s">
        <v>688</v>
      </c>
      <c r="D17" s="361" t="s">
        <v>693</v>
      </c>
      <c r="E17" s="361"/>
      <c r="F17" s="361"/>
      <c r="G17" s="361"/>
      <c r="H17" s="361"/>
      <c r="I17" s="361"/>
      <c r="J17" s="361"/>
      <c r="K17" s="361"/>
      <c r="L17" s="361"/>
      <c r="M17" s="362"/>
      <c r="N17" s="2"/>
      <c r="O17" s="2"/>
      <c r="P17" s="2"/>
      <c r="Q17" s="2"/>
      <c r="R17" s="2"/>
      <c r="S17" s="2"/>
      <c r="T17" s="2"/>
      <c r="U17" s="2"/>
      <c r="V17" s="2"/>
      <c r="W17" s="2"/>
      <c r="X17" s="2"/>
      <c r="Y17" s="2"/>
      <c r="Z17" s="2"/>
      <c r="AA17" s="2"/>
    </row>
    <row r="18" spans="1:27" s="190" customFormat="1" ht="15" customHeight="1" x14ac:dyDescent="0.2">
      <c r="A18" s="2"/>
      <c r="B18" s="359"/>
      <c r="C18" s="13" t="s">
        <v>759</v>
      </c>
      <c r="D18" s="361" t="s">
        <v>760</v>
      </c>
      <c r="E18" s="361"/>
      <c r="F18" s="361"/>
      <c r="G18" s="361"/>
      <c r="H18" s="361"/>
      <c r="I18" s="361"/>
      <c r="J18" s="361"/>
      <c r="K18" s="361"/>
      <c r="L18" s="361"/>
      <c r="M18" s="362"/>
      <c r="N18" s="2"/>
      <c r="O18" s="2"/>
      <c r="P18" s="2"/>
      <c r="Q18" s="2"/>
      <c r="R18" s="2"/>
      <c r="S18" s="2"/>
      <c r="T18" s="2"/>
      <c r="U18" s="2"/>
      <c r="V18" s="2"/>
      <c r="W18" s="2"/>
      <c r="X18" s="2"/>
      <c r="Y18" s="2"/>
      <c r="Z18" s="2"/>
      <c r="AA18" s="2"/>
    </row>
    <row r="19" spans="1:27" ht="15" customHeight="1" x14ac:dyDescent="0.2">
      <c r="B19" s="359"/>
      <c r="C19" s="14" t="s">
        <v>20</v>
      </c>
      <c r="D19" s="361" t="s">
        <v>20</v>
      </c>
      <c r="E19" s="361"/>
      <c r="F19" s="361"/>
      <c r="G19" s="361"/>
      <c r="H19" s="361"/>
      <c r="I19" s="361"/>
      <c r="J19" s="361"/>
      <c r="K19" s="361"/>
      <c r="L19" s="361"/>
      <c r="M19" s="362"/>
      <c r="N19" s="2"/>
      <c r="O19" s="2"/>
    </row>
    <row r="20" spans="1:27" s="190" customFormat="1" ht="15" customHeight="1" x14ac:dyDescent="0.2">
      <c r="A20" s="2"/>
      <c r="B20" s="359"/>
      <c r="C20" s="14" t="s">
        <v>495</v>
      </c>
      <c r="D20" s="361" t="s">
        <v>496</v>
      </c>
      <c r="E20" s="361"/>
      <c r="F20" s="361"/>
      <c r="G20" s="361"/>
      <c r="H20" s="361"/>
      <c r="I20" s="361"/>
      <c r="J20" s="361"/>
      <c r="K20" s="361"/>
      <c r="L20" s="361"/>
      <c r="M20" s="196"/>
      <c r="N20" s="2"/>
      <c r="O20" s="2"/>
      <c r="P20" s="2"/>
      <c r="Q20" s="2"/>
      <c r="R20" s="2"/>
      <c r="S20" s="2"/>
      <c r="T20" s="2"/>
      <c r="U20" s="2"/>
      <c r="V20" s="2"/>
      <c r="W20" s="2"/>
      <c r="X20" s="2"/>
      <c r="Y20" s="2"/>
      <c r="Z20" s="2"/>
      <c r="AA20" s="2"/>
    </row>
    <row r="21" spans="1:27" ht="15" customHeight="1" thickBot="1" x14ac:dyDescent="0.25">
      <c r="B21" s="360"/>
      <c r="C21" s="15"/>
      <c r="D21" s="363"/>
      <c r="E21" s="363"/>
      <c r="F21" s="363"/>
      <c r="G21" s="363"/>
      <c r="H21" s="363"/>
      <c r="I21" s="363"/>
      <c r="J21" s="363"/>
      <c r="K21" s="363"/>
      <c r="L21" s="363"/>
      <c r="M21" s="364"/>
      <c r="N21" s="2"/>
      <c r="O21" s="2"/>
    </row>
    <row r="22" spans="1:27" x14ac:dyDescent="0.2">
      <c r="B22" s="9"/>
      <c r="C22" s="9"/>
      <c r="D22" s="9"/>
      <c r="E22" s="9"/>
      <c r="F22" s="9"/>
      <c r="G22" s="9"/>
      <c r="H22" s="9"/>
      <c r="I22" s="9"/>
      <c r="J22" s="9"/>
      <c r="K22" s="9"/>
      <c r="L22" s="9"/>
      <c r="M22" s="9"/>
      <c r="N22" s="2"/>
      <c r="O22" s="2"/>
    </row>
    <row r="23" spans="1:27" x14ac:dyDescent="0.2">
      <c r="B23" s="9" t="s">
        <v>21</v>
      </c>
      <c r="C23" s="9"/>
      <c r="D23" s="9"/>
      <c r="E23" s="9"/>
      <c r="F23" s="9"/>
      <c r="G23" s="9"/>
      <c r="H23" s="9"/>
      <c r="I23" s="9"/>
      <c r="J23" s="9"/>
      <c r="K23" s="9"/>
      <c r="L23" s="9"/>
      <c r="M23" s="9"/>
      <c r="N23" s="2"/>
      <c r="O23" s="2"/>
    </row>
    <row r="24" spans="1:27" x14ac:dyDescent="0.2">
      <c r="B24" s="9"/>
      <c r="C24" s="16">
        <v>41710</v>
      </c>
      <c r="D24" s="9"/>
      <c r="E24" s="9"/>
      <c r="F24" s="9"/>
      <c r="G24" s="9"/>
      <c r="H24" s="9"/>
      <c r="I24" s="9"/>
      <c r="J24" s="9"/>
      <c r="K24" s="9"/>
      <c r="L24" s="9"/>
      <c r="M24" s="9"/>
      <c r="N24" s="2"/>
      <c r="O24" s="2"/>
    </row>
    <row r="25" spans="1:27" x14ac:dyDescent="0.2">
      <c r="B25" s="9" t="s">
        <v>22</v>
      </c>
      <c r="C25" s="9"/>
      <c r="D25" s="9"/>
      <c r="E25" s="9"/>
      <c r="F25" s="9"/>
      <c r="G25" s="9"/>
      <c r="H25" s="9"/>
      <c r="I25" s="9"/>
      <c r="J25" s="9"/>
      <c r="K25" s="9"/>
      <c r="L25" s="9"/>
      <c r="M25" s="9"/>
      <c r="N25" s="2"/>
      <c r="O25" s="2"/>
    </row>
    <row r="26" spans="1:27" x14ac:dyDescent="0.2">
      <c r="B26" s="9"/>
      <c r="C26" s="17" t="s">
        <v>23</v>
      </c>
      <c r="D26" s="9"/>
      <c r="E26" s="9"/>
      <c r="F26" s="9"/>
      <c r="G26" s="9"/>
      <c r="H26" s="9"/>
      <c r="I26" s="9"/>
      <c r="J26" s="9"/>
      <c r="K26" s="9"/>
      <c r="L26" s="9"/>
      <c r="M26" s="9"/>
      <c r="N26" s="2"/>
      <c r="O26" s="2"/>
    </row>
    <row r="27" spans="1:27" x14ac:dyDescent="0.2">
      <c r="B27" s="9" t="s">
        <v>24</v>
      </c>
      <c r="C27" s="17"/>
      <c r="D27" s="9"/>
      <c r="E27" s="9"/>
      <c r="F27" s="9"/>
      <c r="G27" s="9"/>
      <c r="H27" s="9"/>
      <c r="I27" s="9"/>
      <c r="J27" s="9"/>
      <c r="K27" s="9"/>
      <c r="L27" s="9"/>
      <c r="M27" s="9"/>
      <c r="N27" s="2"/>
      <c r="O27" s="2"/>
    </row>
    <row r="28" spans="1:27" x14ac:dyDescent="0.2">
      <c r="B28" s="9"/>
      <c r="C28" s="17" t="s">
        <v>25</v>
      </c>
      <c r="D28" s="9"/>
      <c r="E28" s="9"/>
      <c r="F28" s="9"/>
      <c r="G28" s="9"/>
      <c r="H28" s="9"/>
      <c r="I28" s="9"/>
      <c r="J28" s="9"/>
      <c r="K28" s="9"/>
      <c r="L28" s="9"/>
      <c r="M28" s="9"/>
      <c r="N28" s="2"/>
      <c r="O28" s="2"/>
    </row>
    <row r="29" spans="1:27" x14ac:dyDescent="0.2">
      <c r="B29" s="9" t="s">
        <v>26</v>
      </c>
      <c r="C29" s="9"/>
      <c r="D29" s="9"/>
      <c r="E29" s="9"/>
      <c r="F29" s="9"/>
      <c r="G29" s="9"/>
      <c r="H29" s="9"/>
      <c r="I29" s="9"/>
      <c r="J29" s="9"/>
      <c r="K29" s="9"/>
      <c r="L29" s="9"/>
      <c r="M29" s="9"/>
      <c r="N29" s="2"/>
      <c r="O29" s="2"/>
    </row>
    <row r="30" spans="1:27" ht="38.25" customHeight="1" x14ac:dyDescent="0.2">
      <c r="B30" s="9"/>
      <c r="C30" s="357" t="str">
        <f>"This document should be cited as: NETL (2014). NETL Life Cycle Inventory Data – Unit Process: "&amp;D3&amp;". U.S. Department of Energy, National Energy Technology Laboratory. Last Updated: March 2014 (version 01). www.netl.doe.gov/LCA (http://www.netl.doe.gov/LCA)"</f>
        <v>This document should be cited as: NETL (2014). NETL Life Cycle Inventory Data – Unit Process: Crude Production Associated Gas Emissions Composition. U.S. Department of Energy, National Energy Technology Laboratory. Last Updated: March 2014 (version 01). www.netl.doe.gov/LCA (http://www.netl.doe.gov/LCA)</v>
      </c>
      <c r="D30" s="357"/>
      <c r="E30" s="357"/>
      <c r="F30" s="357"/>
      <c r="G30" s="357"/>
      <c r="H30" s="357"/>
      <c r="I30" s="357"/>
      <c r="J30" s="357"/>
      <c r="K30" s="357"/>
      <c r="L30" s="357"/>
      <c r="M30" s="357"/>
      <c r="N30" s="2"/>
      <c r="O30" s="2"/>
    </row>
    <row r="31" spans="1:27" x14ac:dyDescent="0.2">
      <c r="B31" s="9" t="s">
        <v>27</v>
      </c>
      <c r="C31" s="9"/>
      <c r="D31" s="9"/>
      <c r="E31" s="9"/>
      <c r="F31" s="9"/>
      <c r="G31" s="17"/>
      <c r="H31" s="17"/>
      <c r="I31" s="17"/>
      <c r="J31" s="17"/>
      <c r="K31" s="17"/>
      <c r="L31" s="17"/>
      <c r="M31" s="17"/>
      <c r="N31" s="2"/>
      <c r="O31" s="2"/>
    </row>
    <row r="32" spans="1:27" x14ac:dyDescent="0.2">
      <c r="B32" s="17"/>
      <c r="C32" s="17" t="s">
        <v>28</v>
      </c>
      <c r="D32" s="17"/>
      <c r="E32" s="18" t="s">
        <v>29</v>
      </c>
      <c r="F32" s="19"/>
      <c r="G32" s="17" t="s">
        <v>30</v>
      </c>
      <c r="H32" s="17"/>
      <c r="I32" s="17"/>
      <c r="J32" s="17"/>
      <c r="K32" s="17"/>
      <c r="L32" s="17"/>
      <c r="M32" s="17"/>
      <c r="N32" s="2"/>
      <c r="O32" s="2"/>
      <c r="P32" s="17"/>
    </row>
    <row r="33" spans="2:16" x14ac:dyDescent="0.2">
      <c r="B33" s="17"/>
      <c r="C33" s="17" t="s">
        <v>31</v>
      </c>
      <c r="D33" s="17"/>
      <c r="E33" s="17"/>
      <c r="F33" s="17"/>
      <c r="G33" s="17"/>
      <c r="H33" s="17"/>
      <c r="I33" s="17"/>
      <c r="J33" s="17"/>
      <c r="K33" s="17"/>
      <c r="L33" s="17"/>
      <c r="M33" s="17"/>
      <c r="N33" s="2"/>
      <c r="O33" s="2"/>
      <c r="P33" s="17"/>
    </row>
    <row r="34" spans="2:16" x14ac:dyDescent="0.2">
      <c r="B34" s="17"/>
      <c r="C34" s="17" t="s">
        <v>32</v>
      </c>
      <c r="D34" s="17"/>
      <c r="E34" s="17"/>
      <c r="F34" s="17"/>
      <c r="G34" s="17"/>
      <c r="H34" s="17"/>
      <c r="I34" s="17"/>
      <c r="J34" s="17"/>
      <c r="K34" s="17"/>
      <c r="L34" s="17"/>
      <c r="M34" s="17"/>
      <c r="N34" s="17"/>
      <c r="O34" s="17"/>
      <c r="P34" s="17"/>
    </row>
    <row r="35" spans="2:16" x14ac:dyDescent="0.2">
      <c r="B35" s="17"/>
      <c r="C35" s="358" t="s">
        <v>33</v>
      </c>
      <c r="D35" s="358"/>
      <c r="E35" s="358"/>
      <c r="F35" s="358"/>
      <c r="G35" s="358"/>
      <c r="H35" s="358"/>
      <c r="I35" s="358"/>
      <c r="J35" s="358"/>
      <c r="K35" s="358"/>
      <c r="L35" s="358"/>
      <c r="M35" s="358"/>
      <c r="N35" s="17"/>
      <c r="O35" s="17"/>
      <c r="P35" s="17"/>
    </row>
    <row r="36" spans="2:16" x14ac:dyDescent="0.2">
      <c r="B36" s="17"/>
      <c r="C36" s="17"/>
      <c r="D36" s="17"/>
      <c r="E36" s="17"/>
      <c r="F36" s="17"/>
      <c r="G36" s="17"/>
      <c r="H36" s="17"/>
      <c r="I36" s="17"/>
      <c r="J36" s="17"/>
      <c r="K36" s="17"/>
      <c r="L36" s="17"/>
      <c r="M36" s="17"/>
      <c r="N36" s="17"/>
      <c r="O36" s="17"/>
    </row>
    <row r="37" spans="2:16" x14ac:dyDescent="0.2">
      <c r="B37" s="9" t="s">
        <v>34</v>
      </c>
      <c r="C37" s="17"/>
      <c r="D37" s="17"/>
      <c r="E37" s="17"/>
      <c r="F37" s="17"/>
      <c r="G37" s="17"/>
      <c r="H37" s="17"/>
      <c r="I37" s="17"/>
      <c r="J37" s="17"/>
      <c r="K37" s="17"/>
      <c r="L37" s="17"/>
      <c r="M37" s="17"/>
      <c r="N37" s="17"/>
      <c r="O37" s="17"/>
    </row>
    <row r="38" spans="2:16" x14ac:dyDescent="0.2">
      <c r="B38" s="17"/>
      <c r="C38" s="17"/>
      <c r="D38" s="17"/>
      <c r="E38" s="17"/>
      <c r="F38" s="17"/>
      <c r="G38" s="17"/>
      <c r="H38" s="17"/>
      <c r="I38" s="17"/>
      <c r="J38" s="17"/>
      <c r="K38" s="17"/>
      <c r="L38" s="17"/>
      <c r="M38" s="17"/>
      <c r="N38" s="17"/>
      <c r="O38" s="17"/>
    </row>
    <row r="39" spans="2:16" x14ac:dyDescent="0.2">
      <c r="B39" s="17"/>
      <c r="C39" s="17"/>
      <c r="D39" s="17"/>
      <c r="E39" s="17"/>
      <c r="F39" s="17"/>
      <c r="G39" s="17"/>
      <c r="H39" s="17"/>
      <c r="I39" s="17"/>
      <c r="J39" s="17"/>
      <c r="K39" s="17"/>
      <c r="L39" s="17"/>
      <c r="M39" s="17"/>
      <c r="N39" s="17"/>
      <c r="O39" s="17"/>
    </row>
    <row r="40" spans="2:16" x14ac:dyDescent="0.2">
      <c r="B40" s="17"/>
      <c r="C40" s="17"/>
      <c r="D40" s="17"/>
      <c r="E40" s="17"/>
      <c r="F40" s="17"/>
      <c r="G40" s="17"/>
      <c r="H40" s="17"/>
      <c r="I40" s="17"/>
      <c r="J40" s="17"/>
      <c r="K40" s="17"/>
      <c r="L40" s="17"/>
      <c r="M40" s="17"/>
      <c r="N40" s="17"/>
      <c r="O40" s="17"/>
    </row>
    <row r="41" spans="2:16" x14ac:dyDescent="0.2">
      <c r="B41" s="17"/>
      <c r="C41" s="17"/>
      <c r="D41" s="17"/>
      <c r="E41" s="17"/>
      <c r="F41" s="17"/>
      <c r="G41" s="17"/>
      <c r="H41" s="17"/>
      <c r="I41" s="17"/>
      <c r="J41" s="17"/>
      <c r="K41" s="17"/>
      <c r="L41" s="17"/>
      <c r="M41" s="17"/>
      <c r="N41" s="17"/>
      <c r="O41" s="17"/>
    </row>
    <row r="42" spans="2:16" x14ac:dyDescent="0.2">
      <c r="B42" s="17"/>
      <c r="C42" s="17"/>
      <c r="D42" s="17"/>
      <c r="E42" s="17"/>
      <c r="F42" s="17"/>
      <c r="G42" s="17"/>
      <c r="H42" s="17"/>
      <c r="I42" s="17"/>
      <c r="J42" s="17"/>
      <c r="K42" s="17"/>
      <c r="L42" s="17"/>
      <c r="M42" s="17"/>
      <c r="N42" s="17"/>
      <c r="O42" s="17"/>
    </row>
    <row r="43" spans="2:16" x14ac:dyDescent="0.2">
      <c r="B43" s="17"/>
      <c r="C43" s="17"/>
      <c r="D43" s="17"/>
      <c r="E43" s="17"/>
      <c r="F43" s="17"/>
      <c r="G43" s="17"/>
      <c r="H43" s="17"/>
      <c r="I43" s="17"/>
      <c r="J43" s="17"/>
      <c r="K43" s="17"/>
      <c r="L43" s="17"/>
      <c r="M43" s="17"/>
      <c r="N43" s="17"/>
      <c r="O43" s="17"/>
    </row>
    <row r="44" spans="2:16" x14ac:dyDescent="0.2">
      <c r="B44" s="17"/>
      <c r="C44" s="17"/>
      <c r="D44" s="17"/>
      <c r="E44" s="17"/>
      <c r="F44" s="17"/>
      <c r="G44" s="17"/>
      <c r="H44" s="17"/>
      <c r="I44" s="17"/>
      <c r="J44" s="17"/>
      <c r="K44" s="17"/>
      <c r="L44" s="17"/>
      <c r="M44" s="17"/>
      <c r="N44" s="17"/>
      <c r="O44" s="17"/>
    </row>
    <row r="45" spans="2:16" x14ac:dyDescent="0.2">
      <c r="B45" s="17"/>
      <c r="C45" s="17"/>
      <c r="D45" s="17"/>
      <c r="E45" s="17"/>
      <c r="F45" s="17"/>
      <c r="G45" s="17"/>
      <c r="H45" s="17"/>
      <c r="I45" s="17"/>
      <c r="J45" s="17"/>
      <c r="K45" s="17"/>
      <c r="L45" s="17"/>
      <c r="M45" s="17"/>
      <c r="N45" s="17"/>
      <c r="O45" s="17"/>
    </row>
    <row r="46" spans="2:16" x14ac:dyDescent="0.2">
      <c r="B46" s="17"/>
      <c r="C46" s="17"/>
      <c r="D46" s="17"/>
      <c r="E46" s="17"/>
      <c r="F46" s="17"/>
      <c r="G46" s="17"/>
      <c r="H46" s="17"/>
      <c r="I46" s="17"/>
      <c r="J46" s="17"/>
      <c r="K46" s="17"/>
      <c r="L46" s="17"/>
      <c r="M46" s="17"/>
      <c r="N46" s="17"/>
      <c r="O46" s="17"/>
    </row>
    <row r="47" spans="2:16" x14ac:dyDescent="0.2">
      <c r="B47" s="17"/>
      <c r="C47" s="17"/>
      <c r="D47" s="17"/>
      <c r="E47" s="17"/>
      <c r="F47" s="17"/>
      <c r="G47" s="17"/>
      <c r="H47" s="17"/>
      <c r="I47" s="17"/>
      <c r="J47" s="17"/>
      <c r="K47" s="17"/>
      <c r="L47" s="17"/>
      <c r="M47" s="17"/>
      <c r="N47" s="17"/>
      <c r="O47" s="17"/>
    </row>
    <row r="48" spans="2:16" x14ac:dyDescent="0.2">
      <c r="B48" s="17"/>
      <c r="C48" s="17"/>
      <c r="D48" s="17"/>
      <c r="E48" s="17"/>
      <c r="F48" s="17"/>
      <c r="G48" s="17"/>
      <c r="H48" s="17"/>
      <c r="I48" s="17"/>
      <c r="J48" s="17"/>
      <c r="K48" s="17"/>
      <c r="L48" s="17"/>
      <c r="M48" s="17"/>
      <c r="N48" s="17"/>
      <c r="O48" s="17"/>
    </row>
    <row r="49" spans="2:15" x14ac:dyDescent="0.2">
      <c r="B49" s="17"/>
      <c r="C49" s="17"/>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9" t="s">
        <v>35</v>
      </c>
      <c r="C53" s="17"/>
      <c r="D53" s="17"/>
      <c r="E53" s="17"/>
      <c r="F53" s="17"/>
      <c r="G53" s="17"/>
      <c r="H53" s="17"/>
      <c r="I53" s="17"/>
      <c r="J53" s="17"/>
      <c r="K53" s="17"/>
      <c r="L53" s="17"/>
      <c r="M53" s="17"/>
      <c r="N53" s="17"/>
      <c r="O53" s="17"/>
    </row>
    <row r="54" spans="2:15" x14ac:dyDescent="0.2">
      <c r="B54" s="17"/>
      <c r="C54" s="20" t="s">
        <v>36</v>
      </c>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row r="507" spans="2:15" x14ac:dyDescent="0.2">
      <c r="B507" s="17"/>
      <c r="C507" s="17"/>
      <c r="D507" s="17"/>
      <c r="E507" s="17"/>
      <c r="F507" s="17"/>
      <c r="G507" s="17"/>
      <c r="H507" s="17"/>
      <c r="I507" s="17"/>
      <c r="J507" s="17"/>
      <c r="K507" s="17"/>
      <c r="L507" s="17"/>
      <c r="M507" s="17"/>
      <c r="N507" s="17"/>
      <c r="O507" s="17"/>
    </row>
    <row r="508" spans="2:15" x14ac:dyDescent="0.2">
      <c r="B508" s="17"/>
      <c r="C508" s="17"/>
      <c r="D508" s="17"/>
      <c r="E508" s="17"/>
      <c r="F508" s="17"/>
      <c r="G508" s="17"/>
      <c r="H508" s="17"/>
      <c r="I508" s="17"/>
      <c r="J508" s="17"/>
      <c r="K508" s="17"/>
      <c r="L508" s="17"/>
      <c r="M508" s="17"/>
      <c r="N508" s="17"/>
      <c r="O508" s="17"/>
    </row>
    <row r="509" spans="2:15" x14ac:dyDescent="0.2">
      <c r="B509" s="17"/>
      <c r="C509" s="17"/>
      <c r="D509" s="17"/>
      <c r="E509" s="17"/>
      <c r="F509" s="17"/>
      <c r="G509" s="17"/>
      <c r="H509" s="17"/>
      <c r="I509" s="17"/>
      <c r="J509" s="17"/>
      <c r="K509" s="17"/>
      <c r="L509" s="17"/>
      <c r="M509" s="17"/>
      <c r="N509" s="17"/>
      <c r="O509" s="17"/>
    </row>
    <row r="510" spans="2:15" x14ac:dyDescent="0.2">
      <c r="B510" s="17"/>
      <c r="C510" s="17"/>
      <c r="D510" s="17"/>
      <c r="E510" s="17"/>
      <c r="F510" s="17"/>
      <c r="G510" s="17"/>
      <c r="H510" s="17"/>
      <c r="I510" s="17"/>
      <c r="J510" s="17"/>
      <c r="K510" s="17"/>
      <c r="L510" s="17"/>
      <c r="M510" s="17"/>
      <c r="N510" s="17"/>
      <c r="O510" s="17"/>
    </row>
  </sheetData>
  <mergeCells count="22">
    <mergeCell ref="C30:M30"/>
    <mergeCell ref="C35:M35"/>
    <mergeCell ref="B13:B21"/>
    <mergeCell ref="D13:M13"/>
    <mergeCell ref="D14:M14"/>
    <mergeCell ref="D15:M15"/>
    <mergeCell ref="D19:M19"/>
    <mergeCell ref="D21:M21"/>
    <mergeCell ref="D20:L20"/>
    <mergeCell ref="D17:M17"/>
    <mergeCell ref="D16:M16"/>
    <mergeCell ref="D18:M18"/>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12"/>
  <sheetViews>
    <sheetView workbookViewId="0"/>
  </sheetViews>
  <sheetFormatPr defaultColWidth="8.85546875" defaultRowHeight="15" x14ac:dyDescent="0.25"/>
  <cols>
    <col min="1" max="1" width="8.85546875" style="219" customWidth="1"/>
    <col min="2" max="2" width="44.28515625" style="218" customWidth="1"/>
    <col min="3" max="3" width="13.7109375" style="218" customWidth="1"/>
    <col min="4" max="4" width="13.5703125" style="218" customWidth="1"/>
    <col min="5" max="5" width="12.85546875" style="218" customWidth="1"/>
    <col min="6" max="6" width="51" style="218" customWidth="1"/>
    <col min="7" max="10" width="17.5703125" style="218" customWidth="1"/>
    <col min="11" max="11" width="17.5703125" style="221" customWidth="1"/>
    <col min="12" max="12" width="48.7109375" style="218" customWidth="1"/>
    <col min="13" max="13" width="8.140625" style="267" customWidth="1"/>
    <col min="14" max="14" width="12" style="219" bestFit="1" customWidth="1"/>
    <col min="15" max="15" width="12" style="219" customWidth="1"/>
    <col min="16" max="16" width="21.5703125" style="219" customWidth="1"/>
    <col min="17" max="17" width="6.7109375" style="219" customWidth="1"/>
    <col min="18" max="18" width="3.28515625" style="219" customWidth="1"/>
    <col min="19" max="19" width="12.7109375" style="219" customWidth="1"/>
    <col min="20" max="20" width="2.85546875" style="219" customWidth="1"/>
    <col min="21" max="21" width="3.7109375" style="219" customWidth="1"/>
    <col min="22" max="22" width="10.28515625" style="219" customWidth="1"/>
    <col min="23" max="23" width="3.140625" style="219" customWidth="1"/>
    <col min="24" max="28" width="2.7109375" style="219" customWidth="1"/>
    <col min="29" max="29" width="4.7109375" style="219" customWidth="1"/>
    <col min="30" max="30" width="10.28515625" style="219" customWidth="1"/>
    <col min="31" max="31" width="11.7109375" style="219" customWidth="1"/>
    <col min="32" max="32" width="12.7109375" style="219" customWidth="1"/>
    <col min="33" max="33" width="12.85546875" style="219" customWidth="1"/>
    <col min="34" max="34" width="4.42578125" style="219" customWidth="1"/>
    <col min="35" max="35" width="2.85546875" style="219" customWidth="1"/>
    <col min="36" max="36" width="8.85546875" style="219" customWidth="1"/>
    <col min="37" max="37" width="2" style="219" customWidth="1"/>
    <col min="38" max="38" width="7.85546875" style="219" customWidth="1"/>
    <col min="39" max="39" width="6.42578125" style="219" customWidth="1"/>
    <col min="40" max="40" width="8.85546875" style="219" customWidth="1"/>
    <col min="41" max="41" width="30" style="219" customWidth="1"/>
    <col min="42" max="42" width="10.42578125" style="219" customWidth="1"/>
    <col min="43" max="43" width="13.7109375" style="219" customWidth="1"/>
    <col min="44" max="44" width="14" style="219" customWidth="1"/>
    <col min="45" max="45" width="14.28515625" style="219" customWidth="1"/>
    <col min="46" max="46" width="8.85546875" style="219" customWidth="1"/>
    <col min="47" max="47" width="12.28515625" style="219" customWidth="1"/>
    <col min="48" max="289" width="8.85546875" style="219" customWidth="1"/>
    <col min="290" max="16384" width="8.85546875" style="219"/>
  </cols>
  <sheetData>
    <row r="1" spans="1:47" s="11" customFormat="1" ht="20.25" x14ac:dyDescent="0.3">
      <c r="A1" s="298" t="s">
        <v>19</v>
      </c>
      <c r="B1" s="178"/>
      <c r="C1" s="178"/>
      <c r="D1" s="178"/>
      <c r="E1" s="178"/>
      <c r="F1" s="178"/>
      <c r="G1" s="178"/>
      <c r="H1" s="178"/>
      <c r="I1" s="178"/>
      <c r="J1" s="303"/>
      <c r="K1" s="291"/>
      <c r="L1" s="297" t="s">
        <v>19</v>
      </c>
      <c r="M1" s="178"/>
      <c r="N1" s="178"/>
      <c r="O1" s="178"/>
      <c r="P1" s="178"/>
      <c r="Q1" s="178"/>
      <c r="R1" s="178"/>
      <c r="S1" s="178"/>
    </row>
    <row r="2" spans="1:47" s="183" customFormat="1" ht="18" customHeight="1" x14ac:dyDescent="0.25">
      <c r="A2" s="202"/>
      <c r="B2" s="180" t="s">
        <v>220</v>
      </c>
      <c r="C2" s="181"/>
      <c r="D2" s="182"/>
      <c r="E2" s="182"/>
      <c r="F2" s="182"/>
      <c r="G2" s="182"/>
      <c r="H2" s="182"/>
      <c r="I2" s="182"/>
      <c r="J2" s="202"/>
      <c r="K2" s="182"/>
      <c r="L2" s="182"/>
      <c r="M2" s="179"/>
      <c r="N2" s="202"/>
      <c r="O2" s="202"/>
      <c r="P2" s="202"/>
      <c r="Q2" s="202"/>
      <c r="R2" s="202"/>
      <c r="S2" s="202"/>
    </row>
    <row r="3" spans="1:47" s="183" customFormat="1" ht="12.75" x14ac:dyDescent="0.2">
      <c r="A3" s="202"/>
      <c r="B3" s="202"/>
      <c r="C3" s="290"/>
      <c r="D3" s="202"/>
      <c r="E3" s="202"/>
      <c r="F3" s="202"/>
      <c r="G3" s="202"/>
      <c r="H3" s="202"/>
      <c r="I3" s="202"/>
      <c r="J3" s="202"/>
      <c r="K3" s="182"/>
      <c r="L3" s="202"/>
      <c r="M3" s="202"/>
      <c r="N3" s="202"/>
      <c r="O3" s="202"/>
      <c r="P3" s="202"/>
      <c r="Q3" s="202"/>
      <c r="R3" s="202"/>
      <c r="S3" s="202"/>
    </row>
    <row r="4" spans="1:47" s="183" customFormat="1" ht="12.75" x14ac:dyDescent="0.2">
      <c r="A4" s="202"/>
      <c r="B4" s="181"/>
      <c r="C4" s="181"/>
      <c r="D4" s="181"/>
      <c r="E4" s="291"/>
      <c r="F4" s="202"/>
      <c r="G4" s="202"/>
      <c r="H4" s="202"/>
      <c r="I4" s="202"/>
      <c r="J4" s="202"/>
      <c r="K4" s="182"/>
      <c r="L4" s="202"/>
      <c r="M4" s="202"/>
      <c r="N4" s="202"/>
      <c r="O4" s="202"/>
      <c r="P4" s="202"/>
      <c r="Q4" s="202"/>
      <c r="R4" s="202"/>
      <c r="S4" s="202"/>
    </row>
    <row r="5" spans="1:47" x14ac:dyDescent="0.25">
      <c r="A5" s="204"/>
      <c r="B5" s="204"/>
      <c r="C5" s="204"/>
      <c r="D5" s="204"/>
      <c r="E5" s="204"/>
      <c r="F5" s="204"/>
      <c r="G5" s="204"/>
      <c r="H5" s="204"/>
      <c r="I5" s="204"/>
      <c r="J5" s="247"/>
      <c r="K5" s="300"/>
      <c r="L5" s="204"/>
      <c r="M5" s="246"/>
      <c r="N5" s="204"/>
      <c r="O5" s="204"/>
      <c r="P5" s="204"/>
      <c r="Q5" s="204"/>
      <c r="R5" s="204"/>
      <c r="S5" s="204"/>
    </row>
    <row r="6" spans="1:47" x14ac:dyDescent="0.25">
      <c r="A6" s="204"/>
      <c r="B6" s="296" t="s">
        <v>798</v>
      </c>
      <c r="C6" s="246"/>
      <c r="D6" s="246"/>
      <c r="E6" s="246"/>
      <c r="F6" s="246"/>
      <c r="G6" s="246"/>
      <c r="H6" s="246"/>
      <c r="I6" s="246"/>
      <c r="J6" s="246"/>
      <c r="K6" s="299"/>
      <c r="L6" s="246"/>
      <c r="M6" s="246"/>
      <c r="N6" s="204"/>
      <c r="O6" s="204"/>
      <c r="P6" s="204"/>
      <c r="Q6" s="204"/>
      <c r="R6" s="204"/>
      <c r="S6" s="204"/>
    </row>
    <row r="7" spans="1:47" x14ac:dyDescent="0.25">
      <c r="A7" s="204"/>
      <c r="B7" s="246"/>
      <c r="C7" s="246"/>
      <c r="D7" s="246"/>
      <c r="E7" s="246"/>
      <c r="F7" s="246"/>
      <c r="G7" s="246"/>
      <c r="H7" s="246"/>
      <c r="I7" s="246"/>
      <c r="J7" s="246"/>
      <c r="K7" s="299"/>
      <c r="L7" s="246"/>
      <c r="M7" s="246"/>
      <c r="N7" s="204"/>
      <c r="O7" s="204"/>
      <c r="P7" s="204"/>
      <c r="Q7" s="204"/>
      <c r="R7" s="204"/>
      <c r="S7" s="204"/>
    </row>
    <row r="8" spans="1:47" ht="15.75" thickBot="1" x14ac:dyDescent="0.3">
      <c r="L8" s="219"/>
      <c r="M8" s="219"/>
    </row>
    <row r="9" spans="1:47" ht="15.75" thickBot="1" x14ac:dyDescent="0.3">
      <c r="B9" s="229" t="str">
        <f>IF(PS!C5=3,L686,L12)</f>
        <v>Oil Field - Tank</v>
      </c>
      <c r="D9" s="226" t="s">
        <v>71</v>
      </c>
      <c r="E9" s="227">
        <f ca="1">SUM(E10:E720)</f>
        <v>1499.9855999999995</v>
      </c>
      <c r="F9" s="227" t="s">
        <v>677</v>
      </c>
      <c r="G9" s="259">
        <f ca="1">SUMPRODUCT(K10:K450,G10:G450)/100</f>
        <v>77.508989035614164</v>
      </c>
      <c r="H9" s="227" t="s">
        <v>71</v>
      </c>
      <c r="I9" s="227">
        <f ca="1">SUM(I12:I720)</f>
        <v>1463.8792999079462</v>
      </c>
      <c r="J9" s="227">
        <f ca="1">SUM(J10:J720)</f>
        <v>39.539692914385306</v>
      </c>
      <c r="K9" s="228">
        <f ca="1">SUM(K10:K720)</f>
        <v>100.00000000000004</v>
      </c>
      <c r="L9" s="219"/>
      <c r="M9" s="219"/>
    </row>
    <row r="10" spans="1:47" ht="15.75" thickBot="1" x14ac:dyDescent="0.3">
      <c r="A10" s="229" t="s">
        <v>672</v>
      </c>
      <c r="B10" s="231">
        <f>COUNTIF(L:L,$B$9)</f>
        <v>674</v>
      </c>
      <c r="C10" s="218" t="s">
        <v>561</v>
      </c>
      <c r="D10" s="232">
        <v>2283</v>
      </c>
      <c r="E10" s="233"/>
      <c r="F10" s="233" t="s">
        <v>357</v>
      </c>
      <c r="G10" s="268">
        <f ca="1">(SUMPRODUCT(--(J12:J720="X"),I12:I720,G12:G720)+SUMPRODUCT(--(F12:F720=$F$10),J12:J720,G12:G720))/$J$10</f>
        <v>89.380066009633936</v>
      </c>
      <c r="H10" s="233"/>
      <c r="I10" s="233"/>
      <c r="J10" s="233">
        <f ca="1">IFERROR(VLOOKUP($F$10,F12:J720,5,FALSE),0)+SUMIF(J12:J720,"X",I12:I720)</f>
        <v>12.074702583811474</v>
      </c>
      <c r="K10" s="234">
        <f ca="1">IF(J10="","",J10/$J$9*100)</f>
        <v>30.538179975136991</v>
      </c>
      <c r="L10" s="219"/>
      <c r="M10" s="219"/>
      <c r="AT10" s="291" t="s">
        <v>20</v>
      </c>
      <c r="AU10" s="182" t="s">
        <v>62</v>
      </c>
    </row>
    <row r="11" spans="1:47" s="222" customFormat="1" ht="13.5" customHeight="1" thickBot="1" x14ac:dyDescent="0.3">
      <c r="A11" s="235" t="s">
        <v>656</v>
      </c>
      <c r="B11" s="236" t="s">
        <v>226</v>
      </c>
      <c r="C11" s="236" t="s">
        <v>671</v>
      </c>
      <c r="D11" s="236" t="s">
        <v>245</v>
      </c>
      <c r="E11" s="236" t="s">
        <v>246</v>
      </c>
      <c r="F11" s="236" t="s">
        <v>255</v>
      </c>
      <c r="G11" s="236" t="s">
        <v>257</v>
      </c>
      <c r="H11" s="236" t="s">
        <v>674</v>
      </c>
      <c r="I11" s="236" t="s">
        <v>657</v>
      </c>
      <c r="J11" s="236" t="s">
        <v>658</v>
      </c>
      <c r="K11" s="237" t="s">
        <v>659</v>
      </c>
      <c r="L11" s="302" t="s">
        <v>226</v>
      </c>
      <c r="M11" s="302" t="s">
        <v>227</v>
      </c>
      <c r="N11" s="302" t="s">
        <v>228</v>
      </c>
      <c r="O11" s="302" t="s">
        <v>229</v>
      </c>
      <c r="P11" s="302" t="s">
        <v>230</v>
      </c>
      <c r="Q11" s="302" t="s">
        <v>231</v>
      </c>
      <c r="R11" s="302" t="s">
        <v>232</v>
      </c>
      <c r="S11" s="302" t="s">
        <v>233</v>
      </c>
      <c r="T11" s="302" t="s">
        <v>234</v>
      </c>
      <c r="U11" s="302" t="s">
        <v>235</v>
      </c>
      <c r="V11" s="302" t="s">
        <v>236</v>
      </c>
      <c r="W11" s="302" t="s">
        <v>237</v>
      </c>
      <c r="X11" s="302" t="s">
        <v>238</v>
      </c>
      <c r="Y11" s="302" t="s">
        <v>239</v>
      </c>
      <c r="Z11" s="302" t="s">
        <v>240</v>
      </c>
      <c r="AA11" s="302" t="s">
        <v>241</v>
      </c>
      <c r="AB11" s="302" t="s">
        <v>242</v>
      </c>
      <c r="AC11" s="302" t="s">
        <v>243</v>
      </c>
      <c r="AD11" s="302" t="s">
        <v>244</v>
      </c>
      <c r="AE11" s="302" t="s">
        <v>245</v>
      </c>
      <c r="AF11" s="302" t="s">
        <v>246</v>
      </c>
      <c r="AG11" s="302" t="s">
        <v>247</v>
      </c>
      <c r="AH11" s="302" t="s">
        <v>248</v>
      </c>
      <c r="AI11" s="302" t="s">
        <v>249</v>
      </c>
      <c r="AJ11" s="302" t="s">
        <v>250</v>
      </c>
      <c r="AK11" s="302" t="s">
        <v>251</v>
      </c>
      <c r="AL11" s="302" t="s">
        <v>252</v>
      </c>
      <c r="AM11" s="302" t="s">
        <v>253</v>
      </c>
      <c r="AN11" s="302" t="s">
        <v>254</v>
      </c>
      <c r="AO11" s="302" t="s">
        <v>255</v>
      </c>
      <c r="AP11" s="302" t="s">
        <v>256</v>
      </c>
      <c r="AQ11" s="302" t="s">
        <v>257</v>
      </c>
      <c r="AR11" s="302" t="s">
        <v>258</v>
      </c>
      <c r="AS11" s="302" t="s">
        <v>259</v>
      </c>
    </row>
    <row r="12" spans="1:47" x14ac:dyDescent="0.25">
      <c r="A12" s="240">
        <f>MATCH($B$9,L:L,0)</f>
        <v>12</v>
      </c>
      <c r="B12" s="241" t="str">
        <f t="shared" ref="B12:B75" si="0">IF(ROW(A12)-(ROW($A$12))&lt;$B$10,$B$9,"")</f>
        <v>Oil Field - Tank</v>
      </c>
      <c r="C12" s="241" t="str">
        <f ca="1">IF(B12="","",VLOOKUP(D12,'Species Data'!B:E,4,FALSE))</f>
        <v>trimethben123</v>
      </c>
      <c r="D12" s="241">
        <f ca="1">IF(B12="","",INDIRECT("AE"&amp;$A12))</f>
        <v>25</v>
      </c>
      <c r="E12" s="241">
        <f ca="1">IF(D12="","",INDIRECT("AF"&amp;$A12))</f>
        <v>2.8899999999999999E-2</v>
      </c>
      <c r="F12" s="241" t="str">
        <f ca="1">IF(E12="","",INDIRECT("AO"&amp;$A12))</f>
        <v>1,2,3-trimethylbenzene</v>
      </c>
      <c r="G12" s="241">
        <f ca="1">IF(F12="","",INDIRECT("AQ"&amp;$A12))</f>
        <v>120.19158</v>
      </c>
      <c r="H12" s="242">
        <f ca="1">IF(G12="","",IF(VLOOKUP(Tank!F12,'Species Data'!D:F,3,FALSE)=0,"X",IF(G12&lt;44.1,2,1)))</f>
        <v>1</v>
      </c>
      <c r="I12" s="242">
        <f ca="1">IF(H12="","",SUMIF(D:D,D12,E:E)/($E$9/100))</f>
        <v>1.0560101376973221E-2</v>
      </c>
      <c r="J12" s="243">
        <f ca="1">IF(I12="","",IF(COUNTIF($D$12:D12,D12)=1,IF(H12=1,I12*H12,IF(H12="X","X",0)),0))</f>
        <v>1.0560101376973221E-2</v>
      </c>
      <c r="K12" s="244">
        <f ca="1">IF(J12="","",IF(J12="X",0,J12/$J$9*100))</f>
        <v>2.6707595832468522E-2</v>
      </c>
      <c r="L12" s="212" t="s">
        <v>679</v>
      </c>
      <c r="M12" s="212" t="s">
        <v>448</v>
      </c>
      <c r="N12" s="212" t="s">
        <v>470</v>
      </c>
      <c r="O12" s="213">
        <v>41419</v>
      </c>
      <c r="P12" s="212" t="s">
        <v>531</v>
      </c>
      <c r="Q12" s="214">
        <v>100</v>
      </c>
      <c r="R12" s="212" t="s">
        <v>445</v>
      </c>
      <c r="S12" s="212" t="s">
        <v>532</v>
      </c>
      <c r="T12" s="212" t="s">
        <v>445</v>
      </c>
      <c r="U12" s="212" t="s">
        <v>446</v>
      </c>
      <c r="V12" s="214" t="b">
        <v>1</v>
      </c>
      <c r="W12" s="214">
        <v>1989</v>
      </c>
      <c r="X12" s="214">
        <v>5</v>
      </c>
      <c r="Y12" s="214">
        <v>2</v>
      </c>
      <c r="Z12" s="214">
        <v>4</v>
      </c>
      <c r="AA12" s="212" t="s">
        <v>447</v>
      </c>
      <c r="AB12" s="212" t="s">
        <v>531</v>
      </c>
      <c r="AC12" s="212" t="s">
        <v>533</v>
      </c>
      <c r="AD12" s="214">
        <v>2.118258</v>
      </c>
      <c r="AE12" s="214">
        <v>25</v>
      </c>
      <c r="AF12" s="214">
        <v>2.8899999999999999E-2</v>
      </c>
      <c r="AG12" s="214">
        <v>-99</v>
      </c>
      <c r="AH12" s="212" t="s">
        <v>224</v>
      </c>
      <c r="AI12" s="212" t="s">
        <v>449</v>
      </c>
      <c r="AJ12" s="212" t="s">
        <v>627</v>
      </c>
      <c r="AK12" s="212" t="s">
        <v>531</v>
      </c>
      <c r="AL12" s="212" t="s">
        <v>628</v>
      </c>
      <c r="AM12" s="214" t="b">
        <v>1</v>
      </c>
      <c r="AN12" s="214" t="b">
        <v>0</v>
      </c>
      <c r="AO12" s="212" t="s">
        <v>629</v>
      </c>
      <c r="AP12" s="212" t="s">
        <v>630</v>
      </c>
      <c r="AQ12" s="214">
        <v>120.19158</v>
      </c>
      <c r="AR12" s="214" t="b">
        <v>0</v>
      </c>
      <c r="AS12" s="212" t="s">
        <v>534</v>
      </c>
      <c r="AU12" s="222" t="s">
        <v>819</v>
      </c>
    </row>
    <row r="13" spans="1:47" x14ac:dyDescent="0.25">
      <c r="A13" s="245">
        <f>IF(B13="","",A12+1)</f>
        <v>13</v>
      </c>
      <c r="B13" s="246" t="str">
        <f t="shared" si="0"/>
        <v>Oil Field - Tank</v>
      </c>
      <c r="C13" s="246" t="str">
        <f ca="1">IF(B13="","",VLOOKUP(D13,'Species Data'!B:E,4,FALSE))</f>
        <v>trimetben124</v>
      </c>
      <c r="D13" s="246">
        <f t="shared" ref="D13:D76" ca="1" si="1">IF(B13="","",INDIRECT("AE"&amp;$A13))</f>
        <v>30</v>
      </c>
      <c r="E13" s="246">
        <f t="shared" ref="E13:E76" ca="1" si="2">IF(D13="","",INDIRECT("AF"&amp;$A13))</f>
        <v>3.5000000000000003E-2</v>
      </c>
      <c r="F13" s="246" t="str">
        <f t="shared" ref="F13:F76" ca="1" si="3">IF(E13="","",INDIRECT("AO"&amp;$A13))</f>
        <v>1,2,4-trimethylbenzene  (1,3,4-trimethylbenzene)</v>
      </c>
      <c r="G13" s="246">
        <f t="shared" ref="G13:G76" ca="1" si="4">IF(F13="","",INDIRECT("AQ"&amp;$A13))</f>
        <v>120.19158</v>
      </c>
      <c r="H13" s="204">
        <f ca="1">IF(G13="","",IF(VLOOKUP(Tank!F13,'Species Data'!D:F,3,FALSE)=0,"X",IF(G13&lt;44.1,2,1)))</f>
        <v>1</v>
      </c>
      <c r="I13" s="204">
        <f t="shared" ref="I13:I76" ca="1" si="5">IF(H13="","",SUMIF(D:D,D13,E:E)/($E$9/100))</f>
        <v>1.1400109441050636E-2</v>
      </c>
      <c r="J13" s="247">
        <f ca="1">IF(I13="","",IF(COUNTIF($D$12:D13,D13)=1,IF(H13=1,I13*H13,IF(H13="X","X",0)),0))</f>
        <v>1.1400109441050636E-2</v>
      </c>
      <c r="K13" s="248">
        <f t="shared" ref="K13:K76" ca="1" si="6">IF(J13="","",IF(J13="X",0,J13/$J$9*100))</f>
        <v>2.8832063682778516E-2</v>
      </c>
      <c r="L13" s="212" t="s">
        <v>679</v>
      </c>
      <c r="M13" s="212" t="s">
        <v>448</v>
      </c>
      <c r="N13" s="212" t="s">
        <v>470</v>
      </c>
      <c r="O13" s="213">
        <v>41419</v>
      </c>
      <c r="P13" s="212" t="s">
        <v>531</v>
      </c>
      <c r="Q13" s="214">
        <v>100</v>
      </c>
      <c r="R13" s="212" t="s">
        <v>445</v>
      </c>
      <c r="S13" s="212" t="s">
        <v>532</v>
      </c>
      <c r="T13" s="212" t="s">
        <v>445</v>
      </c>
      <c r="U13" s="212" t="s">
        <v>446</v>
      </c>
      <c r="V13" s="214" t="b">
        <v>1</v>
      </c>
      <c r="W13" s="214">
        <v>1989</v>
      </c>
      <c r="X13" s="214">
        <v>5</v>
      </c>
      <c r="Y13" s="214">
        <v>2</v>
      </c>
      <c r="Z13" s="214">
        <v>4</v>
      </c>
      <c r="AA13" s="212" t="s">
        <v>447</v>
      </c>
      <c r="AB13" s="212" t="s">
        <v>531</v>
      </c>
      <c r="AC13" s="212" t="s">
        <v>533</v>
      </c>
      <c r="AD13" s="214">
        <v>2.118258</v>
      </c>
      <c r="AE13" s="214">
        <v>30</v>
      </c>
      <c r="AF13" s="214">
        <v>3.5000000000000003E-2</v>
      </c>
      <c r="AG13" s="214">
        <v>-99</v>
      </c>
      <c r="AH13" s="212" t="s">
        <v>224</v>
      </c>
      <c r="AI13" s="212" t="s">
        <v>449</v>
      </c>
      <c r="AJ13" s="212" t="s">
        <v>359</v>
      </c>
      <c r="AK13" s="212" t="s">
        <v>531</v>
      </c>
      <c r="AL13" s="212" t="s">
        <v>531</v>
      </c>
      <c r="AM13" s="214" t="b">
        <v>1</v>
      </c>
      <c r="AN13" s="214" t="b">
        <v>0</v>
      </c>
      <c r="AO13" s="212" t="s">
        <v>360</v>
      </c>
      <c r="AP13" s="212" t="s">
        <v>361</v>
      </c>
      <c r="AQ13" s="214">
        <v>120.19158</v>
      </c>
      <c r="AR13" s="214" t="b">
        <v>0</v>
      </c>
      <c r="AS13" s="212" t="s">
        <v>534</v>
      </c>
      <c r="AU13" s="222" t="s">
        <v>819</v>
      </c>
    </row>
    <row r="14" spans="1:47" x14ac:dyDescent="0.25">
      <c r="A14" s="245">
        <f t="shared" ref="A14:A77" si="7">IF(B14="","",A13+1)</f>
        <v>14</v>
      </c>
      <c r="B14" s="246" t="str">
        <f t="shared" si="0"/>
        <v>Oil Field - Tank</v>
      </c>
      <c r="C14" s="246" t="str">
        <f ca="1">IF(B14="","",VLOOKUP(D14,'Species Data'!B:E,4,FALSE))</f>
        <v>trimethben135</v>
      </c>
      <c r="D14" s="246">
        <f t="shared" ca="1" si="1"/>
        <v>44</v>
      </c>
      <c r="E14" s="246">
        <f t="shared" ca="1" si="2"/>
        <v>1.37E-2</v>
      </c>
      <c r="F14" s="246" t="str">
        <f t="shared" ca="1" si="3"/>
        <v>1,3,5-trimethylbenzene</v>
      </c>
      <c r="G14" s="246">
        <f t="shared" ca="1" si="4"/>
        <v>120.19158</v>
      </c>
      <c r="H14" s="204">
        <f ca="1">IF(G14="","",IF(VLOOKUP(Tank!F14,'Species Data'!D:F,3,FALSE)=0,"X",IF(G14&lt;44.1,2,1)))</f>
        <v>1</v>
      </c>
      <c r="I14" s="204">
        <f t="shared" ca="1" si="5"/>
        <v>1.3046791915869061E-2</v>
      </c>
      <c r="J14" s="247">
        <f ca="1">IF(I14="","",IF(COUNTIF($D$12:D14,D14)=1,IF(H14=1,I14*H14,IF(H14="X","X",0)),0))</f>
        <v>1.3046791915869061E-2</v>
      </c>
      <c r="K14" s="248">
        <f t="shared" ca="1" si="6"/>
        <v>3.2996695103624303E-2</v>
      </c>
      <c r="L14" s="212" t="s">
        <v>679</v>
      </c>
      <c r="M14" s="212" t="s">
        <v>448</v>
      </c>
      <c r="N14" s="212" t="s">
        <v>470</v>
      </c>
      <c r="O14" s="213">
        <v>41419</v>
      </c>
      <c r="P14" s="212" t="s">
        <v>531</v>
      </c>
      <c r="Q14" s="214">
        <v>100</v>
      </c>
      <c r="R14" s="212" t="s">
        <v>445</v>
      </c>
      <c r="S14" s="212" t="s">
        <v>532</v>
      </c>
      <c r="T14" s="212" t="s">
        <v>445</v>
      </c>
      <c r="U14" s="212" t="s">
        <v>446</v>
      </c>
      <c r="V14" s="214" t="b">
        <v>1</v>
      </c>
      <c r="W14" s="214">
        <v>1989</v>
      </c>
      <c r="X14" s="214">
        <v>5</v>
      </c>
      <c r="Y14" s="214">
        <v>2</v>
      </c>
      <c r="Z14" s="214">
        <v>4</v>
      </c>
      <c r="AA14" s="212" t="s">
        <v>447</v>
      </c>
      <c r="AB14" s="212" t="s">
        <v>531</v>
      </c>
      <c r="AC14" s="212" t="s">
        <v>533</v>
      </c>
      <c r="AD14" s="214">
        <v>2.118258</v>
      </c>
      <c r="AE14" s="214">
        <v>44</v>
      </c>
      <c r="AF14" s="214">
        <v>1.37E-2</v>
      </c>
      <c r="AG14" s="214">
        <v>-99</v>
      </c>
      <c r="AH14" s="212" t="s">
        <v>224</v>
      </c>
      <c r="AI14" s="212" t="s">
        <v>449</v>
      </c>
      <c r="AJ14" s="212" t="s">
        <v>400</v>
      </c>
      <c r="AK14" s="212" t="s">
        <v>531</v>
      </c>
      <c r="AL14" s="212" t="s">
        <v>401</v>
      </c>
      <c r="AM14" s="214" t="b">
        <v>1</v>
      </c>
      <c r="AN14" s="214" t="b">
        <v>0</v>
      </c>
      <c r="AO14" s="212" t="s">
        <v>402</v>
      </c>
      <c r="AP14" s="212" t="s">
        <v>403</v>
      </c>
      <c r="AQ14" s="214">
        <v>120.19158</v>
      </c>
      <c r="AR14" s="214" t="b">
        <v>0</v>
      </c>
      <c r="AS14" s="212" t="s">
        <v>534</v>
      </c>
      <c r="AU14" s="222" t="s">
        <v>819</v>
      </c>
    </row>
    <row r="15" spans="1:47" x14ac:dyDescent="0.25">
      <c r="A15" s="245">
        <f t="shared" si="7"/>
        <v>15</v>
      </c>
      <c r="B15" s="246" t="str">
        <f t="shared" si="0"/>
        <v>Oil Field - Tank</v>
      </c>
      <c r="C15" s="246" t="str">
        <f ca="1">IF(B15="","",VLOOKUP(D15,'Species Data'!B:E,4,FALSE))</f>
        <v>ethben13</v>
      </c>
      <c r="D15" s="246">
        <f t="shared" ca="1" si="1"/>
        <v>89</v>
      </c>
      <c r="E15" s="246">
        <f t="shared" ca="1" si="2"/>
        <v>1.6899999999999998E-2</v>
      </c>
      <c r="F15" s="246" t="str">
        <f t="shared" ca="1" si="3"/>
        <v>1-Methyl-3-ethylbenzene (3-Ethyltoluene)</v>
      </c>
      <c r="G15" s="246">
        <f t="shared" ca="1" si="4"/>
        <v>120.19158</v>
      </c>
      <c r="H15" s="204">
        <f ca="1">IF(G15="","",IF(VLOOKUP(Tank!F15,'Species Data'!D:F,3,FALSE)=0,"X",IF(G15&lt;44.1,2,1)))</f>
        <v>1</v>
      </c>
      <c r="I15" s="204">
        <f t="shared" ca="1" si="5"/>
        <v>1.0893437910337275E-2</v>
      </c>
      <c r="J15" s="247">
        <f ca="1">IF(I15="","",IF(COUNTIF($D$12:D15,D15)=1,IF(H15=1,I15*H15,IF(H15="X","X",0)),0))</f>
        <v>1.0893437910337275E-2</v>
      </c>
      <c r="K15" s="248">
        <f t="shared" ca="1" si="6"/>
        <v>2.7550638630210584E-2</v>
      </c>
      <c r="L15" s="212" t="s">
        <v>679</v>
      </c>
      <c r="M15" s="212" t="s">
        <v>448</v>
      </c>
      <c r="N15" s="212" t="s">
        <v>470</v>
      </c>
      <c r="O15" s="213">
        <v>41419</v>
      </c>
      <c r="P15" s="212" t="s">
        <v>531</v>
      </c>
      <c r="Q15" s="214">
        <v>100</v>
      </c>
      <c r="R15" s="212" t="s">
        <v>445</v>
      </c>
      <c r="S15" s="212" t="s">
        <v>532</v>
      </c>
      <c r="T15" s="212" t="s">
        <v>445</v>
      </c>
      <c r="U15" s="212" t="s">
        <v>446</v>
      </c>
      <c r="V15" s="214" t="b">
        <v>1</v>
      </c>
      <c r="W15" s="214">
        <v>1989</v>
      </c>
      <c r="X15" s="214">
        <v>5</v>
      </c>
      <c r="Y15" s="214">
        <v>2</v>
      </c>
      <c r="Z15" s="214">
        <v>4</v>
      </c>
      <c r="AA15" s="212" t="s">
        <v>447</v>
      </c>
      <c r="AB15" s="212" t="s">
        <v>531</v>
      </c>
      <c r="AC15" s="212" t="s">
        <v>533</v>
      </c>
      <c r="AD15" s="214">
        <v>2.118258</v>
      </c>
      <c r="AE15" s="214">
        <v>89</v>
      </c>
      <c r="AF15" s="214">
        <v>1.6899999999999998E-2</v>
      </c>
      <c r="AG15" s="214">
        <v>-99</v>
      </c>
      <c r="AH15" s="212" t="s">
        <v>224</v>
      </c>
      <c r="AI15" s="212" t="s">
        <v>449</v>
      </c>
      <c r="AJ15" s="212" t="s">
        <v>411</v>
      </c>
      <c r="AK15" s="212" t="s">
        <v>531</v>
      </c>
      <c r="AL15" s="212" t="s">
        <v>451</v>
      </c>
      <c r="AM15" s="214" t="b">
        <v>1</v>
      </c>
      <c r="AN15" s="214" t="b">
        <v>0</v>
      </c>
      <c r="AO15" s="212" t="s">
        <v>412</v>
      </c>
      <c r="AP15" s="212" t="s">
        <v>413</v>
      </c>
      <c r="AQ15" s="214">
        <v>120.19158</v>
      </c>
      <c r="AR15" s="214" t="b">
        <v>0</v>
      </c>
      <c r="AS15" s="212" t="s">
        <v>534</v>
      </c>
      <c r="AU15" s="222" t="s">
        <v>819</v>
      </c>
    </row>
    <row r="16" spans="1:47" ht="15" customHeight="1" x14ac:dyDescent="0.25">
      <c r="A16" s="245">
        <f t="shared" si="7"/>
        <v>16</v>
      </c>
      <c r="B16" s="246" t="str">
        <f t="shared" si="0"/>
        <v>Oil Field - Tank</v>
      </c>
      <c r="C16" s="246" t="str">
        <f ca="1">IF(B16="","",VLOOKUP(D16,'Species Data'!B:E,4,FALSE))</f>
        <v>dimetbut22</v>
      </c>
      <c r="D16" s="246">
        <f t="shared" ca="1" si="1"/>
        <v>122</v>
      </c>
      <c r="E16" s="246">
        <f t="shared" ca="1" si="2"/>
        <v>0.18240000000000001</v>
      </c>
      <c r="F16" s="246" t="str">
        <f t="shared" ca="1" si="3"/>
        <v>2,2-dimethylbutane</v>
      </c>
      <c r="G16" s="188">
        <f t="shared" ca="1" si="4"/>
        <v>86.175359999999998</v>
      </c>
      <c r="H16" s="204">
        <f ca="1">IF(G16="","",IF(VLOOKUP(Tank!F16,'Species Data'!D:F,3,FALSE)=0,"X",IF(G16&lt;442,2,1)))</f>
        <v>2</v>
      </c>
      <c r="I16" s="204">
        <f t="shared" ca="1" si="5"/>
        <v>8.538748638653601E-2</v>
      </c>
      <c r="J16" s="247">
        <f ca="1">IF(I16="","",IF(COUNTIF($D$12:D16,D16)=1,IF(H16=1,I16*H16,IF(H16="X","X",0)),0))</f>
        <v>0</v>
      </c>
      <c r="K16" s="248">
        <f t="shared" ca="1" si="6"/>
        <v>0</v>
      </c>
      <c r="L16" s="212" t="s">
        <v>679</v>
      </c>
      <c r="M16" s="212" t="s">
        <v>448</v>
      </c>
      <c r="N16" s="212" t="s">
        <v>470</v>
      </c>
      <c r="O16" s="213">
        <v>41419</v>
      </c>
      <c r="P16" s="212" t="s">
        <v>531</v>
      </c>
      <c r="Q16" s="214">
        <v>100</v>
      </c>
      <c r="R16" s="212" t="s">
        <v>445</v>
      </c>
      <c r="S16" s="212" t="s">
        <v>532</v>
      </c>
      <c r="T16" s="212" t="s">
        <v>445</v>
      </c>
      <c r="U16" s="212" t="s">
        <v>446</v>
      </c>
      <c r="V16" s="214" t="b">
        <v>1</v>
      </c>
      <c r="W16" s="214">
        <v>1989</v>
      </c>
      <c r="X16" s="214">
        <v>5</v>
      </c>
      <c r="Y16" s="214">
        <v>2</v>
      </c>
      <c r="Z16" s="214">
        <v>4</v>
      </c>
      <c r="AA16" s="212" t="s">
        <v>447</v>
      </c>
      <c r="AB16" s="212" t="s">
        <v>531</v>
      </c>
      <c r="AC16" s="212" t="s">
        <v>533</v>
      </c>
      <c r="AD16" s="214">
        <v>2.118258</v>
      </c>
      <c r="AE16" s="214">
        <v>122</v>
      </c>
      <c r="AF16" s="214">
        <v>0.18240000000000001</v>
      </c>
      <c r="AG16" s="214">
        <v>-99</v>
      </c>
      <c r="AH16" s="212" t="s">
        <v>224</v>
      </c>
      <c r="AI16" s="212" t="s">
        <v>449</v>
      </c>
      <c r="AJ16" s="212" t="s">
        <v>301</v>
      </c>
      <c r="AK16" s="212" t="s">
        <v>531</v>
      </c>
      <c r="AL16" s="212" t="s">
        <v>384</v>
      </c>
      <c r="AM16" s="214" t="b">
        <v>1</v>
      </c>
      <c r="AN16" s="214" t="b">
        <v>0</v>
      </c>
      <c r="AO16" s="212" t="s">
        <v>302</v>
      </c>
      <c r="AP16" s="212" t="s">
        <v>303</v>
      </c>
      <c r="AQ16" s="214">
        <v>86.175359999999998</v>
      </c>
      <c r="AR16" s="214" t="b">
        <v>0</v>
      </c>
      <c r="AS16" s="212" t="s">
        <v>534</v>
      </c>
      <c r="AU16" s="222" t="s">
        <v>819</v>
      </c>
    </row>
    <row r="17" spans="1:47" x14ac:dyDescent="0.25">
      <c r="A17" s="245">
        <f t="shared" si="7"/>
        <v>17</v>
      </c>
      <c r="B17" s="246" t="str">
        <f t="shared" si="0"/>
        <v>Oil Field - Tank</v>
      </c>
      <c r="C17" s="246" t="str">
        <f ca="1">IF(B17="","",VLOOKUP(D17,'Species Data'!B:E,4,FALSE))</f>
        <v>dimethpro</v>
      </c>
      <c r="D17" s="246">
        <f t="shared" ca="1" si="1"/>
        <v>127</v>
      </c>
      <c r="E17" s="246">
        <f t="shared" ca="1" si="2"/>
        <v>0.1106</v>
      </c>
      <c r="F17" s="246" t="str">
        <f t="shared" ca="1" si="3"/>
        <v>2,2-dimethylpropane</v>
      </c>
      <c r="G17" s="246">
        <f t="shared" ca="1" si="4"/>
        <v>72.148780000000002</v>
      </c>
      <c r="H17" s="204">
        <f ca="1">IF(G17="","",IF(VLOOKUP(Tank!F17,'Species Data'!D:F,3,FALSE)=0,"X",IF(G17&lt;44.1,2,1)))</f>
        <v>1</v>
      </c>
      <c r="I17" s="204">
        <f t="shared" ca="1" si="5"/>
        <v>9.7614270430329483E-2</v>
      </c>
      <c r="J17" s="247">
        <f ca="1">IF(I17="","",IF(COUNTIF($D$12:D17,D17)=1,IF(H17=1,I17*H17,IF(H17="X","X",0)),0))</f>
        <v>9.7614270430329483E-2</v>
      </c>
      <c r="K17" s="248">
        <f t="shared" ca="1" si="6"/>
        <v>0.24687665289078539</v>
      </c>
      <c r="L17" s="212" t="s">
        <v>679</v>
      </c>
      <c r="M17" s="212" t="s">
        <v>448</v>
      </c>
      <c r="N17" s="212" t="s">
        <v>470</v>
      </c>
      <c r="O17" s="213">
        <v>41419</v>
      </c>
      <c r="P17" s="212" t="s">
        <v>531</v>
      </c>
      <c r="Q17" s="214">
        <v>100</v>
      </c>
      <c r="R17" s="212" t="s">
        <v>445</v>
      </c>
      <c r="S17" s="212" t="s">
        <v>532</v>
      </c>
      <c r="T17" s="212" t="s">
        <v>445</v>
      </c>
      <c r="U17" s="212" t="s">
        <v>446</v>
      </c>
      <c r="V17" s="214" t="b">
        <v>1</v>
      </c>
      <c r="W17" s="214">
        <v>1989</v>
      </c>
      <c r="X17" s="214">
        <v>5</v>
      </c>
      <c r="Y17" s="214">
        <v>2</v>
      </c>
      <c r="Z17" s="214">
        <v>4</v>
      </c>
      <c r="AA17" s="212" t="s">
        <v>447</v>
      </c>
      <c r="AB17" s="212" t="s">
        <v>531</v>
      </c>
      <c r="AC17" s="212" t="s">
        <v>533</v>
      </c>
      <c r="AD17" s="214">
        <v>2.118258</v>
      </c>
      <c r="AE17" s="214">
        <v>127</v>
      </c>
      <c r="AF17" s="214">
        <v>0.1106</v>
      </c>
      <c r="AG17" s="214">
        <v>-99</v>
      </c>
      <c r="AH17" s="212" t="s">
        <v>224</v>
      </c>
      <c r="AI17" s="212" t="s">
        <v>449</v>
      </c>
      <c r="AJ17" s="212" t="s">
        <v>441</v>
      </c>
      <c r="AK17" s="212" t="s">
        <v>531</v>
      </c>
      <c r="AL17" s="212" t="s">
        <v>462</v>
      </c>
      <c r="AM17" s="214" t="b">
        <v>0</v>
      </c>
      <c r="AN17" s="214" t="b">
        <v>0</v>
      </c>
      <c r="AO17" s="212" t="s">
        <v>442</v>
      </c>
      <c r="AP17" s="212" t="s">
        <v>531</v>
      </c>
      <c r="AQ17" s="214">
        <v>72.148780000000002</v>
      </c>
      <c r="AR17" s="214" t="b">
        <v>0</v>
      </c>
      <c r="AS17" s="212" t="s">
        <v>534</v>
      </c>
      <c r="AU17" s="222" t="s">
        <v>819</v>
      </c>
    </row>
    <row r="18" spans="1:47" x14ac:dyDescent="0.25">
      <c r="A18" s="245">
        <f t="shared" si="7"/>
        <v>18</v>
      </c>
      <c r="B18" s="246" t="str">
        <f t="shared" si="0"/>
        <v>Oil Field - Tank</v>
      </c>
      <c r="C18" s="246" t="str">
        <f ca="1">IF(B18="","",VLOOKUP(D18,'Species Data'!B:E,4,FALSE))</f>
        <v>trimentpen3</v>
      </c>
      <c r="D18" s="246">
        <f t="shared" ca="1" si="1"/>
        <v>130</v>
      </c>
      <c r="E18" s="246">
        <f t="shared" ca="1" si="2"/>
        <v>0.3075</v>
      </c>
      <c r="F18" s="246" t="str">
        <f t="shared" ca="1" si="3"/>
        <v>2,3,4-trimethylpentane</v>
      </c>
      <c r="G18" s="246">
        <f t="shared" ca="1" si="4"/>
        <v>114.22852</v>
      </c>
      <c r="H18" s="204">
        <f ca="1">IF(G18="","",IF(VLOOKUP(Tank!F18,'Species Data'!D:F,3,FALSE)=0,"X",IF(G18&lt;44.1,2,1)))</f>
        <v>1</v>
      </c>
      <c r="I18" s="204">
        <f t="shared" ca="1" si="5"/>
        <v>0.22004211240427912</v>
      </c>
      <c r="J18" s="247">
        <f ca="1">IF(I18="","",IF(COUNTIF($D$12:D18,D18)=1,IF(H18=1,I18*H18,IF(H18="X","X",0)),0))</f>
        <v>0.22004211240427912</v>
      </c>
      <c r="K18" s="248">
        <f t="shared" ca="1" si="6"/>
        <v>0.55650941164548995</v>
      </c>
      <c r="L18" s="212" t="s">
        <v>679</v>
      </c>
      <c r="M18" s="212" t="s">
        <v>448</v>
      </c>
      <c r="N18" s="212" t="s">
        <v>470</v>
      </c>
      <c r="O18" s="213">
        <v>41419</v>
      </c>
      <c r="P18" s="212" t="s">
        <v>531</v>
      </c>
      <c r="Q18" s="214">
        <v>100</v>
      </c>
      <c r="R18" s="212" t="s">
        <v>445</v>
      </c>
      <c r="S18" s="212" t="s">
        <v>532</v>
      </c>
      <c r="T18" s="212" t="s">
        <v>445</v>
      </c>
      <c r="U18" s="212" t="s">
        <v>446</v>
      </c>
      <c r="V18" s="214" t="b">
        <v>1</v>
      </c>
      <c r="W18" s="214">
        <v>1989</v>
      </c>
      <c r="X18" s="214">
        <v>5</v>
      </c>
      <c r="Y18" s="214">
        <v>2</v>
      </c>
      <c r="Z18" s="214">
        <v>4</v>
      </c>
      <c r="AA18" s="212" t="s">
        <v>447</v>
      </c>
      <c r="AB18" s="212" t="s">
        <v>531</v>
      </c>
      <c r="AC18" s="212" t="s">
        <v>533</v>
      </c>
      <c r="AD18" s="214">
        <v>2.118258</v>
      </c>
      <c r="AE18" s="214">
        <v>130</v>
      </c>
      <c r="AF18" s="214">
        <v>0.3075</v>
      </c>
      <c r="AG18" s="214">
        <v>-99</v>
      </c>
      <c r="AH18" s="212" t="s">
        <v>224</v>
      </c>
      <c r="AI18" s="212" t="s">
        <v>449</v>
      </c>
      <c r="AJ18" s="212" t="s">
        <v>404</v>
      </c>
      <c r="AK18" s="212" t="s">
        <v>531</v>
      </c>
      <c r="AL18" s="212" t="s">
        <v>405</v>
      </c>
      <c r="AM18" s="214" t="b">
        <v>1</v>
      </c>
      <c r="AN18" s="214" t="b">
        <v>0</v>
      </c>
      <c r="AO18" s="212" t="s">
        <v>406</v>
      </c>
      <c r="AP18" s="212" t="s">
        <v>407</v>
      </c>
      <c r="AQ18" s="214">
        <v>114.22852</v>
      </c>
      <c r="AR18" s="214" t="b">
        <v>0</v>
      </c>
      <c r="AS18" s="212" t="s">
        <v>534</v>
      </c>
      <c r="AU18" s="222" t="s">
        <v>819</v>
      </c>
    </row>
    <row r="19" spans="1:47" x14ac:dyDescent="0.25">
      <c r="A19" s="245">
        <f t="shared" si="7"/>
        <v>19</v>
      </c>
      <c r="B19" s="246" t="str">
        <f t="shared" si="0"/>
        <v>Oil Field - Tank</v>
      </c>
      <c r="C19" s="246" t="str">
        <f ca="1">IF(B19="","",VLOOKUP(D19,'Species Data'!B:E,4,FALSE))</f>
        <v>dimetpen3</v>
      </c>
      <c r="D19" s="246">
        <f t="shared" ca="1" si="1"/>
        <v>140</v>
      </c>
      <c r="E19" s="246">
        <f t="shared" ca="1" si="2"/>
        <v>0.2107</v>
      </c>
      <c r="F19" s="246" t="str">
        <f t="shared" ca="1" si="3"/>
        <v>2,3-dimethylpentane</v>
      </c>
      <c r="G19" s="246">
        <f t="shared" ca="1" si="4"/>
        <v>100.20194000000001</v>
      </c>
      <c r="H19" s="204">
        <f ca="1">IF(G19="","",IF(VLOOKUP(Tank!F19,'Species Data'!D:F,3,FALSE)=0,"X",IF(G19&lt;44.1,2,1)))</f>
        <v>1</v>
      </c>
      <c r="I19" s="204">
        <f t="shared" ca="1" si="5"/>
        <v>0.24488235087056845</v>
      </c>
      <c r="J19" s="247">
        <f ca="1">IF(I19="","",IF(COUNTIF($D$12:D19,D19)=1,IF(H19=1,I19*H19,IF(H19="X","X",0)),0))</f>
        <v>0.24488235087056845</v>
      </c>
      <c r="K19" s="248">
        <f t="shared" ca="1" si="6"/>
        <v>0.61933296093322843</v>
      </c>
      <c r="L19" s="212" t="s">
        <v>679</v>
      </c>
      <c r="M19" s="212" t="s">
        <v>448</v>
      </c>
      <c r="N19" s="212" t="s">
        <v>470</v>
      </c>
      <c r="O19" s="213">
        <v>41419</v>
      </c>
      <c r="P19" s="212" t="s">
        <v>531</v>
      </c>
      <c r="Q19" s="214">
        <v>100</v>
      </c>
      <c r="R19" s="212" t="s">
        <v>445</v>
      </c>
      <c r="S19" s="212" t="s">
        <v>532</v>
      </c>
      <c r="T19" s="212" t="s">
        <v>445</v>
      </c>
      <c r="U19" s="212" t="s">
        <v>446</v>
      </c>
      <c r="V19" s="214" t="b">
        <v>1</v>
      </c>
      <c r="W19" s="214">
        <v>1989</v>
      </c>
      <c r="X19" s="214">
        <v>5</v>
      </c>
      <c r="Y19" s="214">
        <v>2</v>
      </c>
      <c r="Z19" s="214">
        <v>4</v>
      </c>
      <c r="AA19" s="212" t="s">
        <v>447</v>
      </c>
      <c r="AB19" s="212" t="s">
        <v>531</v>
      </c>
      <c r="AC19" s="212" t="s">
        <v>533</v>
      </c>
      <c r="AD19" s="214">
        <v>2.118258</v>
      </c>
      <c r="AE19" s="214">
        <v>140</v>
      </c>
      <c r="AF19" s="214">
        <v>0.2107</v>
      </c>
      <c r="AG19" s="214">
        <v>-99</v>
      </c>
      <c r="AH19" s="212" t="s">
        <v>224</v>
      </c>
      <c r="AI19" s="212" t="s">
        <v>449</v>
      </c>
      <c r="AJ19" s="212" t="s">
        <v>307</v>
      </c>
      <c r="AK19" s="212" t="s">
        <v>531</v>
      </c>
      <c r="AL19" s="212" t="s">
        <v>385</v>
      </c>
      <c r="AM19" s="214" t="b">
        <v>1</v>
      </c>
      <c r="AN19" s="214" t="b">
        <v>0</v>
      </c>
      <c r="AO19" s="212" t="s">
        <v>308</v>
      </c>
      <c r="AP19" s="212" t="s">
        <v>309</v>
      </c>
      <c r="AQ19" s="214">
        <v>100.20194000000001</v>
      </c>
      <c r="AR19" s="214" t="b">
        <v>0</v>
      </c>
      <c r="AS19" s="212" t="s">
        <v>534</v>
      </c>
      <c r="AU19" s="222" t="s">
        <v>819</v>
      </c>
    </row>
    <row r="20" spans="1:47" x14ac:dyDescent="0.25">
      <c r="A20" s="245">
        <f t="shared" si="7"/>
        <v>20</v>
      </c>
      <c r="B20" s="246" t="str">
        <f t="shared" si="0"/>
        <v>Oil Field - Tank</v>
      </c>
      <c r="C20" s="246" t="str">
        <f ca="1">IF(B20="","",VLOOKUP(D20,'Species Data'!B:E,4,FALSE))</f>
        <v>dimethhex24</v>
      </c>
      <c r="D20" s="246">
        <f t="shared" ca="1" si="1"/>
        <v>149</v>
      </c>
      <c r="E20" s="246">
        <f t="shared" ca="1" si="2"/>
        <v>0.152</v>
      </c>
      <c r="F20" s="246" t="str">
        <f t="shared" ca="1" si="3"/>
        <v>2,4-dimethylhexane</v>
      </c>
      <c r="G20" s="246">
        <f t="shared" ca="1" si="4"/>
        <v>114.22852</v>
      </c>
      <c r="H20" s="204">
        <f ca="1">IF(G20="","",IF(VLOOKUP(Tank!F20,'Species Data'!D:F,3,FALSE)=0,"X",IF(G20&lt;44.1,2,1)))</f>
        <v>1</v>
      </c>
      <c r="I20" s="204">
        <f t="shared" ca="1" si="5"/>
        <v>6.6793974555489091E-2</v>
      </c>
      <c r="J20" s="247">
        <f ca="1">IF(I20="","",IF(COUNTIF($D$12:D20,D20)=1,IF(H20=1,I20*H20,IF(H20="X","X",0)),0))</f>
        <v>6.6793974555489091E-2</v>
      </c>
      <c r="K20" s="248">
        <f t="shared" ca="1" si="6"/>
        <v>0.16892891581155439</v>
      </c>
      <c r="L20" s="212" t="s">
        <v>679</v>
      </c>
      <c r="M20" s="212" t="s">
        <v>448</v>
      </c>
      <c r="N20" s="212" t="s">
        <v>470</v>
      </c>
      <c r="O20" s="213">
        <v>41419</v>
      </c>
      <c r="P20" s="212" t="s">
        <v>531</v>
      </c>
      <c r="Q20" s="214">
        <v>100</v>
      </c>
      <c r="R20" s="212" t="s">
        <v>445</v>
      </c>
      <c r="S20" s="212" t="s">
        <v>532</v>
      </c>
      <c r="T20" s="212" t="s">
        <v>445</v>
      </c>
      <c r="U20" s="212" t="s">
        <v>446</v>
      </c>
      <c r="V20" s="214" t="b">
        <v>1</v>
      </c>
      <c r="W20" s="214">
        <v>1989</v>
      </c>
      <c r="X20" s="214">
        <v>5</v>
      </c>
      <c r="Y20" s="214">
        <v>2</v>
      </c>
      <c r="Z20" s="214">
        <v>4</v>
      </c>
      <c r="AA20" s="212" t="s">
        <v>447</v>
      </c>
      <c r="AB20" s="212" t="s">
        <v>531</v>
      </c>
      <c r="AC20" s="212" t="s">
        <v>533</v>
      </c>
      <c r="AD20" s="214">
        <v>2.118258</v>
      </c>
      <c r="AE20" s="214">
        <v>149</v>
      </c>
      <c r="AF20" s="214">
        <v>0.152</v>
      </c>
      <c r="AG20" s="214">
        <v>-99</v>
      </c>
      <c r="AH20" s="212" t="s">
        <v>224</v>
      </c>
      <c r="AI20" s="212" t="s">
        <v>449</v>
      </c>
      <c r="AJ20" s="212" t="s">
        <v>427</v>
      </c>
      <c r="AK20" s="212" t="s">
        <v>531</v>
      </c>
      <c r="AL20" s="212" t="s">
        <v>457</v>
      </c>
      <c r="AM20" s="214" t="b">
        <v>0</v>
      </c>
      <c r="AN20" s="214" t="b">
        <v>0</v>
      </c>
      <c r="AO20" s="212" t="s">
        <v>428</v>
      </c>
      <c r="AP20" s="212" t="s">
        <v>429</v>
      </c>
      <c r="AQ20" s="214">
        <v>114.22852</v>
      </c>
      <c r="AR20" s="214" t="b">
        <v>0</v>
      </c>
      <c r="AS20" s="212" t="s">
        <v>534</v>
      </c>
      <c r="AU20" s="222" t="s">
        <v>819</v>
      </c>
    </row>
    <row r="21" spans="1:47" x14ac:dyDescent="0.25">
      <c r="A21" s="245">
        <f t="shared" si="7"/>
        <v>21</v>
      </c>
      <c r="B21" s="246" t="str">
        <f t="shared" si="0"/>
        <v>Oil Field - Tank</v>
      </c>
      <c r="C21" s="246" t="str">
        <f ca="1">IF(B21="","",VLOOKUP(D21,'Species Data'!B:E,4,FALSE))</f>
        <v>methep2</v>
      </c>
      <c r="D21" s="246">
        <f t="shared" ca="1" si="1"/>
        <v>193</v>
      </c>
      <c r="E21" s="246">
        <f t="shared" ca="1" si="2"/>
        <v>9.2399999999999996E-2</v>
      </c>
      <c r="F21" s="246" t="str">
        <f t="shared" ca="1" si="3"/>
        <v>2-methylheptane</v>
      </c>
      <c r="G21" s="246">
        <f t="shared" ca="1" si="4"/>
        <v>114.22852</v>
      </c>
      <c r="H21" s="204">
        <f ca="1">IF(G21="","",IF(VLOOKUP(Tank!F21,'Species Data'!D:F,3,FALSE)=0,"X",IF(G21&lt;44.1,2,1)))</f>
        <v>1</v>
      </c>
      <c r="I21" s="204">
        <f t="shared" ca="1" si="5"/>
        <v>0.11845447049625013</v>
      </c>
      <c r="J21" s="247">
        <f ca="1">IF(I21="","",IF(COUNTIF($D$12:D21,D21)=1,IF(H21=1,I21*H21,IF(H21="X","X",0)),0))</f>
        <v>0.11845447049625013</v>
      </c>
      <c r="K21" s="248">
        <f t="shared" ca="1" si="6"/>
        <v>0.29958368860561913</v>
      </c>
      <c r="L21" s="212" t="s">
        <v>679</v>
      </c>
      <c r="M21" s="212" t="s">
        <v>448</v>
      </c>
      <c r="N21" s="212" t="s">
        <v>470</v>
      </c>
      <c r="O21" s="213">
        <v>41419</v>
      </c>
      <c r="P21" s="212" t="s">
        <v>531</v>
      </c>
      <c r="Q21" s="214">
        <v>100</v>
      </c>
      <c r="R21" s="212" t="s">
        <v>445</v>
      </c>
      <c r="S21" s="212" t="s">
        <v>532</v>
      </c>
      <c r="T21" s="212" t="s">
        <v>445</v>
      </c>
      <c r="U21" s="212" t="s">
        <v>446</v>
      </c>
      <c r="V21" s="214" t="b">
        <v>1</v>
      </c>
      <c r="W21" s="214">
        <v>1989</v>
      </c>
      <c r="X21" s="214">
        <v>5</v>
      </c>
      <c r="Y21" s="214">
        <v>2</v>
      </c>
      <c r="Z21" s="214">
        <v>4</v>
      </c>
      <c r="AA21" s="212" t="s">
        <v>447</v>
      </c>
      <c r="AB21" s="212" t="s">
        <v>531</v>
      </c>
      <c r="AC21" s="212" t="s">
        <v>533</v>
      </c>
      <c r="AD21" s="214">
        <v>2.118258</v>
      </c>
      <c r="AE21" s="214">
        <v>193</v>
      </c>
      <c r="AF21" s="214">
        <v>9.2399999999999996E-2</v>
      </c>
      <c r="AG21" s="214">
        <v>-99</v>
      </c>
      <c r="AH21" s="212" t="s">
        <v>224</v>
      </c>
      <c r="AI21" s="212" t="s">
        <v>449</v>
      </c>
      <c r="AJ21" s="212" t="s">
        <v>313</v>
      </c>
      <c r="AK21" s="212" t="s">
        <v>531</v>
      </c>
      <c r="AL21" s="212" t="s">
        <v>387</v>
      </c>
      <c r="AM21" s="214" t="b">
        <v>1</v>
      </c>
      <c r="AN21" s="214" t="b">
        <v>0</v>
      </c>
      <c r="AO21" s="212" t="s">
        <v>314</v>
      </c>
      <c r="AP21" s="212" t="s">
        <v>315</v>
      </c>
      <c r="AQ21" s="214">
        <v>114.22852</v>
      </c>
      <c r="AR21" s="214" t="b">
        <v>0</v>
      </c>
      <c r="AS21" s="212" t="s">
        <v>534</v>
      </c>
      <c r="AU21" s="222" t="s">
        <v>819</v>
      </c>
    </row>
    <row r="22" spans="1:47" x14ac:dyDescent="0.25">
      <c r="A22" s="245">
        <f t="shared" si="7"/>
        <v>22</v>
      </c>
      <c r="B22" s="246" t="str">
        <f t="shared" si="0"/>
        <v>Oil Field - Tank</v>
      </c>
      <c r="C22" s="246" t="str">
        <f ca="1">IF(B22="","",VLOOKUP(D22,'Species Data'!B:E,4,FALSE))</f>
        <v>twomethex</v>
      </c>
      <c r="D22" s="246">
        <f t="shared" ca="1" si="1"/>
        <v>194</v>
      </c>
      <c r="E22" s="246">
        <f t="shared" ca="1" si="2"/>
        <v>0.20649999999999999</v>
      </c>
      <c r="F22" s="246" t="str">
        <f t="shared" ca="1" si="3"/>
        <v>2-methylhexane</v>
      </c>
      <c r="G22" s="246">
        <f t="shared" ca="1" si="4"/>
        <v>100.20194000000001</v>
      </c>
      <c r="H22" s="204">
        <f ca="1">IF(G22="","",IF(VLOOKUP(Tank!F22,'Species Data'!D:F,3,FALSE)=0,"X",IF(G22&lt;44.1,2,1)))</f>
        <v>1</v>
      </c>
      <c r="I22" s="204">
        <f t="shared" ca="1" si="5"/>
        <v>0.30248957056654424</v>
      </c>
      <c r="J22" s="247">
        <f ca="1">IF(I22="","",IF(COUNTIF($D$12:D22,D22)=1,IF(H22=1,I22*H22,IF(H22="X","X",0)),0))</f>
        <v>0.30248957056654424</v>
      </c>
      <c r="K22" s="248">
        <f t="shared" ca="1" si="6"/>
        <v>0.76502761723901169</v>
      </c>
      <c r="L22" s="212" t="s">
        <v>679</v>
      </c>
      <c r="M22" s="212" t="s">
        <v>448</v>
      </c>
      <c r="N22" s="212" t="s">
        <v>470</v>
      </c>
      <c r="O22" s="213">
        <v>41419</v>
      </c>
      <c r="P22" s="212" t="s">
        <v>531</v>
      </c>
      <c r="Q22" s="214">
        <v>100</v>
      </c>
      <c r="R22" s="212" t="s">
        <v>445</v>
      </c>
      <c r="S22" s="212" t="s">
        <v>532</v>
      </c>
      <c r="T22" s="212" t="s">
        <v>445</v>
      </c>
      <c r="U22" s="212" t="s">
        <v>446</v>
      </c>
      <c r="V22" s="214" t="b">
        <v>1</v>
      </c>
      <c r="W22" s="214">
        <v>1989</v>
      </c>
      <c r="X22" s="214">
        <v>5</v>
      </c>
      <c r="Y22" s="214">
        <v>2</v>
      </c>
      <c r="Z22" s="214">
        <v>4</v>
      </c>
      <c r="AA22" s="212" t="s">
        <v>447</v>
      </c>
      <c r="AB22" s="212" t="s">
        <v>531</v>
      </c>
      <c r="AC22" s="212" t="s">
        <v>533</v>
      </c>
      <c r="AD22" s="214">
        <v>2.118258</v>
      </c>
      <c r="AE22" s="214">
        <v>194</v>
      </c>
      <c r="AF22" s="214">
        <v>0.20649999999999999</v>
      </c>
      <c r="AG22" s="214">
        <v>-99</v>
      </c>
      <c r="AH22" s="212" t="s">
        <v>224</v>
      </c>
      <c r="AI22" s="212" t="s">
        <v>449</v>
      </c>
      <c r="AJ22" s="212" t="s">
        <v>316</v>
      </c>
      <c r="AK22" s="212" t="s">
        <v>531</v>
      </c>
      <c r="AL22" s="212" t="s">
        <v>388</v>
      </c>
      <c r="AM22" s="214" t="b">
        <v>1</v>
      </c>
      <c r="AN22" s="214" t="b">
        <v>0</v>
      </c>
      <c r="AO22" s="212" t="s">
        <v>317</v>
      </c>
      <c r="AP22" s="212" t="s">
        <v>318</v>
      </c>
      <c r="AQ22" s="214">
        <v>100.20194000000001</v>
      </c>
      <c r="AR22" s="214" t="b">
        <v>0</v>
      </c>
      <c r="AS22" s="212" t="s">
        <v>534</v>
      </c>
      <c r="AU22" s="222" t="s">
        <v>819</v>
      </c>
    </row>
    <row r="23" spans="1:47" x14ac:dyDescent="0.25">
      <c r="A23" s="245">
        <f t="shared" si="7"/>
        <v>23</v>
      </c>
      <c r="B23" s="246" t="str">
        <f t="shared" si="0"/>
        <v>Oil Field - Tank</v>
      </c>
      <c r="C23" s="246" t="str">
        <f ca="1">IF(B23="","",VLOOKUP(D23,'Species Data'!B:E,4,FALSE))</f>
        <v>twometpen</v>
      </c>
      <c r="D23" s="246">
        <f t="shared" ca="1" si="1"/>
        <v>199</v>
      </c>
      <c r="E23" s="246">
        <f t="shared" ca="1" si="2"/>
        <v>1.0121</v>
      </c>
      <c r="F23" s="246" t="str">
        <f t="shared" ca="1" si="3"/>
        <v>2-methylpentane (isohexane)</v>
      </c>
      <c r="G23" s="246">
        <f t="shared" ca="1" si="4"/>
        <v>86.175359999999998</v>
      </c>
      <c r="H23" s="204">
        <f ca="1">IF(G23="","",IF(VLOOKUP(Tank!F23,'Species Data'!D:F,3,FALSE)=0,"X",IF(G23&lt;44.1,2,1)))</f>
        <v>1</v>
      </c>
      <c r="I23" s="204">
        <f t="shared" ca="1" si="5"/>
        <v>0.93120227287515311</v>
      </c>
      <c r="J23" s="247">
        <f ca="1">IF(I23="","",IF(COUNTIF($D$12:D23,D23)=1,IF(H23=1,I23*H23,IF(H23="X","X",0)),0))</f>
        <v>0.93120227287515311</v>
      </c>
      <c r="K23" s="248">
        <f t="shared" ca="1" si="6"/>
        <v>2.3551074989162695</v>
      </c>
      <c r="L23" s="212" t="s">
        <v>679</v>
      </c>
      <c r="M23" s="212" t="s">
        <v>448</v>
      </c>
      <c r="N23" s="212" t="s">
        <v>470</v>
      </c>
      <c r="O23" s="213">
        <v>41419</v>
      </c>
      <c r="P23" s="212" t="s">
        <v>531</v>
      </c>
      <c r="Q23" s="214">
        <v>100</v>
      </c>
      <c r="R23" s="212" t="s">
        <v>445</v>
      </c>
      <c r="S23" s="212" t="s">
        <v>532</v>
      </c>
      <c r="T23" s="212" t="s">
        <v>445</v>
      </c>
      <c r="U23" s="212" t="s">
        <v>446</v>
      </c>
      <c r="V23" s="214" t="b">
        <v>1</v>
      </c>
      <c r="W23" s="214">
        <v>1989</v>
      </c>
      <c r="X23" s="214">
        <v>5</v>
      </c>
      <c r="Y23" s="214">
        <v>2</v>
      </c>
      <c r="Z23" s="214">
        <v>4</v>
      </c>
      <c r="AA23" s="212" t="s">
        <v>447</v>
      </c>
      <c r="AB23" s="212" t="s">
        <v>531</v>
      </c>
      <c r="AC23" s="212" t="s">
        <v>533</v>
      </c>
      <c r="AD23" s="214">
        <v>2.118258</v>
      </c>
      <c r="AE23" s="214">
        <v>199</v>
      </c>
      <c r="AF23" s="214">
        <v>1.0121</v>
      </c>
      <c r="AG23" s="214">
        <v>-99</v>
      </c>
      <c r="AH23" s="212" t="s">
        <v>224</v>
      </c>
      <c r="AI23" s="212" t="s">
        <v>449</v>
      </c>
      <c r="AJ23" s="212" t="s">
        <v>319</v>
      </c>
      <c r="AK23" s="212" t="s">
        <v>531</v>
      </c>
      <c r="AL23" s="212" t="s">
        <v>389</v>
      </c>
      <c r="AM23" s="214" t="b">
        <v>1</v>
      </c>
      <c r="AN23" s="214" t="b">
        <v>0</v>
      </c>
      <c r="AO23" s="212" t="s">
        <v>320</v>
      </c>
      <c r="AP23" s="212" t="s">
        <v>321</v>
      </c>
      <c r="AQ23" s="214">
        <v>86.175359999999998</v>
      </c>
      <c r="AR23" s="214" t="b">
        <v>0</v>
      </c>
      <c r="AS23" s="212" t="s">
        <v>534</v>
      </c>
      <c r="AU23" s="222" t="s">
        <v>819</v>
      </c>
    </row>
    <row r="24" spans="1:47" x14ac:dyDescent="0.25">
      <c r="A24" s="245">
        <f t="shared" si="7"/>
        <v>24</v>
      </c>
      <c r="B24" s="246" t="str">
        <f t="shared" si="0"/>
        <v>Oil Field - Tank</v>
      </c>
      <c r="C24" s="246" t="str">
        <f ca="1">IF(B24="","",VLOOKUP(D24,'Species Data'!B:E,4,FALSE))</f>
        <v>threemethex</v>
      </c>
      <c r="D24" s="246">
        <f t="shared" ca="1" si="1"/>
        <v>245</v>
      </c>
      <c r="E24" s="246">
        <f t="shared" ca="1" si="2"/>
        <v>0.28139999999999998</v>
      </c>
      <c r="F24" s="246" t="str">
        <f t="shared" ca="1" si="3"/>
        <v>3-methylhexane</v>
      </c>
      <c r="G24" s="246">
        <f t="shared" ca="1" si="4"/>
        <v>100.20194000000001</v>
      </c>
      <c r="H24" s="204">
        <f ca="1">IF(G24="","",IF(VLOOKUP(Tank!F24,'Species Data'!D:F,3,FALSE)=0,"X",IF(G24&lt;44.1,2,1)))</f>
        <v>1</v>
      </c>
      <c r="I24" s="204">
        <f t="shared" ca="1" si="5"/>
        <v>0.33724323753508045</v>
      </c>
      <c r="J24" s="247">
        <f ca="1">IF(I24="","",IF(COUNTIF($D$12:D24,D24)=1,IF(H24=1,I24*H24,IF(H24="X","X",0)),0))</f>
        <v>0.33724323753508045</v>
      </c>
      <c r="K24" s="248">
        <f t="shared" ca="1" si="6"/>
        <v>0.85292325933159896</v>
      </c>
      <c r="L24" s="212" t="s">
        <v>679</v>
      </c>
      <c r="M24" s="212" t="s">
        <v>448</v>
      </c>
      <c r="N24" s="212" t="s">
        <v>470</v>
      </c>
      <c r="O24" s="213">
        <v>41419</v>
      </c>
      <c r="P24" s="212" t="s">
        <v>531</v>
      </c>
      <c r="Q24" s="214">
        <v>100</v>
      </c>
      <c r="R24" s="212" t="s">
        <v>445</v>
      </c>
      <c r="S24" s="212" t="s">
        <v>532</v>
      </c>
      <c r="T24" s="212" t="s">
        <v>445</v>
      </c>
      <c r="U24" s="212" t="s">
        <v>446</v>
      </c>
      <c r="V24" s="214" t="b">
        <v>1</v>
      </c>
      <c r="W24" s="214">
        <v>1989</v>
      </c>
      <c r="X24" s="214">
        <v>5</v>
      </c>
      <c r="Y24" s="214">
        <v>2</v>
      </c>
      <c r="Z24" s="214">
        <v>4</v>
      </c>
      <c r="AA24" s="212" t="s">
        <v>447</v>
      </c>
      <c r="AB24" s="212" t="s">
        <v>531</v>
      </c>
      <c r="AC24" s="212" t="s">
        <v>533</v>
      </c>
      <c r="AD24" s="214">
        <v>2.118258</v>
      </c>
      <c r="AE24" s="214">
        <v>245</v>
      </c>
      <c r="AF24" s="214">
        <v>0.28139999999999998</v>
      </c>
      <c r="AG24" s="214">
        <v>-99</v>
      </c>
      <c r="AH24" s="212" t="s">
        <v>224</v>
      </c>
      <c r="AI24" s="212" t="s">
        <v>449</v>
      </c>
      <c r="AJ24" s="212" t="s">
        <v>325</v>
      </c>
      <c r="AK24" s="212" t="s">
        <v>531</v>
      </c>
      <c r="AL24" s="212" t="s">
        <v>390</v>
      </c>
      <c r="AM24" s="214" t="b">
        <v>1</v>
      </c>
      <c r="AN24" s="214" t="b">
        <v>0</v>
      </c>
      <c r="AO24" s="212" t="s">
        <v>326</v>
      </c>
      <c r="AP24" s="212" t="s">
        <v>327</v>
      </c>
      <c r="AQ24" s="214">
        <v>100.20194000000001</v>
      </c>
      <c r="AR24" s="214" t="b">
        <v>0</v>
      </c>
      <c r="AS24" s="212" t="s">
        <v>534</v>
      </c>
      <c r="AU24" s="222" t="s">
        <v>819</v>
      </c>
    </row>
    <row r="25" spans="1:47" ht="15" customHeight="1" x14ac:dyDescent="0.25">
      <c r="A25" s="245">
        <f t="shared" si="7"/>
        <v>25</v>
      </c>
      <c r="B25" s="246" t="str">
        <f t="shared" si="0"/>
        <v>Oil Field - Tank</v>
      </c>
      <c r="C25" s="246" t="str">
        <f ca="1">IF(B25="","",VLOOKUP(D25,'Species Data'!B:E,4,FALSE))</f>
        <v>threemetpen</v>
      </c>
      <c r="D25" s="246">
        <f t="shared" ca="1" si="1"/>
        <v>248</v>
      </c>
      <c r="E25" s="246">
        <f t="shared" ca="1" si="2"/>
        <v>0.67830000000000001</v>
      </c>
      <c r="F25" s="246" t="str">
        <f t="shared" ca="1" si="3"/>
        <v>3-methylpentane</v>
      </c>
      <c r="G25" s="246">
        <f t="shared" ca="1" si="4"/>
        <v>86.175359999999998</v>
      </c>
      <c r="H25" s="204">
        <f ca="1">IF(G25="","",IF(VLOOKUP(Tank!F25,'Species Data'!D:F,3,FALSE)=0,"X",IF(G25&lt;44.1,2,1)))</f>
        <v>1</v>
      </c>
      <c r="I25" s="204">
        <f t="shared" ca="1" si="5"/>
        <v>0.72479362468546382</v>
      </c>
      <c r="J25" s="247">
        <f ca="1">IF(I25="","",IF(COUNTIF($D$12:D25,D25)=1,IF(H25=1,I25*H25,IF(H25="X","X",0)),0))</f>
        <v>0.72479362468546382</v>
      </c>
      <c r="K25" s="248">
        <f t="shared" ca="1" si="6"/>
        <v>1.8330785376984298</v>
      </c>
      <c r="L25" s="212" t="s">
        <v>679</v>
      </c>
      <c r="M25" s="212" t="s">
        <v>448</v>
      </c>
      <c r="N25" s="212" t="s">
        <v>470</v>
      </c>
      <c r="O25" s="213">
        <v>41419</v>
      </c>
      <c r="P25" s="212" t="s">
        <v>531</v>
      </c>
      <c r="Q25" s="214">
        <v>100</v>
      </c>
      <c r="R25" s="212" t="s">
        <v>445</v>
      </c>
      <c r="S25" s="212" t="s">
        <v>532</v>
      </c>
      <c r="T25" s="212" t="s">
        <v>445</v>
      </c>
      <c r="U25" s="212" t="s">
        <v>446</v>
      </c>
      <c r="V25" s="214" t="b">
        <v>1</v>
      </c>
      <c r="W25" s="214">
        <v>1989</v>
      </c>
      <c r="X25" s="214">
        <v>5</v>
      </c>
      <c r="Y25" s="214">
        <v>2</v>
      </c>
      <c r="Z25" s="214">
        <v>4</v>
      </c>
      <c r="AA25" s="212" t="s">
        <v>447</v>
      </c>
      <c r="AB25" s="212" t="s">
        <v>531</v>
      </c>
      <c r="AC25" s="212" t="s">
        <v>533</v>
      </c>
      <c r="AD25" s="214">
        <v>2.118258</v>
      </c>
      <c r="AE25" s="214">
        <v>248</v>
      </c>
      <c r="AF25" s="214">
        <v>0.67830000000000001</v>
      </c>
      <c r="AG25" s="214">
        <v>-99</v>
      </c>
      <c r="AH25" s="212" t="s">
        <v>224</v>
      </c>
      <c r="AI25" s="212" t="s">
        <v>449</v>
      </c>
      <c r="AJ25" s="212" t="s">
        <v>328</v>
      </c>
      <c r="AK25" s="212" t="s">
        <v>531</v>
      </c>
      <c r="AL25" s="212" t="s">
        <v>391</v>
      </c>
      <c r="AM25" s="214" t="b">
        <v>1</v>
      </c>
      <c r="AN25" s="214" t="b">
        <v>0</v>
      </c>
      <c r="AO25" s="212" t="s">
        <v>329</v>
      </c>
      <c r="AP25" s="212" t="s">
        <v>330</v>
      </c>
      <c r="AQ25" s="214">
        <v>86.175359999999998</v>
      </c>
      <c r="AR25" s="214" t="b">
        <v>0</v>
      </c>
      <c r="AS25" s="212" t="s">
        <v>534</v>
      </c>
      <c r="AU25" s="222" t="s">
        <v>819</v>
      </c>
    </row>
    <row r="26" spans="1:47" x14ac:dyDescent="0.25">
      <c r="A26" s="245">
        <f t="shared" si="7"/>
        <v>26</v>
      </c>
      <c r="B26" s="246" t="str">
        <f t="shared" si="0"/>
        <v>Oil Field - Tank</v>
      </c>
      <c r="C26" s="246" t="str">
        <f ca="1">IF(B26="","",VLOOKUP(D26,'Species Data'!B:E,4,FALSE))</f>
        <v>benzene</v>
      </c>
      <c r="D26" s="246">
        <f t="shared" ca="1" si="1"/>
        <v>302</v>
      </c>
      <c r="E26" s="246">
        <f t="shared" ca="1" si="2"/>
        <v>7.9899999999999999E-2</v>
      </c>
      <c r="F26" s="246" t="str">
        <f t="shared" ca="1" si="3"/>
        <v>Benzene</v>
      </c>
      <c r="G26" s="246">
        <f t="shared" ca="1" si="4"/>
        <v>78.111840000000001</v>
      </c>
      <c r="H26" s="204">
        <f ca="1">IF(G26="","",IF(VLOOKUP(Tank!F26,'Species Data'!D:F,3,FALSE)=0,"X",IF(G26&lt;44.1,2,1)))</f>
        <v>1</v>
      </c>
      <c r="I26" s="204">
        <f t="shared" ca="1" si="5"/>
        <v>0.24518902048126334</v>
      </c>
      <c r="J26" s="247">
        <f ca="1">IF(I26="","",IF(COUNTIF($D$12:D26,D26)=1,IF(H26=1,I26*H26,IF(H26="X","X",0)),0))</f>
        <v>0.24518902048126334</v>
      </c>
      <c r="K26" s="248">
        <f t="shared" ca="1" si="6"/>
        <v>0.620108560307151</v>
      </c>
      <c r="L26" s="212" t="s">
        <v>679</v>
      </c>
      <c r="M26" s="212" t="s">
        <v>448</v>
      </c>
      <c r="N26" s="212" t="s">
        <v>470</v>
      </c>
      <c r="O26" s="213">
        <v>41419</v>
      </c>
      <c r="P26" s="212" t="s">
        <v>531</v>
      </c>
      <c r="Q26" s="214">
        <v>100</v>
      </c>
      <c r="R26" s="212" t="s">
        <v>445</v>
      </c>
      <c r="S26" s="212" t="s">
        <v>532</v>
      </c>
      <c r="T26" s="212" t="s">
        <v>445</v>
      </c>
      <c r="U26" s="212" t="s">
        <v>446</v>
      </c>
      <c r="V26" s="214" t="b">
        <v>1</v>
      </c>
      <c r="W26" s="214">
        <v>1989</v>
      </c>
      <c r="X26" s="214">
        <v>5</v>
      </c>
      <c r="Y26" s="214">
        <v>2</v>
      </c>
      <c r="Z26" s="214">
        <v>4</v>
      </c>
      <c r="AA26" s="212" t="s">
        <v>447</v>
      </c>
      <c r="AB26" s="212" t="s">
        <v>531</v>
      </c>
      <c r="AC26" s="212" t="s">
        <v>533</v>
      </c>
      <c r="AD26" s="214">
        <v>2.118258</v>
      </c>
      <c r="AE26" s="214">
        <v>302</v>
      </c>
      <c r="AF26" s="214">
        <v>7.9899999999999999E-2</v>
      </c>
      <c r="AG26" s="214">
        <v>-99</v>
      </c>
      <c r="AH26" s="212" t="s">
        <v>224</v>
      </c>
      <c r="AI26" s="212" t="s">
        <v>449</v>
      </c>
      <c r="AJ26" s="212" t="s">
        <v>262</v>
      </c>
      <c r="AK26" s="212" t="s">
        <v>531</v>
      </c>
      <c r="AL26" s="212" t="s">
        <v>373</v>
      </c>
      <c r="AM26" s="214" t="b">
        <v>1</v>
      </c>
      <c r="AN26" s="214" t="b">
        <v>1</v>
      </c>
      <c r="AO26" s="212" t="s">
        <v>263</v>
      </c>
      <c r="AP26" s="212" t="s">
        <v>264</v>
      </c>
      <c r="AQ26" s="214">
        <v>78.111840000000001</v>
      </c>
      <c r="AR26" s="214" t="b">
        <v>0</v>
      </c>
      <c r="AS26" s="212" t="s">
        <v>534</v>
      </c>
      <c r="AU26" s="222" t="s">
        <v>819</v>
      </c>
    </row>
    <row r="27" spans="1:47" x14ac:dyDescent="0.25">
      <c r="A27" s="245">
        <f t="shared" si="7"/>
        <v>27</v>
      </c>
      <c r="B27" s="246" t="str">
        <f t="shared" si="0"/>
        <v>Oil Field - Tank</v>
      </c>
      <c r="C27" s="246" t="str">
        <f ca="1">IF(B27="","",VLOOKUP(D27,'Species Data'!B:E,4,FALSE))</f>
        <v>cyclohexane</v>
      </c>
      <c r="D27" s="246">
        <f t="shared" ca="1" si="1"/>
        <v>385</v>
      </c>
      <c r="E27" s="246">
        <f t="shared" ca="1" si="2"/>
        <v>2.5499999999999998E-2</v>
      </c>
      <c r="F27" s="246" t="str">
        <f t="shared" ca="1" si="3"/>
        <v>Cyclohexane</v>
      </c>
      <c r="G27" s="246">
        <f t="shared" ca="1" si="4"/>
        <v>84.159480000000002</v>
      </c>
      <c r="H27" s="204">
        <f ca="1">IF(G27="","",IF(VLOOKUP(Tank!F27,'Species Data'!D:F,3,FALSE)=0,"X",IF(G27&lt;44.1,2,1)))</f>
        <v>1</v>
      </c>
      <c r="I27" s="204">
        <f t="shared" ca="1" si="5"/>
        <v>1.8406843372363042E-2</v>
      </c>
      <c r="J27" s="247">
        <f ca="1">IF(I27="","",IF(COUNTIF($D$12:D27,D27)=1,IF(H27=1,I27*H27,IF(H27="X","X",0)),0))</f>
        <v>1.8406843372363042E-2</v>
      </c>
      <c r="K27" s="248">
        <f t="shared" ca="1" si="6"/>
        <v>4.6552823291316651E-2</v>
      </c>
      <c r="L27" s="212" t="s">
        <v>679</v>
      </c>
      <c r="M27" s="212" t="s">
        <v>448</v>
      </c>
      <c r="N27" s="212" t="s">
        <v>470</v>
      </c>
      <c r="O27" s="213">
        <v>41419</v>
      </c>
      <c r="P27" s="212" t="s">
        <v>531</v>
      </c>
      <c r="Q27" s="214">
        <v>100</v>
      </c>
      <c r="R27" s="212" t="s">
        <v>445</v>
      </c>
      <c r="S27" s="212" t="s">
        <v>532</v>
      </c>
      <c r="T27" s="212" t="s">
        <v>445</v>
      </c>
      <c r="U27" s="212" t="s">
        <v>446</v>
      </c>
      <c r="V27" s="214" t="b">
        <v>1</v>
      </c>
      <c r="W27" s="214">
        <v>1989</v>
      </c>
      <c r="X27" s="214">
        <v>5</v>
      </c>
      <c r="Y27" s="214">
        <v>2</v>
      </c>
      <c r="Z27" s="214">
        <v>4</v>
      </c>
      <c r="AA27" s="212" t="s">
        <v>447</v>
      </c>
      <c r="AB27" s="212" t="s">
        <v>531</v>
      </c>
      <c r="AC27" s="212" t="s">
        <v>533</v>
      </c>
      <c r="AD27" s="214">
        <v>2.118258</v>
      </c>
      <c r="AE27" s="214">
        <v>385</v>
      </c>
      <c r="AF27" s="214">
        <v>2.5499999999999998E-2</v>
      </c>
      <c r="AG27" s="214">
        <v>-99</v>
      </c>
      <c r="AH27" s="212" t="s">
        <v>224</v>
      </c>
      <c r="AI27" s="212" t="s">
        <v>449</v>
      </c>
      <c r="AJ27" s="212" t="s">
        <v>331</v>
      </c>
      <c r="AK27" s="212" t="s">
        <v>531</v>
      </c>
      <c r="AL27" s="212" t="s">
        <v>392</v>
      </c>
      <c r="AM27" s="214" t="b">
        <v>1</v>
      </c>
      <c r="AN27" s="214" t="b">
        <v>0</v>
      </c>
      <c r="AO27" s="212" t="s">
        <v>332</v>
      </c>
      <c r="AP27" s="212" t="s">
        <v>333</v>
      </c>
      <c r="AQ27" s="214">
        <v>84.159480000000002</v>
      </c>
      <c r="AR27" s="214" t="b">
        <v>0</v>
      </c>
      <c r="AS27" s="212" t="s">
        <v>534</v>
      </c>
      <c r="AU27" s="222" t="s">
        <v>819</v>
      </c>
    </row>
    <row r="28" spans="1:47" x14ac:dyDescent="0.25">
      <c r="A28" s="245">
        <f t="shared" si="7"/>
        <v>28</v>
      </c>
      <c r="B28" s="246" t="str">
        <f t="shared" si="0"/>
        <v>Oil Field - Tank</v>
      </c>
      <c r="C28" s="246" t="str">
        <f ca="1">IF(B28="","",VLOOKUP(D28,'Species Data'!B:E,4,FALSE))</f>
        <v>cyclopentane</v>
      </c>
      <c r="D28" s="246">
        <f t="shared" ca="1" si="1"/>
        <v>390</v>
      </c>
      <c r="E28" s="246">
        <f t="shared" ca="1" si="2"/>
        <v>0.42620000000000002</v>
      </c>
      <c r="F28" s="246" t="str">
        <f t="shared" ca="1" si="3"/>
        <v>Cyclopentane</v>
      </c>
      <c r="G28" s="246">
        <f t="shared" ca="1" si="4"/>
        <v>70.132900000000006</v>
      </c>
      <c r="H28" s="204">
        <f ca="1">IF(G28="","",IF(VLOOKUP(Tank!F28,'Species Data'!D:F,3,FALSE)=0,"X",IF(G28&lt;44.1,2,1)))</f>
        <v>1</v>
      </c>
      <c r="I28" s="204">
        <f t="shared" ca="1" si="5"/>
        <v>0.15432814821688956</v>
      </c>
      <c r="J28" s="247">
        <f ca="1">IF(I28="","",IF(COUNTIF($D$12:D28,D28)=1,IF(H28=1,I28*H28,IF(H28="X","X",0)),0))</f>
        <v>0.15432814821688956</v>
      </c>
      <c r="K28" s="248">
        <f t="shared" ca="1" si="6"/>
        <v>0.39031195449861977</v>
      </c>
      <c r="L28" s="212" t="s">
        <v>679</v>
      </c>
      <c r="M28" s="212" t="s">
        <v>448</v>
      </c>
      <c r="N28" s="212" t="s">
        <v>470</v>
      </c>
      <c r="O28" s="213">
        <v>41419</v>
      </c>
      <c r="P28" s="212" t="s">
        <v>531</v>
      </c>
      <c r="Q28" s="214">
        <v>100</v>
      </c>
      <c r="R28" s="212" t="s">
        <v>445</v>
      </c>
      <c r="S28" s="212" t="s">
        <v>532</v>
      </c>
      <c r="T28" s="212" t="s">
        <v>445</v>
      </c>
      <c r="U28" s="212" t="s">
        <v>446</v>
      </c>
      <c r="V28" s="214" t="b">
        <v>1</v>
      </c>
      <c r="W28" s="214">
        <v>1989</v>
      </c>
      <c r="X28" s="214">
        <v>5</v>
      </c>
      <c r="Y28" s="214">
        <v>2</v>
      </c>
      <c r="Z28" s="214">
        <v>4</v>
      </c>
      <c r="AA28" s="212" t="s">
        <v>447</v>
      </c>
      <c r="AB28" s="212" t="s">
        <v>531</v>
      </c>
      <c r="AC28" s="212" t="s">
        <v>533</v>
      </c>
      <c r="AD28" s="214">
        <v>2.118258</v>
      </c>
      <c r="AE28" s="214">
        <v>390</v>
      </c>
      <c r="AF28" s="214">
        <v>0.42620000000000002</v>
      </c>
      <c r="AG28" s="214">
        <v>-99</v>
      </c>
      <c r="AH28" s="212" t="s">
        <v>224</v>
      </c>
      <c r="AI28" s="212" t="s">
        <v>449</v>
      </c>
      <c r="AJ28" s="212" t="s">
        <v>334</v>
      </c>
      <c r="AK28" s="212" t="s">
        <v>531</v>
      </c>
      <c r="AL28" s="212" t="s">
        <v>393</v>
      </c>
      <c r="AM28" s="214" t="b">
        <v>1</v>
      </c>
      <c r="AN28" s="214" t="b">
        <v>0</v>
      </c>
      <c r="AO28" s="212" t="s">
        <v>335</v>
      </c>
      <c r="AP28" s="212" t="s">
        <v>336</v>
      </c>
      <c r="AQ28" s="214">
        <v>70.132900000000006</v>
      </c>
      <c r="AR28" s="214" t="b">
        <v>0</v>
      </c>
      <c r="AS28" s="212" t="s">
        <v>534</v>
      </c>
      <c r="AU28" s="222" t="s">
        <v>819</v>
      </c>
    </row>
    <row r="29" spans="1:47" ht="15" customHeight="1" x14ac:dyDescent="0.25">
      <c r="A29" s="245">
        <f t="shared" si="7"/>
        <v>29</v>
      </c>
      <c r="B29" s="246" t="str">
        <f t="shared" si="0"/>
        <v>Oil Field - Tank</v>
      </c>
      <c r="C29" s="246" t="str">
        <f ca="1">IF(B29="","",VLOOKUP(D29,'Species Data'!B:E,4,FALSE))</f>
        <v>ethane</v>
      </c>
      <c r="D29" s="246">
        <f t="shared" ca="1" si="1"/>
        <v>438</v>
      </c>
      <c r="E29" s="246">
        <f t="shared" ca="1" si="2"/>
        <v>7.9019000000000004</v>
      </c>
      <c r="F29" s="246" t="str">
        <f t="shared" ca="1" si="3"/>
        <v>Ethane</v>
      </c>
      <c r="G29" s="246">
        <f t="shared" ca="1" si="4"/>
        <v>30.069040000000005</v>
      </c>
      <c r="H29" s="204">
        <f ca="1">IF(G29="","",IF(VLOOKUP(Tank!F29,'Species Data'!D:F,3,FALSE)=0,"X",IF(G29&lt;44.1,2,1)))</f>
        <v>2</v>
      </c>
      <c r="I29" s="204">
        <f t="shared" ca="1" si="5"/>
        <v>5.717421553913586</v>
      </c>
      <c r="J29" s="247">
        <f ca="1">IF(I29="","",IF(COUNTIF($D$12:D29,D29)=1,IF(H29=1,I29*H29,IF(H29="X","X",0)),0))</f>
        <v>0</v>
      </c>
      <c r="K29" s="248">
        <f t="shared" ca="1" si="6"/>
        <v>0</v>
      </c>
      <c r="L29" s="212" t="s">
        <v>679</v>
      </c>
      <c r="M29" s="212" t="s">
        <v>448</v>
      </c>
      <c r="N29" s="212" t="s">
        <v>470</v>
      </c>
      <c r="O29" s="213">
        <v>41419</v>
      </c>
      <c r="P29" s="212" t="s">
        <v>531</v>
      </c>
      <c r="Q29" s="214">
        <v>100</v>
      </c>
      <c r="R29" s="212" t="s">
        <v>445</v>
      </c>
      <c r="S29" s="212" t="s">
        <v>532</v>
      </c>
      <c r="T29" s="212" t="s">
        <v>445</v>
      </c>
      <c r="U29" s="212" t="s">
        <v>446</v>
      </c>
      <c r="V29" s="214" t="b">
        <v>1</v>
      </c>
      <c r="W29" s="214">
        <v>1989</v>
      </c>
      <c r="X29" s="214">
        <v>5</v>
      </c>
      <c r="Y29" s="214">
        <v>2</v>
      </c>
      <c r="Z29" s="214">
        <v>4</v>
      </c>
      <c r="AA29" s="212" t="s">
        <v>447</v>
      </c>
      <c r="AB29" s="212" t="s">
        <v>531</v>
      </c>
      <c r="AC29" s="212" t="s">
        <v>533</v>
      </c>
      <c r="AD29" s="214">
        <v>2.118258</v>
      </c>
      <c r="AE29" s="214">
        <v>438</v>
      </c>
      <c r="AF29" s="214">
        <v>7.9019000000000004</v>
      </c>
      <c r="AG29" s="214">
        <v>-99</v>
      </c>
      <c r="AH29" s="212" t="s">
        <v>224</v>
      </c>
      <c r="AI29" s="212" t="s">
        <v>449</v>
      </c>
      <c r="AJ29" s="212" t="s">
        <v>265</v>
      </c>
      <c r="AK29" s="212" t="s">
        <v>531</v>
      </c>
      <c r="AL29" s="212" t="s">
        <v>374</v>
      </c>
      <c r="AM29" s="214" t="b">
        <v>1</v>
      </c>
      <c r="AN29" s="214" t="b">
        <v>0</v>
      </c>
      <c r="AO29" s="212" t="s">
        <v>266</v>
      </c>
      <c r="AP29" s="212" t="s">
        <v>267</v>
      </c>
      <c r="AQ29" s="214">
        <v>30.069040000000005</v>
      </c>
      <c r="AR29" s="214" t="b">
        <v>1</v>
      </c>
      <c r="AS29" s="212" t="s">
        <v>534</v>
      </c>
      <c r="AU29" s="222" t="s">
        <v>819</v>
      </c>
    </row>
    <row r="30" spans="1:47" ht="15" customHeight="1" x14ac:dyDescent="0.25">
      <c r="A30" s="245">
        <f t="shared" si="7"/>
        <v>30</v>
      </c>
      <c r="B30" s="246" t="str">
        <f t="shared" si="0"/>
        <v>Oil Field - Tank</v>
      </c>
      <c r="C30" s="246" t="str">
        <f ca="1">IF(B30="","",VLOOKUP(D30,'Species Data'!B:E,4,FALSE))</f>
        <v>ethyl_benz</v>
      </c>
      <c r="D30" s="246">
        <f t="shared" ca="1" si="1"/>
        <v>449</v>
      </c>
      <c r="E30" s="246">
        <f t="shared" ca="1" si="2"/>
        <v>7.4099999999999999E-2</v>
      </c>
      <c r="F30" s="246" t="str">
        <f t="shared" ca="1" si="3"/>
        <v>Ethylbenzene</v>
      </c>
      <c r="G30" s="246">
        <f t="shared" ca="1" si="4"/>
        <v>106.16500000000001</v>
      </c>
      <c r="H30" s="204">
        <f ca="1">IF(G30="","",IF(VLOOKUP(Tank!F30,'Species Data'!D:F,3,FALSE)=0,"X",IF(G30&lt;44.1,2,1)))</f>
        <v>1</v>
      </c>
      <c r="I30" s="204">
        <f t="shared" ca="1" si="5"/>
        <v>0.12062115796311647</v>
      </c>
      <c r="J30" s="247">
        <f ca="1">IF(I30="","",IF(COUNTIF($D$12:D30,D30)=1,IF(H30=1,I30*H30,IF(H30="X","X",0)),0))</f>
        <v>0.12062115796311647</v>
      </c>
      <c r="K30" s="248">
        <f t="shared" ca="1" si="6"/>
        <v>0.30506346679094254</v>
      </c>
      <c r="L30" s="212" t="s">
        <v>679</v>
      </c>
      <c r="M30" s="212" t="s">
        <v>448</v>
      </c>
      <c r="N30" s="212" t="s">
        <v>470</v>
      </c>
      <c r="O30" s="213">
        <v>41419</v>
      </c>
      <c r="P30" s="212" t="s">
        <v>531</v>
      </c>
      <c r="Q30" s="214">
        <v>100</v>
      </c>
      <c r="R30" s="212" t="s">
        <v>445</v>
      </c>
      <c r="S30" s="212" t="s">
        <v>532</v>
      </c>
      <c r="T30" s="212" t="s">
        <v>445</v>
      </c>
      <c r="U30" s="212" t="s">
        <v>446</v>
      </c>
      <c r="V30" s="214" t="b">
        <v>1</v>
      </c>
      <c r="W30" s="214">
        <v>1989</v>
      </c>
      <c r="X30" s="214">
        <v>5</v>
      </c>
      <c r="Y30" s="214">
        <v>2</v>
      </c>
      <c r="Z30" s="214">
        <v>4</v>
      </c>
      <c r="AA30" s="212" t="s">
        <v>447</v>
      </c>
      <c r="AB30" s="212" t="s">
        <v>531</v>
      </c>
      <c r="AC30" s="212" t="s">
        <v>533</v>
      </c>
      <c r="AD30" s="214">
        <v>2.118258</v>
      </c>
      <c r="AE30" s="214">
        <v>449</v>
      </c>
      <c r="AF30" s="214">
        <v>7.4099999999999999E-2</v>
      </c>
      <c r="AG30" s="214">
        <v>-99</v>
      </c>
      <c r="AH30" s="212" t="s">
        <v>224</v>
      </c>
      <c r="AI30" s="212" t="s">
        <v>449</v>
      </c>
      <c r="AJ30" s="212" t="s">
        <v>337</v>
      </c>
      <c r="AK30" s="212" t="s">
        <v>531</v>
      </c>
      <c r="AL30" s="212" t="s">
        <v>394</v>
      </c>
      <c r="AM30" s="214" t="b">
        <v>1</v>
      </c>
      <c r="AN30" s="214" t="b">
        <v>1</v>
      </c>
      <c r="AO30" s="212" t="s">
        <v>338</v>
      </c>
      <c r="AP30" s="212" t="s">
        <v>339</v>
      </c>
      <c r="AQ30" s="214">
        <v>106.16500000000001</v>
      </c>
      <c r="AR30" s="214" t="b">
        <v>0</v>
      </c>
      <c r="AS30" s="212" t="s">
        <v>534</v>
      </c>
      <c r="AU30" s="222" t="s">
        <v>819</v>
      </c>
    </row>
    <row r="31" spans="1:47" ht="15" customHeight="1" x14ac:dyDescent="0.25">
      <c r="A31" s="245">
        <f t="shared" si="7"/>
        <v>31</v>
      </c>
      <c r="B31" s="246" t="str">
        <f t="shared" si="0"/>
        <v>Oil Field - Tank</v>
      </c>
      <c r="C31" s="246" t="str">
        <f ca="1">IF(B31="","",VLOOKUP(D31,'Species Data'!B:E,4,FALSE))</f>
        <v>isobut</v>
      </c>
      <c r="D31" s="246">
        <f t="shared" ca="1" si="1"/>
        <v>491</v>
      </c>
      <c r="E31" s="246">
        <f t="shared" ca="1" si="2"/>
        <v>3.1747999999999998</v>
      </c>
      <c r="F31" s="246" t="str">
        <f t="shared" ca="1" si="3"/>
        <v>Isobutane</v>
      </c>
      <c r="G31" s="246">
        <f t="shared" ca="1" si="4"/>
        <v>58.122199999999992</v>
      </c>
      <c r="H31" s="204">
        <f ca="1">IF(G31="","",IF(VLOOKUP(Tank!F31,'Species Data'!D:F,3,FALSE)=0,"X",IF(G31&lt;44.1,2,1)))</f>
        <v>1</v>
      </c>
      <c r="I31" s="204">
        <f t="shared" ca="1" si="5"/>
        <v>3.2562712602040991</v>
      </c>
      <c r="J31" s="247">
        <f ca="1">IF(I31="","",IF(COUNTIF($D$12:D31,D31)=1,IF(H31=1,I31*H31,IF(H31="X","X",0)),0))</f>
        <v>3.2562712602040991</v>
      </c>
      <c r="K31" s="248">
        <f t="shared" ca="1" si="6"/>
        <v>8.2354490391588353</v>
      </c>
      <c r="L31" s="212" t="s">
        <v>679</v>
      </c>
      <c r="M31" s="212" t="s">
        <v>448</v>
      </c>
      <c r="N31" s="212" t="s">
        <v>470</v>
      </c>
      <c r="O31" s="213">
        <v>41419</v>
      </c>
      <c r="P31" s="212" t="s">
        <v>531</v>
      </c>
      <c r="Q31" s="214">
        <v>100</v>
      </c>
      <c r="R31" s="212" t="s">
        <v>445</v>
      </c>
      <c r="S31" s="212" t="s">
        <v>532</v>
      </c>
      <c r="T31" s="212" t="s">
        <v>445</v>
      </c>
      <c r="U31" s="212" t="s">
        <v>446</v>
      </c>
      <c r="V31" s="214" t="b">
        <v>1</v>
      </c>
      <c r="W31" s="214">
        <v>1989</v>
      </c>
      <c r="X31" s="214">
        <v>5</v>
      </c>
      <c r="Y31" s="214">
        <v>2</v>
      </c>
      <c r="Z31" s="214">
        <v>4</v>
      </c>
      <c r="AA31" s="212" t="s">
        <v>447</v>
      </c>
      <c r="AB31" s="212" t="s">
        <v>531</v>
      </c>
      <c r="AC31" s="212" t="s">
        <v>533</v>
      </c>
      <c r="AD31" s="214">
        <v>2.118258</v>
      </c>
      <c r="AE31" s="214">
        <v>491</v>
      </c>
      <c r="AF31" s="214">
        <v>3.1747999999999998</v>
      </c>
      <c r="AG31" s="214">
        <v>-99</v>
      </c>
      <c r="AH31" s="212" t="s">
        <v>224</v>
      </c>
      <c r="AI31" s="212" t="s">
        <v>449</v>
      </c>
      <c r="AJ31" s="212" t="s">
        <v>268</v>
      </c>
      <c r="AK31" s="212" t="s">
        <v>531</v>
      </c>
      <c r="AL31" s="212" t="s">
        <v>375</v>
      </c>
      <c r="AM31" s="214" t="b">
        <v>1</v>
      </c>
      <c r="AN31" s="214" t="b">
        <v>0</v>
      </c>
      <c r="AO31" s="212" t="s">
        <v>269</v>
      </c>
      <c r="AP31" s="212" t="s">
        <v>270</v>
      </c>
      <c r="AQ31" s="214">
        <v>58.122199999999992</v>
      </c>
      <c r="AR31" s="214" t="b">
        <v>0</v>
      </c>
      <c r="AS31" s="212" t="s">
        <v>534</v>
      </c>
      <c r="AU31" s="222" t="s">
        <v>819</v>
      </c>
    </row>
    <row r="32" spans="1:47" ht="15" customHeight="1" x14ac:dyDescent="0.25">
      <c r="A32" s="245">
        <f t="shared" si="7"/>
        <v>32</v>
      </c>
      <c r="B32" s="246" t="str">
        <f t="shared" si="0"/>
        <v>Oil Field - Tank</v>
      </c>
      <c r="C32" s="246" t="str">
        <f ca="1">IF(B32="","",VLOOKUP(D32,'Species Data'!B:E,4,FALSE))</f>
        <v>isopentane</v>
      </c>
      <c r="D32" s="246">
        <f t="shared" ca="1" si="1"/>
        <v>508</v>
      </c>
      <c r="E32" s="246">
        <f t="shared" ca="1" si="2"/>
        <v>2.8767</v>
      </c>
      <c r="F32" s="246" t="str">
        <f t="shared" ca="1" si="3"/>
        <v>Isopentane (2-Methylbutane)</v>
      </c>
      <c r="G32" s="246">
        <f t="shared" ca="1" si="4"/>
        <v>72.148780000000002</v>
      </c>
      <c r="H32" s="204">
        <f ca="1">IF(G32="","",IF(VLOOKUP(Tank!F32,'Species Data'!D:F,3,FALSE)=0,"X",IF(G32&lt;44.1,2,1)))</f>
        <v>1</v>
      </c>
      <c r="I32" s="204">
        <f t="shared" ca="1" si="5"/>
        <v>3.397999287459827</v>
      </c>
      <c r="J32" s="247">
        <f ca="1">IF(I32="","",IF(COUNTIF($D$12:D32,D32)=1,IF(H32=1,I32*H32,IF(H32="X","X",0)),0))</f>
        <v>3.397999287459827</v>
      </c>
      <c r="K32" s="248">
        <f t="shared" ca="1" si="6"/>
        <v>8.5938939759028052</v>
      </c>
      <c r="L32" s="212" t="s">
        <v>679</v>
      </c>
      <c r="M32" s="212" t="s">
        <v>448</v>
      </c>
      <c r="N32" s="212" t="s">
        <v>470</v>
      </c>
      <c r="O32" s="213">
        <v>41419</v>
      </c>
      <c r="P32" s="212" t="s">
        <v>531</v>
      </c>
      <c r="Q32" s="214">
        <v>100</v>
      </c>
      <c r="R32" s="212" t="s">
        <v>445</v>
      </c>
      <c r="S32" s="212" t="s">
        <v>532</v>
      </c>
      <c r="T32" s="212" t="s">
        <v>445</v>
      </c>
      <c r="U32" s="212" t="s">
        <v>446</v>
      </c>
      <c r="V32" s="214" t="b">
        <v>1</v>
      </c>
      <c r="W32" s="214">
        <v>1989</v>
      </c>
      <c r="X32" s="214">
        <v>5</v>
      </c>
      <c r="Y32" s="214">
        <v>2</v>
      </c>
      <c r="Z32" s="214">
        <v>4</v>
      </c>
      <c r="AA32" s="212" t="s">
        <v>447</v>
      </c>
      <c r="AB32" s="212" t="s">
        <v>531</v>
      </c>
      <c r="AC32" s="212" t="s">
        <v>533</v>
      </c>
      <c r="AD32" s="214">
        <v>2.118258</v>
      </c>
      <c r="AE32" s="214">
        <v>508</v>
      </c>
      <c r="AF32" s="214">
        <v>2.8767</v>
      </c>
      <c r="AG32" s="214">
        <v>-99</v>
      </c>
      <c r="AH32" s="212" t="s">
        <v>224</v>
      </c>
      <c r="AI32" s="212" t="s">
        <v>449</v>
      </c>
      <c r="AJ32" s="212" t="s">
        <v>342</v>
      </c>
      <c r="AK32" s="212" t="s">
        <v>531</v>
      </c>
      <c r="AL32" s="212" t="s">
        <v>395</v>
      </c>
      <c r="AM32" s="214" t="b">
        <v>1</v>
      </c>
      <c r="AN32" s="214" t="b">
        <v>0</v>
      </c>
      <c r="AO32" s="212" t="s">
        <v>343</v>
      </c>
      <c r="AP32" s="212" t="s">
        <v>344</v>
      </c>
      <c r="AQ32" s="214">
        <v>72.148780000000002</v>
      </c>
      <c r="AR32" s="214" t="b">
        <v>0</v>
      </c>
      <c r="AS32" s="212" t="s">
        <v>534</v>
      </c>
      <c r="AU32" s="222" t="s">
        <v>819</v>
      </c>
    </row>
    <row r="33" spans="1:47" x14ac:dyDescent="0.25">
      <c r="A33" s="245">
        <f t="shared" si="7"/>
        <v>33</v>
      </c>
      <c r="B33" s="246" t="str">
        <f t="shared" si="0"/>
        <v>Oil Field - Tank</v>
      </c>
      <c r="C33" s="246" t="str">
        <f ca="1">IF(B33="","",VLOOKUP(D33,'Species Data'!B:E,4,FALSE))</f>
        <v>isopben</v>
      </c>
      <c r="D33" s="246">
        <f t="shared" ca="1" si="1"/>
        <v>514</v>
      </c>
      <c r="E33" s="246">
        <f t="shared" ca="1" si="2"/>
        <v>7.7999999999999996E-3</v>
      </c>
      <c r="F33" s="246" t="str">
        <f t="shared" ca="1" si="3"/>
        <v>Isopropylbenzene (cumene)</v>
      </c>
      <c r="G33" s="246">
        <f t="shared" ca="1" si="4"/>
        <v>120.19158</v>
      </c>
      <c r="H33" s="204">
        <f ca="1">IF(G33="","",IF(VLOOKUP(Tank!F33,'Species Data'!D:F,3,FALSE)=0,"X",IF(G33&lt;44.1,2,1)))</f>
        <v>1</v>
      </c>
      <c r="I33" s="204">
        <f t="shared" ca="1" si="5"/>
        <v>4.0067051310359253E-3</v>
      </c>
      <c r="J33" s="247">
        <f ca="1">IF(I33="","",IF(COUNTIF($D$12:D33,D33)=1,IF(H33=1,I33*H33,IF(H33="X","X",0)),0))</f>
        <v>4.0067051310359253E-3</v>
      </c>
      <c r="K33" s="248">
        <f t="shared" ca="1" si="6"/>
        <v>1.0133374428859584E-2</v>
      </c>
      <c r="L33" s="212" t="s">
        <v>679</v>
      </c>
      <c r="M33" s="212" t="s">
        <v>448</v>
      </c>
      <c r="N33" s="212" t="s">
        <v>470</v>
      </c>
      <c r="O33" s="213">
        <v>41419</v>
      </c>
      <c r="P33" s="212" t="s">
        <v>531</v>
      </c>
      <c r="Q33" s="214">
        <v>100</v>
      </c>
      <c r="R33" s="212" t="s">
        <v>445</v>
      </c>
      <c r="S33" s="212" t="s">
        <v>532</v>
      </c>
      <c r="T33" s="212" t="s">
        <v>445</v>
      </c>
      <c r="U33" s="212" t="s">
        <v>446</v>
      </c>
      <c r="V33" s="214" t="b">
        <v>1</v>
      </c>
      <c r="W33" s="214">
        <v>1989</v>
      </c>
      <c r="X33" s="214">
        <v>5</v>
      </c>
      <c r="Y33" s="214">
        <v>2</v>
      </c>
      <c r="Z33" s="214">
        <v>4</v>
      </c>
      <c r="AA33" s="212" t="s">
        <v>447</v>
      </c>
      <c r="AB33" s="212" t="s">
        <v>531</v>
      </c>
      <c r="AC33" s="212" t="s">
        <v>533</v>
      </c>
      <c r="AD33" s="214">
        <v>2.118258</v>
      </c>
      <c r="AE33" s="214">
        <v>514</v>
      </c>
      <c r="AF33" s="214">
        <v>7.7999999999999996E-3</v>
      </c>
      <c r="AG33" s="214">
        <v>-99</v>
      </c>
      <c r="AH33" s="212" t="s">
        <v>224</v>
      </c>
      <c r="AI33" s="212" t="s">
        <v>449</v>
      </c>
      <c r="AJ33" s="212" t="s">
        <v>362</v>
      </c>
      <c r="AK33" s="212" t="s">
        <v>531</v>
      </c>
      <c r="AL33" s="212" t="s">
        <v>399</v>
      </c>
      <c r="AM33" s="214" t="b">
        <v>1</v>
      </c>
      <c r="AN33" s="214" t="b">
        <v>1</v>
      </c>
      <c r="AO33" s="212" t="s">
        <v>363</v>
      </c>
      <c r="AP33" s="212" t="s">
        <v>364</v>
      </c>
      <c r="AQ33" s="214">
        <v>120.19158</v>
      </c>
      <c r="AR33" s="214" t="b">
        <v>0</v>
      </c>
      <c r="AS33" s="212" t="s">
        <v>534</v>
      </c>
      <c r="AU33" s="222" t="s">
        <v>819</v>
      </c>
    </row>
    <row r="34" spans="1:47" ht="15" customHeight="1" x14ac:dyDescent="0.25">
      <c r="A34" s="245">
        <f t="shared" si="7"/>
        <v>34</v>
      </c>
      <c r="B34" s="246" t="str">
        <f t="shared" si="0"/>
        <v>Oil Field - Tank</v>
      </c>
      <c r="C34" s="246" t="str">
        <f ca="1">IF(B34="","",VLOOKUP(D34,'Species Data'!B:E,4,FALSE))</f>
        <v>M_xylene</v>
      </c>
      <c r="D34" s="246">
        <f t="shared" ca="1" si="1"/>
        <v>524</v>
      </c>
      <c r="E34" s="246">
        <f t="shared" ca="1" si="2"/>
        <v>3.1099999999999999E-2</v>
      </c>
      <c r="F34" s="246" t="str">
        <f t="shared" ca="1" si="3"/>
        <v>M-xylene</v>
      </c>
      <c r="G34" s="246">
        <f t="shared" ca="1" si="4"/>
        <v>106.16500000000001</v>
      </c>
      <c r="H34" s="204">
        <f ca="1">IF(G34="","",IF(VLOOKUP(Tank!F34,'Species Data'!D:F,3,FALSE)=0,"X",IF(G34&lt;44.1,2,1)))</f>
        <v>1</v>
      </c>
      <c r="I34" s="204">
        <f t="shared" ca="1" si="5"/>
        <v>7.6727403249737883E-2</v>
      </c>
      <c r="J34" s="247">
        <f ca="1">IF(I34="","",IF(COUNTIF($D$12:D34,D34)=1,IF(H34=1,I34*H34,IF(H34="X","X",0)),0))</f>
        <v>7.6727403249737883E-2</v>
      </c>
      <c r="K34" s="248">
        <f t="shared" ca="1" si="6"/>
        <v>0.19405159118426782</v>
      </c>
      <c r="L34" s="212" t="s">
        <v>679</v>
      </c>
      <c r="M34" s="212" t="s">
        <v>448</v>
      </c>
      <c r="N34" s="212" t="s">
        <v>470</v>
      </c>
      <c r="O34" s="213">
        <v>41419</v>
      </c>
      <c r="P34" s="212" t="s">
        <v>531</v>
      </c>
      <c r="Q34" s="214">
        <v>100</v>
      </c>
      <c r="R34" s="212" t="s">
        <v>445</v>
      </c>
      <c r="S34" s="212" t="s">
        <v>532</v>
      </c>
      <c r="T34" s="212" t="s">
        <v>445</v>
      </c>
      <c r="U34" s="212" t="s">
        <v>446</v>
      </c>
      <c r="V34" s="214" t="b">
        <v>1</v>
      </c>
      <c r="W34" s="214">
        <v>1989</v>
      </c>
      <c r="X34" s="214">
        <v>5</v>
      </c>
      <c r="Y34" s="214">
        <v>2</v>
      </c>
      <c r="Z34" s="214">
        <v>4</v>
      </c>
      <c r="AA34" s="212" t="s">
        <v>447</v>
      </c>
      <c r="AB34" s="212" t="s">
        <v>531</v>
      </c>
      <c r="AC34" s="212" t="s">
        <v>533</v>
      </c>
      <c r="AD34" s="214">
        <v>2.118258</v>
      </c>
      <c r="AE34" s="214">
        <v>524</v>
      </c>
      <c r="AF34" s="214">
        <v>3.1099999999999999E-2</v>
      </c>
      <c r="AG34" s="214">
        <v>-99</v>
      </c>
      <c r="AH34" s="212" t="s">
        <v>224</v>
      </c>
      <c r="AI34" s="212" t="s">
        <v>449</v>
      </c>
      <c r="AJ34" s="212" t="s">
        <v>436</v>
      </c>
      <c r="AK34" s="212" t="s">
        <v>531</v>
      </c>
      <c r="AL34" s="212" t="s">
        <v>460</v>
      </c>
      <c r="AM34" s="214" t="b">
        <v>0</v>
      </c>
      <c r="AN34" s="214" t="b">
        <v>1</v>
      </c>
      <c r="AO34" s="212" t="s">
        <v>437</v>
      </c>
      <c r="AP34" s="212" t="s">
        <v>438</v>
      </c>
      <c r="AQ34" s="214">
        <v>106.16500000000001</v>
      </c>
      <c r="AR34" s="214" t="b">
        <v>0</v>
      </c>
      <c r="AS34" s="212" t="s">
        <v>534</v>
      </c>
      <c r="AT34" s="301" t="s">
        <v>820</v>
      </c>
      <c r="AU34" s="222" t="s">
        <v>819</v>
      </c>
    </row>
    <row r="35" spans="1:47" x14ac:dyDescent="0.25">
      <c r="A35" s="245">
        <f t="shared" si="7"/>
        <v>35</v>
      </c>
      <c r="B35" s="246" t="str">
        <f t="shared" si="0"/>
        <v>Oil Field - Tank</v>
      </c>
      <c r="C35" s="246" t="str">
        <f ca="1">IF(B35="","",VLOOKUP(D35,'Species Data'!B:E,4,FALSE))</f>
        <v>methane</v>
      </c>
      <c r="D35" s="246">
        <f t="shared" ca="1" si="1"/>
        <v>529</v>
      </c>
      <c r="E35" s="246">
        <f t="shared" ca="1" si="2"/>
        <v>44.889499999999998</v>
      </c>
      <c r="F35" s="246" t="str">
        <f t="shared" ca="1" si="3"/>
        <v>Methane</v>
      </c>
      <c r="G35" s="246">
        <f t="shared" ca="1" si="4"/>
        <v>16.042459999999998</v>
      </c>
      <c r="H35" s="204">
        <f ca="1">IF(G35="","",IF(VLOOKUP(Tank!F35,'Species Data'!D:F,3,FALSE)=0,"X",IF(G35&lt;44.1,2,1)))</f>
        <v>2</v>
      </c>
      <c r="I35" s="204">
        <f t="shared" ca="1" si="5"/>
        <v>44.518760713436194</v>
      </c>
      <c r="J35" s="247">
        <f ca="1">IF(I35="","",IF(COUNTIF($D$12:D35,D35)=1,IF(H35=1,I35*H35,IF(H35="X","X",0)),0))</f>
        <v>0</v>
      </c>
      <c r="K35" s="248">
        <f t="shared" ca="1" si="6"/>
        <v>0</v>
      </c>
      <c r="L35" s="212" t="s">
        <v>679</v>
      </c>
      <c r="M35" s="212" t="s">
        <v>448</v>
      </c>
      <c r="N35" s="212" t="s">
        <v>470</v>
      </c>
      <c r="O35" s="213">
        <v>41419</v>
      </c>
      <c r="P35" s="212" t="s">
        <v>531</v>
      </c>
      <c r="Q35" s="214">
        <v>100</v>
      </c>
      <c r="R35" s="212" t="s">
        <v>445</v>
      </c>
      <c r="S35" s="212" t="s">
        <v>532</v>
      </c>
      <c r="T35" s="212" t="s">
        <v>445</v>
      </c>
      <c r="U35" s="212" t="s">
        <v>446</v>
      </c>
      <c r="V35" s="214" t="b">
        <v>1</v>
      </c>
      <c r="W35" s="214">
        <v>1989</v>
      </c>
      <c r="X35" s="214">
        <v>5</v>
      </c>
      <c r="Y35" s="214">
        <v>2</v>
      </c>
      <c r="Z35" s="214">
        <v>4</v>
      </c>
      <c r="AA35" s="212" t="s">
        <v>447</v>
      </c>
      <c r="AB35" s="212" t="s">
        <v>531</v>
      </c>
      <c r="AC35" s="212" t="s">
        <v>533</v>
      </c>
      <c r="AD35" s="214">
        <v>2.118258</v>
      </c>
      <c r="AE35" s="214">
        <v>529</v>
      </c>
      <c r="AF35" s="214">
        <v>44.889499999999998</v>
      </c>
      <c r="AG35" s="214">
        <v>-99</v>
      </c>
      <c r="AH35" s="212" t="s">
        <v>224</v>
      </c>
      <c r="AI35" s="212" t="s">
        <v>449</v>
      </c>
      <c r="AJ35" s="212" t="s">
        <v>271</v>
      </c>
      <c r="AK35" s="212" t="s">
        <v>531</v>
      </c>
      <c r="AL35" s="212" t="s">
        <v>376</v>
      </c>
      <c r="AM35" s="214" t="b">
        <v>0</v>
      </c>
      <c r="AN35" s="214" t="b">
        <v>0</v>
      </c>
      <c r="AO35" s="212" t="s">
        <v>272</v>
      </c>
      <c r="AP35" s="212" t="s">
        <v>531</v>
      </c>
      <c r="AQ35" s="214">
        <v>16.042459999999998</v>
      </c>
      <c r="AR35" s="214" t="b">
        <v>1</v>
      </c>
      <c r="AS35" s="212" t="s">
        <v>534</v>
      </c>
      <c r="AU35" s="222" t="s">
        <v>819</v>
      </c>
    </row>
    <row r="36" spans="1:47" x14ac:dyDescent="0.25">
      <c r="A36" s="245">
        <f t="shared" si="7"/>
        <v>36</v>
      </c>
      <c r="B36" s="246" t="str">
        <f t="shared" si="0"/>
        <v>Oil Field - Tank</v>
      </c>
      <c r="C36" s="246" t="str">
        <f ca="1">IF(B36="","",VLOOKUP(D36,'Species Data'!B:E,4,FALSE))</f>
        <v>methcychex</v>
      </c>
      <c r="D36" s="246">
        <f t="shared" ca="1" si="1"/>
        <v>550</v>
      </c>
      <c r="E36" s="246">
        <f t="shared" ca="1" si="2"/>
        <v>0.86850000000000005</v>
      </c>
      <c r="F36" s="246" t="str">
        <f t="shared" ca="1" si="3"/>
        <v>Methylcyclohexane</v>
      </c>
      <c r="G36" s="246">
        <f t="shared" ca="1" si="4"/>
        <v>98.186059999999998</v>
      </c>
      <c r="H36" s="204">
        <f ca="1">IF(G36="","",IF(VLOOKUP(Tank!F36,'Species Data'!D:F,3,FALSE)=0,"X",IF(G36&lt;44.1,2,1)))</f>
        <v>1</v>
      </c>
      <c r="I36" s="204">
        <f t="shared" ca="1" si="5"/>
        <v>0.52063166473064815</v>
      </c>
      <c r="J36" s="247">
        <f ca="1">IF(I36="","",IF(COUNTIF($D$12:D36,D36)=1,IF(H36=1,I36*H36,IF(H36="X","X",0)),0))</f>
        <v>0.52063166473064815</v>
      </c>
      <c r="K36" s="248">
        <f t="shared" ca="1" si="6"/>
        <v>1.3167316849373716</v>
      </c>
      <c r="L36" s="212" t="s">
        <v>679</v>
      </c>
      <c r="M36" s="212" t="s">
        <v>448</v>
      </c>
      <c r="N36" s="212" t="s">
        <v>470</v>
      </c>
      <c r="O36" s="213">
        <v>41419</v>
      </c>
      <c r="P36" s="212" t="s">
        <v>531</v>
      </c>
      <c r="Q36" s="214">
        <v>100</v>
      </c>
      <c r="R36" s="212" t="s">
        <v>445</v>
      </c>
      <c r="S36" s="212" t="s">
        <v>532</v>
      </c>
      <c r="T36" s="212" t="s">
        <v>445</v>
      </c>
      <c r="U36" s="212" t="s">
        <v>446</v>
      </c>
      <c r="V36" s="214" t="b">
        <v>1</v>
      </c>
      <c r="W36" s="214">
        <v>1989</v>
      </c>
      <c r="X36" s="214">
        <v>5</v>
      </c>
      <c r="Y36" s="214">
        <v>2</v>
      </c>
      <c r="Z36" s="214">
        <v>4</v>
      </c>
      <c r="AA36" s="212" t="s">
        <v>447</v>
      </c>
      <c r="AB36" s="212" t="s">
        <v>531</v>
      </c>
      <c r="AC36" s="212" t="s">
        <v>533</v>
      </c>
      <c r="AD36" s="214">
        <v>2.118258</v>
      </c>
      <c r="AE36" s="214">
        <v>550</v>
      </c>
      <c r="AF36" s="214">
        <v>0.86850000000000005</v>
      </c>
      <c r="AG36" s="214">
        <v>-99</v>
      </c>
      <c r="AH36" s="212" t="s">
        <v>224</v>
      </c>
      <c r="AI36" s="212" t="s">
        <v>449</v>
      </c>
      <c r="AJ36" s="212" t="s">
        <v>348</v>
      </c>
      <c r="AK36" s="212" t="s">
        <v>531</v>
      </c>
      <c r="AL36" s="212" t="s">
        <v>396</v>
      </c>
      <c r="AM36" s="214" t="b">
        <v>1</v>
      </c>
      <c r="AN36" s="214" t="b">
        <v>0</v>
      </c>
      <c r="AO36" s="212" t="s">
        <v>349</v>
      </c>
      <c r="AP36" s="212" t="s">
        <v>350</v>
      </c>
      <c r="AQ36" s="214">
        <v>98.186059999999998</v>
      </c>
      <c r="AR36" s="214" t="b">
        <v>0</v>
      </c>
      <c r="AS36" s="212" t="s">
        <v>534</v>
      </c>
      <c r="AU36" s="222" t="s">
        <v>819</v>
      </c>
    </row>
    <row r="37" spans="1:47" x14ac:dyDescent="0.25">
      <c r="A37" s="245">
        <f t="shared" si="7"/>
        <v>37</v>
      </c>
      <c r="B37" s="246" t="str">
        <f t="shared" si="0"/>
        <v>Oil Field - Tank</v>
      </c>
      <c r="C37" s="246" t="str">
        <f ca="1">IF(B37="","",VLOOKUP(D37,'Species Data'!B:E,4,FALSE))</f>
        <v>methcycpen</v>
      </c>
      <c r="D37" s="246">
        <f t="shared" ca="1" si="1"/>
        <v>551</v>
      </c>
      <c r="E37" s="246">
        <f t="shared" ca="1" si="2"/>
        <v>1.5561</v>
      </c>
      <c r="F37" s="246" t="str">
        <f t="shared" ca="1" si="3"/>
        <v>Methylcyclopentane</v>
      </c>
      <c r="G37" s="246">
        <f t="shared" ca="1" si="4"/>
        <v>84.159480000000002</v>
      </c>
      <c r="H37" s="204">
        <f ca="1">IF(G37="","",IF(VLOOKUP(Tank!F37,'Species Data'!D:F,3,FALSE)=0,"X",IF(G37&lt;44.1,2,1)))</f>
        <v>1</v>
      </c>
      <c r="I37" s="204">
        <f t="shared" ca="1" si="5"/>
        <v>1.4788275300776224</v>
      </c>
      <c r="J37" s="247">
        <f ca="1">IF(I37="","",IF(COUNTIF($D$12:D37,D37)=1,IF(H37=1,I37*H37,IF(H37="X","X",0)),0))</f>
        <v>1.4788275300776224</v>
      </c>
      <c r="K37" s="248">
        <f t="shared" ca="1" si="6"/>
        <v>3.7401087896147933</v>
      </c>
      <c r="L37" s="212" t="s">
        <v>679</v>
      </c>
      <c r="M37" s="212" t="s">
        <v>448</v>
      </c>
      <c r="N37" s="212" t="s">
        <v>470</v>
      </c>
      <c r="O37" s="213">
        <v>41419</v>
      </c>
      <c r="P37" s="212" t="s">
        <v>531</v>
      </c>
      <c r="Q37" s="214">
        <v>100</v>
      </c>
      <c r="R37" s="212" t="s">
        <v>445</v>
      </c>
      <c r="S37" s="212" t="s">
        <v>532</v>
      </c>
      <c r="T37" s="212" t="s">
        <v>445</v>
      </c>
      <c r="U37" s="212" t="s">
        <v>446</v>
      </c>
      <c r="V37" s="214" t="b">
        <v>1</v>
      </c>
      <c r="W37" s="214">
        <v>1989</v>
      </c>
      <c r="X37" s="214">
        <v>5</v>
      </c>
      <c r="Y37" s="214">
        <v>2</v>
      </c>
      <c r="Z37" s="214">
        <v>4</v>
      </c>
      <c r="AA37" s="212" t="s">
        <v>447</v>
      </c>
      <c r="AB37" s="212" t="s">
        <v>531</v>
      </c>
      <c r="AC37" s="212" t="s">
        <v>533</v>
      </c>
      <c r="AD37" s="214">
        <v>2.118258</v>
      </c>
      <c r="AE37" s="214">
        <v>551</v>
      </c>
      <c r="AF37" s="214">
        <v>1.5561</v>
      </c>
      <c r="AG37" s="214">
        <v>-99</v>
      </c>
      <c r="AH37" s="212" t="s">
        <v>224</v>
      </c>
      <c r="AI37" s="212" t="s">
        <v>449</v>
      </c>
      <c r="AJ37" s="212" t="s">
        <v>351</v>
      </c>
      <c r="AK37" s="212" t="s">
        <v>531</v>
      </c>
      <c r="AL37" s="212" t="s">
        <v>397</v>
      </c>
      <c r="AM37" s="214" t="b">
        <v>1</v>
      </c>
      <c r="AN37" s="214" t="b">
        <v>0</v>
      </c>
      <c r="AO37" s="212" t="s">
        <v>352</v>
      </c>
      <c r="AP37" s="212" t="s">
        <v>353</v>
      </c>
      <c r="AQ37" s="214">
        <v>84.159480000000002</v>
      </c>
      <c r="AR37" s="214" t="b">
        <v>0</v>
      </c>
      <c r="AS37" s="212" t="s">
        <v>534</v>
      </c>
      <c r="AU37" s="222" t="s">
        <v>819</v>
      </c>
    </row>
    <row r="38" spans="1:47" ht="15" customHeight="1" x14ac:dyDescent="0.25">
      <c r="A38" s="245">
        <f t="shared" si="7"/>
        <v>38</v>
      </c>
      <c r="B38" s="246" t="str">
        <f t="shared" si="0"/>
        <v>Oil Field - Tank</v>
      </c>
      <c r="C38" s="246" t="str">
        <f ca="1">IF(B38="","",VLOOKUP(D38,'Species Data'!B:E,4,FALSE))</f>
        <v>N_but</v>
      </c>
      <c r="D38" s="246">
        <f t="shared" ca="1" si="1"/>
        <v>592</v>
      </c>
      <c r="E38" s="246">
        <f t="shared" ca="1" si="2"/>
        <v>10.331799999999999</v>
      </c>
      <c r="F38" s="246" t="str">
        <f t="shared" ca="1" si="3"/>
        <v>N-butane</v>
      </c>
      <c r="G38" s="246">
        <f t="shared" ca="1" si="4"/>
        <v>58.122199999999992</v>
      </c>
      <c r="H38" s="204">
        <f ca="1">IF(G38="","",IF(VLOOKUP(Tank!F38,'Species Data'!D:F,3,FALSE)=0,"X",IF(G38&lt;44.1,2,1)))</f>
        <v>1</v>
      </c>
      <c r="I38" s="204">
        <f t="shared" ca="1" si="5"/>
        <v>8.8589583793337763</v>
      </c>
      <c r="J38" s="247">
        <f ca="1">IF(I38="","",IF(COUNTIF($D$12:D38,D38)=1,IF(H38=1,I38*H38,IF(H38="X","X",0)),0))</f>
        <v>8.8589583793337763</v>
      </c>
      <c r="K38" s="248">
        <f t="shared" ca="1" si="6"/>
        <v>22.405228079327635</v>
      </c>
      <c r="L38" s="212" t="s">
        <v>679</v>
      </c>
      <c r="M38" s="212" t="s">
        <v>448</v>
      </c>
      <c r="N38" s="212" t="s">
        <v>470</v>
      </c>
      <c r="O38" s="213">
        <v>41419</v>
      </c>
      <c r="P38" s="212" t="s">
        <v>531</v>
      </c>
      <c r="Q38" s="214">
        <v>100</v>
      </c>
      <c r="R38" s="212" t="s">
        <v>445</v>
      </c>
      <c r="S38" s="212" t="s">
        <v>532</v>
      </c>
      <c r="T38" s="212" t="s">
        <v>445</v>
      </c>
      <c r="U38" s="212" t="s">
        <v>446</v>
      </c>
      <c r="V38" s="214" t="b">
        <v>1</v>
      </c>
      <c r="W38" s="214">
        <v>1989</v>
      </c>
      <c r="X38" s="214">
        <v>5</v>
      </c>
      <c r="Y38" s="214">
        <v>2</v>
      </c>
      <c r="Z38" s="214">
        <v>4</v>
      </c>
      <c r="AA38" s="212" t="s">
        <v>447</v>
      </c>
      <c r="AB38" s="212" t="s">
        <v>531</v>
      </c>
      <c r="AC38" s="212" t="s">
        <v>533</v>
      </c>
      <c r="AD38" s="214">
        <v>2.118258</v>
      </c>
      <c r="AE38" s="214">
        <v>592</v>
      </c>
      <c r="AF38" s="214">
        <v>10.331799999999999</v>
      </c>
      <c r="AG38" s="214">
        <v>-99</v>
      </c>
      <c r="AH38" s="212" t="s">
        <v>224</v>
      </c>
      <c r="AI38" s="212" t="s">
        <v>449</v>
      </c>
      <c r="AJ38" s="212" t="s">
        <v>273</v>
      </c>
      <c r="AK38" s="212" t="s">
        <v>531</v>
      </c>
      <c r="AL38" s="212" t="s">
        <v>377</v>
      </c>
      <c r="AM38" s="214" t="b">
        <v>1</v>
      </c>
      <c r="AN38" s="214" t="b">
        <v>0</v>
      </c>
      <c r="AO38" s="212" t="s">
        <v>274</v>
      </c>
      <c r="AP38" s="212" t="s">
        <v>275</v>
      </c>
      <c r="AQ38" s="214">
        <v>58.122199999999992</v>
      </c>
      <c r="AR38" s="214" t="b">
        <v>0</v>
      </c>
      <c r="AS38" s="212" t="s">
        <v>534</v>
      </c>
      <c r="AU38" s="222" t="s">
        <v>819</v>
      </c>
    </row>
    <row r="39" spans="1:47" x14ac:dyDescent="0.25">
      <c r="A39" s="245">
        <f t="shared" si="7"/>
        <v>39</v>
      </c>
      <c r="B39" s="246" t="str">
        <f t="shared" si="0"/>
        <v>Oil Field - Tank</v>
      </c>
      <c r="C39" s="246" t="str">
        <f ca="1">IF(B39="","",VLOOKUP(D39,'Species Data'!B:E,4,FALSE))</f>
        <v>N_dec</v>
      </c>
      <c r="D39" s="246">
        <f t="shared" ca="1" si="1"/>
        <v>598</v>
      </c>
      <c r="E39" s="246">
        <f t="shared" ca="1" si="2"/>
        <v>7.4999999999999997E-3</v>
      </c>
      <c r="F39" s="246" t="str">
        <f t="shared" ca="1" si="3"/>
        <v>N-decane</v>
      </c>
      <c r="G39" s="246">
        <f t="shared" ca="1" si="4"/>
        <v>142.28167999999999</v>
      </c>
      <c r="H39" s="204">
        <f ca="1">IF(G39="","",IF(VLOOKUP(Tank!F39,'Species Data'!D:F,3,FALSE)=0,"X",IF(G39&lt;44.1,2,1)))</f>
        <v>1</v>
      </c>
      <c r="I39" s="204">
        <f t="shared" ca="1" si="5"/>
        <v>1.7526834924281948E-2</v>
      </c>
      <c r="J39" s="247">
        <f ca="1">IF(I39="","",IF(COUNTIF($D$12:D39,D39)=1,IF(H39=1,I39*H39,IF(H39="X","X",0)),0))</f>
        <v>1.7526834924281948E-2</v>
      </c>
      <c r="K39" s="248">
        <f t="shared" ca="1" si="6"/>
        <v>4.4327190305277625E-2</v>
      </c>
      <c r="L39" s="212" t="s">
        <v>679</v>
      </c>
      <c r="M39" s="212" t="s">
        <v>448</v>
      </c>
      <c r="N39" s="212" t="s">
        <v>470</v>
      </c>
      <c r="O39" s="213">
        <v>41419</v>
      </c>
      <c r="P39" s="212" t="s">
        <v>531</v>
      </c>
      <c r="Q39" s="214">
        <v>100</v>
      </c>
      <c r="R39" s="212" t="s">
        <v>445</v>
      </c>
      <c r="S39" s="212" t="s">
        <v>532</v>
      </c>
      <c r="T39" s="212" t="s">
        <v>445</v>
      </c>
      <c r="U39" s="212" t="s">
        <v>446</v>
      </c>
      <c r="V39" s="214" t="b">
        <v>1</v>
      </c>
      <c r="W39" s="214">
        <v>1989</v>
      </c>
      <c r="X39" s="214">
        <v>5</v>
      </c>
      <c r="Y39" s="214">
        <v>2</v>
      </c>
      <c r="Z39" s="214">
        <v>4</v>
      </c>
      <c r="AA39" s="212" t="s">
        <v>447</v>
      </c>
      <c r="AB39" s="212" t="s">
        <v>531</v>
      </c>
      <c r="AC39" s="212" t="s">
        <v>533</v>
      </c>
      <c r="AD39" s="214">
        <v>2.118258</v>
      </c>
      <c r="AE39" s="214">
        <v>598</v>
      </c>
      <c r="AF39" s="214">
        <v>7.4999999999999997E-3</v>
      </c>
      <c r="AG39" s="214">
        <v>-99</v>
      </c>
      <c r="AH39" s="212" t="s">
        <v>224</v>
      </c>
      <c r="AI39" s="212" t="s">
        <v>449</v>
      </c>
      <c r="AJ39" s="212" t="s">
        <v>414</v>
      </c>
      <c r="AK39" s="212" t="s">
        <v>531</v>
      </c>
      <c r="AL39" s="212" t="s">
        <v>452</v>
      </c>
      <c r="AM39" s="214" t="b">
        <v>1</v>
      </c>
      <c r="AN39" s="214" t="b">
        <v>0</v>
      </c>
      <c r="AO39" s="212" t="s">
        <v>415</v>
      </c>
      <c r="AP39" s="212" t="s">
        <v>416</v>
      </c>
      <c r="AQ39" s="214">
        <v>142.28167999999999</v>
      </c>
      <c r="AR39" s="214" t="b">
        <v>0</v>
      </c>
      <c r="AS39" s="212" t="s">
        <v>534</v>
      </c>
      <c r="AU39" s="222" t="s">
        <v>819</v>
      </c>
    </row>
    <row r="40" spans="1:47" ht="15" customHeight="1" x14ac:dyDescent="0.25">
      <c r="A40" s="245">
        <f t="shared" si="7"/>
        <v>40</v>
      </c>
      <c r="B40" s="246" t="str">
        <f t="shared" si="0"/>
        <v>Oil Field - Tank</v>
      </c>
      <c r="C40" s="246" t="str">
        <f ca="1">IF(B40="","",VLOOKUP(D40,'Species Data'!B:E,4,FALSE))</f>
        <v>N_hep</v>
      </c>
      <c r="D40" s="246">
        <f t="shared" ca="1" si="1"/>
        <v>600</v>
      </c>
      <c r="E40" s="246">
        <f t="shared" ca="1" si="2"/>
        <v>0.32790000000000002</v>
      </c>
      <c r="F40" s="246" t="str">
        <f t="shared" ca="1" si="3"/>
        <v>N-heptane</v>
      </c>
      <c r="G40" s="246">
        <f t="shared" ca="1" si="4"/>
        <v>100.20194000000001</v>
      </c>
      <c r="H40" s="204">
        <f ca="1">IF(G40="","",IF(VLOOKUP(Tank!F40,'Species Data'!D:F,3,FALSE)=0,"X",IF(G40&lt;44.1,2,1)))</f>
        <v>1</v>
      </c>
      <c r="I40" s="204">
        <f t="shared" ca="1" si="5"/>
        <v>0.55093195561344066</v>
      </c>
      <c r="J40" s="247">
        <f ca="1">IF(I40="","",IF(COUNTIF($D$12:D40,D40)=1,IF(H40=1,I40*H40,IF(H40="X","X",0)),0))</f>
        <v>0.55093195561344066</v>
      </c>
      <c r="K40" s="248">
        <f t="shared" ca="1" si="6"/>
        <v>1.3933642752521249</v>
      </c>
      <c r="L40" s="212" t="s">
        <v>679</v>
      </c>
      <c r="M40" s="212" t="s">
        <v>448</v>
      </c>
      <c r="N40" s="212" t="s">
        <v>470</v>
      </c>
      <c r="O40" s="213">
        <v>41419</v>
      </c>
      <c r="P40" s="212" t="s">
        <v>531</v>
      </c>
      <c r="Q40" s="214">
        <v>100</v>
      </c>
      <c r="R40" s="212" t="s">
        <v>445</v>
      </c>
      <c r="S40" s="212" t="s">
        <v>532</v>
      </c>
      <c r="T40" s="212" t="s">
        <v>445</v>
      </c>
      <c r="U40" s="212" t="s">
        <v>446</v>
      </c>
      <c r="V40" s="214" t="b">
        <v>1</v>
      </c>
      <c r="W40" s="214">
        <v>1989</v>
      </c>
      <c r="X40" s="214">
        <v>5</v>
      </c>
      <c r="Y40" s="214">
        <v>2</v>
      </c>
      <c r="Z40" s="214">
        <v>4</v>
      </c>
      <c r="AA40" s="212" t="s">
        <v>447</v>
      </c>
      <c r="AB40" s="212" t="s">
        <v>531</v>
      </c>
      <c r="AC40" s="212" t="s">
        <v>533</v>
      </c>
      <c r="AD40" s="214">
        <v>2.118258</v>
      </c>
      <c r="AE40" s="214">
        <v>600</v>
      </c>
      <c r="AF40" s="214">
        <v>0.32790000000000002</v>
      </c>
      <c r="AG40" s="214">
        <v>-99</v>
      </c>
      <c r="AH40" s="212" t="s">
        <v>224</v>
      </c>
      <c r="AI40" s="212" t="s">
        <v>449</v>
      </c>
      <c r="AJ40" s="212" t="s">
        <v>276</v>
      </c>
      <c r="AK40" s="212" t="s">
        <v>531</v>
      </c>
      <c r="AL40" s="212" t="s">
        <v>378</v>
      </c>
      <c r="AM40" s="214" t="b">
        <v>1</v>
      </c>
      <c r="AN40" s="214" t="b">
        <v>0</v>
      </c>
      <c r="AO40" s="212" t="s">
        <v>277</v>
      </c>
      <c r="AP40" s="212" t="s">
        <v>278</v>
      </c>
      <c r="AQ40" s="214">
        <v>100.20194000000001</v>
      </c>
      <c r="AR40" s="214" t="b">
        <v>0</v>
      </c>
      <c r="AS40" s="212" t="s">
        <v>534</v>
      </c>
      <c r="AU40" s="222" t="s">
        <v>819</v>
      </c>
    </row>
    <row r="41" spans="1:47" x14ac:dyDescent="0.25">
      <c r="A41" s="245">
        <f t="shared" si="7"/>
        <v>41</v>
      </c>
      <c r="B41" s="246" t="str">
        <f t="shared" si="0"/>
        <v>Oil Field - Tank</v>
      </c>
      <c r="C41" s="246" t="str">
        <f ca="1">IF(B41="","",VLOOKUP(D41,'Species Data'!B:E,4,FALSE))</f>
        <v>N_hex</v>
      </c>
      <c r="D41" s="246">
        <f t="shared" ca="1" si="1"/>
        <v>601</v>
      </c>
      <c r="E41" s="246">
        <f t="shared" ca="1" si="2"/>
        <v>1.0797000000000001</v>
      </c>
      <c r="F41" s="246" t="str">
        <f t="shared" ca="1" si="3"/>
        <v>N-hexane</v>
      </c>
      <c r="G41" s="246">
        <f t="shared" ca="1" si="4"/>
        <v>86.175359999999998</v>
      </c>
      <c r="H41" s="204">
        <f ca="1">IF(G41="","",IF(VLOOKUP(Tank!F41,'Species Data'!D:F,3,FALSE)=0,"X",IF(G41&lt;44.1,2,1)))</f>
        <v>1</v>
      </c>
      <c r="I41" s="204">
        <f t="shared" ca="1" si="5"/>
        <v>1.4244870084086145</v>
      </c>
      <c r="J41" s="247">
        <f ca="1">IF(I41="","",IF(COUNTIF($D$12:D41,D41)=1,IF(H41=1,I41*H41,IF(H41="X","X",0)),0))</f>
        <v>1.4244870084086145</v>
      </c>
      <c r="K41" s="248">
        <f t="shared" ca="1" si="6"/>
        <v>3.6026759527268823</v>
      </c>
      <c r="L41" s="212" t="s">
        <v>679</v>
      </c>
      <c r="M41" s="212" t="s">
        <v>448</v>
      </c>
      <c r="N41" s="212" t="s">
        <v>470</v>
      </c>
      <c r="O41" s="213">
        <v>41419</v>
      </c>
      <c r="P41" s="212" t="s">
        <v>531</v>
      </c>
      <c r="Q41" s="214">
        <v>100</v>
      </c>
      <c r="R41" s="212" t="s">
        <v>445</v>
      </c>
      <c r="S41" s="212" t="s">
        <v>532</v>
      </c>
      <c r="T41" s="212" t="s">
        <v>445</v>
      </c>
      <c r="U41" s="212" t="s">
        <v>446</v>
      </c>
      <c r="V41" s="214" t="b">
        <v>1</v>
      </c>
      <c r="W41" s="214">
        <v>1989</v>
      </c>
      <c r="X41" s="214">
        <v>5</v>
      </c>
      <c r="Y41" s="214">
        <v>2</v>
      </c>
      <c r="Z41" s="214">
        <v>4</v>
      </c>
      <c r="AA41" s="212" t="s">
        <v>447</v>
      </c>
      <c r="AB41" s="212" t="s">
        <v>531</v>
      </c>
      <c r="AC41" s="212" t="s">
        <v>533</v>
      </c>
      <c r="AD41" s="214">
        <v>2.118258</v>
      </c>
      <c r="AE41" s="214">
        <v>601</v>
      </c>
      <c r="AF41" s="214">
        <v>1.0797000000000001</v>
      </c>
      <c r="AG41" s="214">
        <v>-99</v>
      </c>
      <c r="AH41" s="212" t="s">
        <v>224</v>
      </c>
      <c r="AI41" s="212" t="s">
        <v>449</v>
      </c>
      <c r="AJ41" s="212" t="s">
        <v>279</v>
      </c>
      <c r="AK41" s="212" t="s">
        <v>531</v>
      </c>
      <c r="AL41" s="212" t="s">
        <v>379</v>
      </c>
      <c r="AM41" s="214" t="b">
        <v>1</v>
      </c>
      <c r="AN41" s="214" t="b">
        <v>1</v>
      </c>
      <c r="AO41" s="212" t="s">
        <v>280</v>
      </c>
      <c r="AP41" s="212" t="s">
        <v>281</v>
      </c>
      <c r="AQ41" s="214">
        <v>86.175359999999998</v>
      </c>
      <c r="AR41" s="214" t="b">
        <v>0</v>
      </c>
      <c r="AS41" s="212" t="s">
        <v>534</v>
      </c>
      <c r="AU41" s="222" t="s">
        <v>819</v>
      </c>
    </row>
    <row r="42" spans="1:47" x14ac:dyDescent="0.25">
      <c r="A42" s="245">
        <f t="shared" si="7"/>
        <v>42</v>
      </c>
      <c r="B42" s="246" t="str">
        <f t="shared" si="0"/>
        <v>Oil Field - Tank</v>
      </c>
      <c r="C42" s="246" t="str">
        <f ca="1">IF(B42="","",VLOOKUP(D42,'Species Data'!B:E,4,FALSE))</f>
        <v>N_nonane</v>
      </c>
      <c r="D42" s="246">
        <f t="shared" ca="1" si="1"/>
        <v>603</v>
      </c>
      <c r="E42" s="246">
        <f t="shared" ca="1" si="2"/>
        <v>2.5999999999999999E-2</v>
      </c>
      <c r="F42" s="246" t="str">
        <f t="shared" ca="1" si="3"/>
        <v>N-nonane</v>
      </c>
      <c r="G42" s="246">
        <f t="shared" ca="1" si="4"/>
        <v>128.2551</v>
      </c>
      <c r="H42" s="204">
        <f ca="1">IF(G42="","",IF(VLOOKUP(Tank!F42,'Species Data'!D:F,3,FALSE)=0,"X",IF(G42&lt;44.1,2,1)))</f>
        <v>1</v>
      </c>
      <c r="I42" s="204">
        <f t="shared" ca="1" si="5"/>
        <v>6.0467247152239355E-2</v>
      </c>
      <c r="J42" s="247">
        <f ca="1">IF(I42="","",IF(COUNTIF($D$12:D42,D42)=1,IF(H42=1,I42*H42,IF(H42="X","X",0)),0))</f>
        <v>6.0467247152239355E-2</v>
      </c>
      <c r="K42" s="248">
        <f t="shared" ca="1" si="6"/>
        <v>0.15292796351041008</v>
      </c>
      <c r="L42" s="212" t="s">
        <v>679</v>
      </c>
      <c r="M42" s="212" t="s">
        <v>448</v>
      </c>
      <c r="N42" s="212" t="s">
        <v>470</v>
      </c>
      <c r="O42" s="213">
        <v>41419</v>
      </c>
      <c r="P42" s="212" t="s">
        <v>531</v>
      </c>
      <c r="Q42" s="214">
        <v>100</v>
      </c>
      <c r="R42" s="212" t="s">
        <v>445</v>
      </c>
      <c r="S42" s="212" t="s">
        <v>532</v>
      </c>
      <c r="T42" s="212" t="s">
        <v>445</v>
      </c>
      <c r="U42" s="212" t="s">
        <v>446</v>
      </c>
      <c r="V42" s="214" t="b">
        <v>1</v>
      </c>
      <c r="W42" s="214">
        <v>1989</v>
      </c>
      <c r="X42" s="214">
        <v>5</v>
      </c>
      <c r="Y42" s="214">
        <v>2</v>
      </c>
      <c r="Z42" s="214">
        <v>4</v>
      </c>
      <c r="AA42" s="212" t="s">
        <v>447</v>
      </c>
      <c r="AB42" s="212" t="s">
        <v>531</v>
      </c>
      <c r="AC42" s="212" t="s">
        <v>533</v>
      </c>
      <c r="AD42" s="214">
        <v>2.118258</v>
      </c>
      <c r="AE42" s="214">
        <v>603</v>
      </c>
      <c r="AF42" s="214">
        <v>2.5999999999999999E-2</v>
      </c>
      <c r="AG42" s="214">
        <v>-99</v>
      </c>
      <c r="AH42" s="212" t="s">
        <v>224</v>
      </c>
      <c r="AI42" s="212" t="s">
        <v>449</v>
      </c>
      <c r="AJ42" s="212" t="s">
        <v>417</v>
      </c>
      <c r="AK42" s="212" t="s">
        <v>531</v>
      </c>
      <c r="AL42" s="212" t="s">
        <v>453</v>
      </c>
      <c r="AM42" s="214" t="b">
        <v>1</v>
      </c>
      <c r="AN42" s="214" t="b">
        <v>0</v>
      </c>
      <c r="AO42" s="212" t="s">
        <v>418</v>
      </c>
      <c r="AP42" s="212" t="s">
        <v>419</v>
      </c>
      <c r="AQ42" s="214">
        <v>128.2551</v>
      </c>
      <c r="AR42" s="214" t="b">
        <v>0</v>
      </c>
      <c r="AS42" s="212" t="s">
        <v>534</v>
      </c>
      <c r="AU42" s="222" t="s">
        <v>819</v>
      </c>
    </row>
    <row r="43" spans="1:47" x14ac:dyDescent="0.25">
      <c r="A43" s="245">
        <f t="shared" si="7"/>
        <v>43</v>
      </c>
      <c r="B43" s="246" t="str">
        <f t="shared" si="0"/>
        <v>Oil Field - Tank</v>
      </c>
      <c r="C43" s="246" t="str">
        <f ca="1">IF(B43="","",VLOOKUP(D43,'Species Data'!B:E,4,FALSE))</f>
        <v>N_octane</v>
      </c>
      <c r="D43" s="246">
        <f t="shared" ca="1" si="1"/>
        <v>604</v>
      </c>
      <c r="E43" s="246">
        <f t="shared" ca="1" si="2"/>
        <v>0.1923</v>
      </c>
      <c r="F43" s="246" t="str">
        <f t="shared" ca="1" si="3"/>
        <v>N-octane</v>
      </c>
      <c r="G43" s="246">
        <f t="shared" ca="1" si="4"/>
        <v>114.22852</v>
      </c>
      <c r="H43" s="204">
        <f ca="1">IF(G43="","",IF(VLOOKUP(Tank!F43,'Species Data'!D:F,3,FALSE)=0,"X",IF(G43&lt;44.1,2,1)))</f>
        <v>1</v>
      </c>
      <c r="I43" s="204">
        <f t="shared" ca="1" si="5"/>
        <v>0.21590207265989761</v>
      </c>
      <c r="J43" s="247">
        <f ca="1">IF(I43="","",IF(COUNTIF($D$12:D43,D43)=1,IF(H43=1,I43*H43,IF(H43="X","X",0)),0))</f>
        <v>0.21590207265989761</v>
      </c>
      <c r="K43" s="248">
        <f t="shared" ca="1" si="6"/>
        <v>0.54603882009753357</v>
      </c>
      <c r="L43" s="212" t="s">
        <v>679</v>
      </c>
      <c r="M43" s="212" t="s">
        <v>448</v>
      </c>
      <c r="N43" s="212" t="s">
        <v>470</v>
      </c>
      <c r="O43" s="213">
        <v>41419</v>
      </c>
      <c r="P43" s="212" t="s">
        <v>531</v>
      </c>
      <c r="Q43" s="214">
        <v>100</v>
      </c>
      <c r="R43" s="212" t="s">
        <v>445</v>
      </c>
      <c r="S43" s="212" t="s">
        <v>532</v>
      </c>
      <c r="T43" s="212" t="s">
        <v>445</v>
      </c>
      <c r="U43" s="212" t="s">
        <v>446</v>
      </c>
      <c r="V43" s="214" t="b">
        <v>1</v>
      </c>
      <c r="W43" s="214">
        <v>1989</v>
      </c>
      <c r="X43" s="214">
        <v>5</v>
      </c>
      <c r="Y43" s="214">
        <v>2</v>
      </c>
      <c r="Z43" s="214">
        <v>4</v>
      </c>
      <c r="AA43" s="212" t="s">
        <v>447</v>
      </c>
      <c r="AB43" s="212" t="s">
        <v>531</v>
      </c>
      <c r="AC43" s="212" t="s">
        <v>533</v>
      </c>
      <c r="AD43" s="214">
        <v>2.118258</v>
      </c>
      <c r="AE43" s="214">
        <v>604</v>
      </c>
      <c r="AF43" s="214">
        <v>0.1923</v>
      </c>
      <c r="AG43" s="214">
        <v>-99</v>
      </c>
      <c r="AH43" s="212" t="s">
        <v>224</v>
      </c>
      <c r="AI43" s="212" t="s">
        <v>449</v>
      </c>
      <c r="AJ43" s="212" t="s">
        <v>282</v>
      </c>
      <c r="AK43" s="212" t="s">
        <v>531</v>
      </c>
      <c r="AL43" s="212" t="s">
        <v>380</v>
      </c>
      <c r="AM43" s="214" t="b">
        <v>1</v>
      </c>
      <c r="AN43" s="214" t="b">
        <v>0</v>
      </c>
      <c r="AO43" s="212" t="s">
        <v>283</v>
      </c>
      <c r="AP43" s="212" t="s">
        <v>284</v>
      </c>
      <c r="AQ43" s="214">
        <v>114.22852</v>
      </c>
      <c r="AR43" s="214" t="b">
        <v>0</v>
      </c>
      <c r="AS43" s="212" t="s">
        <v>534</v>
      </c>
      <c r="AU43" s="222" t="s">
        <v>819</v>
      </c>
    </row>
    <row r="44" spans="1:47" x14ac:dyDescent="0.25">
      <c r="A44" s="245">
        <f t="shared" si="7"/>
        <v>44</v>
      </c>
      <c r="B44" s="246" t="str">
        <f t="shared" si="0"/>
        <v>Oil Field - Tank</v>
      </c>
      <c r="C44" s="246" t="str">
        <f ca="1">IF(B44="","",VLOOKUP(D44,'Species Data'!B:E,4,FALSE))</f>
        <v>N_pentane</v>
      </c>
      <c r="D44" s="246">
        <f t="shared" ca="1" si="1"/>
        <v>605</v>
      </c>
      <c r="E44" s="246">
        <f t="shared" ca="1" si="2"/>
        <v>2.7181999999999999</v>
      </c>
      <c r="F44" s="246" t="str">
        <f t="shared" ca="1" si="3"/>
        <v>N-pentane</v>
      </c>
      <c r="G44" s="246">
        <f t="shared" ca="1" si="4"/>
        <v>72.148780000000002</v>
      </c>
      <c r="H44" s="204">
        <f ca="1">IF(G44="","",IF(VLOOKUP(Tank!F44,'Species Data'!D:F,3,FALSE)=0,"X",IF(G44&lt;44.1,2,1)))</f>
        <v>1</v>
      </c>
      <c r="I44" s="204">
        <f t="shared" ca="1" si="5"/>
        <v>3.2465311666992012</v>
      </c>
      <c r="J44" s="247">
        <f ca="1">IF(I44="","",IF(COUNTIF($D$12:D44,D44)=1,IF(H44=1,I44*H44,IF(H44="X","X",0)),0))</f>
        <v>3.2465311666992012</v>
      </c>
      <c r="K44" s="248">
        <f t="shared" ca="1" si="6"/>
        <v>8.2108153286088132</v>
      </c>
      <c r="L44" s="212" t="s">
        <v>679</v>
      </c>
      <c r="M44" s="212" t="s">
        <v>448</v>
      </c>
      <c r="N44" s="212" t="s">
        <v>470</v>
      </c>
      <c r="O44" s="213">
        <v>41419</v>
      </c>
      <c r="P44" s="212" t="s">
        <v>531</v>
      </c>
      <c r="Q44" s="214">
        <v>100</v>
      </c>
      <c r="R44" s="212" t="s">
        <v>445</v>
      </c>
      <c r="S44" s="212" t="s">
        <v>532</v>
      </c>
      <c r="T44" s="212" t="s">
        <v>445</v>
      </c>
      <c r="U44" s="212" t="s">
        <v>446</v>
      </c>
      <c r="V44" s="214" t="b">
        <v>1</v>
      </c>
      <c r="W44" s="214">
        <v>1989</v>
      </c>
      <c r="X44" s="214">
        <v>5</v>
      </c>
      <c r="Y44" s="214">
        <v>2</v>
      </c>
      <c r="Z44" s="214">
        <v>4</v>
      </c>
      <c r="AA44" s="212" t="s">
        <v>447</v>
      </c>
      <c r="AB44" s="212" t="s">
        <v>531</v>
      </c>
      <c r="AC44" s="212" t="s">
        <v>533</v>
      </c>
      <c r="AD44" s="214">
        <v>2.118258</v>
      </c>
      <c r="AE44" s="214">
        <v>605</v>
      </c>
      <c r="AF44" s="214">
        <v>2.7181999999999999</v>
      </c>
      <c r="AG44" s="214">
        <v>-99</v>
      </c>
      <c r="AH44" s="212" t="s">
        <v>224</v>
      </c>
      <c r="AI44" s="212" t="s">
        <v>449</v>
      </c>
      <c r="AJ44" s="212" t="s">
        <v>285</v>
      </c>
      <c r="AK44" s="212" t="s">
        <v>531</v>
      </c>
      <c r="AL44" s="212" t="s">
        <v>381</v>
      </c>
      <c r="AM44" s="214" t="b">
        <v>1</v>
      </c>
      <c r="AN44" s="214" t="b">
        <v>0</v>
      </c>
      <c r="AO44" s="212" t="s">
        <v>286</v>
      </c>
      <c r="AP44" s="212" t="s">
        <v>287</v>
      </c>
      <c r="AQ44" s="214">
        <v>72.148780000000002</v>
      </c>
      <c r="AR44" s="214" t="b">
        <v>0</v>
      </c>
      <c r="AS44" s="212" t="s">
        <v>534</v>
      </c>
      <c r="AU44" s="222" t="s">
        <v>819</v>
      </c>
    </row>
    <row r="45" spans="1:47" x14ac:dyDescent="0.25">
      <c r="A45" s="245">
        <f t="shared" si="7"/>
        <v>45</v>
      </c>
      <c r="B45" s="246" t="str">
        <f t="shared" si="0"/>
        <v>Oil Field - Tank</v>
      </c>
      <c r="C45" s="246" t="str">
        <f ca="1">IF(B45="","",VLOOKUP(D45,'Species Data'!B:E,4,FALSE))</f>
        <v>N_proben</v>
      </c>
      <c r="D45" s="246">
        <f t="shared" ca="1" si="1"/>
        <v>608</v>
      </c>
      <c r="E45" s="246">
        <f t="shared" ca="1" si="2"/>
        <v>1.9E-2</v>
      </c>
      <c r="F45" s="246" t="str">
        <f t="shared" ca="1" si="3"/>
        <v>N-propylbenzene</v>
      </c>
      <c r="G45" s="246">
        <f t="shared" ca="1" si="4"/>
        <v>120.19158</v>
      </c>
      <c r="H45" s="204">
        <f ca="1">IF(G45="","",IF(VLOOKUP(Tank!F45,'Species Data'!D:F,3,FALSE)=0,"X",IF(G45&lt;44.1,2,1)))</f>
        <v>1</v>
      </c>
      <c r="I45" s="204">
        <f t="shared" ca="1" si="5"/>
        <v>2.0193527191194376E-2</v>
      </c>
      <c r="J45" s="247">
        <f ca="1">IF(I45="","",IF(COUNTIF($D$12:D45,D45)=1,IF(H45=1,I45*H45,IF(H45="X","X",0)),0))</f>
        <v>2.0193527191194376E-2</v>
      </c>
      <c r="K45" s="248">
        <f t="shared" ca="1" si="6"/>
        <v>5.1071532687214115E-2</v>
      </c>
      <c r="L45" s="212" t="s">
        <v>679</v>
      </c>
      <c r="M45" s="212" t="s">
        <v>448</v>
      </c>
      <c r="N45" s="212" t="s">
        <v>470</v>
      </c>
      <c r="O45" s="213">
        <v>41419</v>
      </c>
      <c r="P45" s="212" t="s">
        <v>531</v>
      </c>
      <c r="Q45" s="214">
        <v>100</v>
      </c>
      <c r="R45" s="212" t="s">
        <v>445</v>
      </c>
      <c r="S45" s="212" t="s">
        <v>532</v>
      </c>
      <c r="T45" s="212" t="s">
        <v>445</v>
      </c>
      <c r="U45" s="212" t="s">
        <v>446</v>
      </c>
      <c r="V45" s="214" t="b">
        <v>1</v>
      </c>
      <c r="W45" s="214">
        <v>1989</v>
      </c>
      <c r="X45" s="214">
        <v>5</v>
      </c>
      <c r="Y45" s="214">
        <v>2</v>
      </c>
      <c r="Z45" s="214">
        <v>4</v>
      </c>
      <c r="AA45" s="212" t="s">
        <v>447</v>
      </c>
      <c r="AB45" s="212" t="s">
        <v>531</v>
      </c>
      <c r="AC45" s="212" t="s">
        <v>533</v>
      </c>
      <c r="AD45" s="214">
        <v>2.118258</v>
      </c>
      <c r="AE45" s="214">
        <v>608</v>
      </c>
      <c r="AF45" s="214">
        <v>1.9E-2</v>
      </c>
      <c r="AG45" s="214">
        <v>-99</v>
      </c>
      <c r="AH45" s="212" t="s">
        <v>224</v>
      </c>
      <c r="AI45" s="212" t="s">
        <v>449</v>
      </c>
      <c r="AJ45" s="212" t="s">
        <v>420</v>
      </c>
      <c r="AK45" s="212" t="s">
        <v>531</v>
      </c>
      <c r="AL45" s="212" t="s">
        <v>454</v>
      </c>
      <c r="AM45" s="214" t="b">
        <v>1</v>
      </c>
      <c r="AN45" s="214" t="b">
        <v>0</v>
      </c>
      <c r="AO45" s="212" t="s">
        <v>421</v>
      </c>
      <c r="AP45" s="212" t="s">
        <v>422</v>
      </c>
      <c r="AQ45" s="214">
        <v>120.19158</v>
      </c>
      <c r="AR45" s="214" t="b">
        <v>0</v>
      </c>
      <c r="AS45" s="212" t="s">
        <v>534</v>
      </c>
      <c r="AU45" s="222" t="s">
        <v>819</v>
      </c>
    </row>
    <row r="46" spans="1:47" x14ac:dyDescent="0.25">
      <c r="A46" s="245">
        <f t="shared" si="7"/>
        <v>46</v>
      </c>
      <c r="B46" s="246" t="str">
        <f t="shared" si="0"/>
        <v>Oil Field - Tank</v>
      </c>
      <c r="C46" s="246" t="str">
        <f ca="1">IF(B46="","",VLOOKUP(D46,'Species Data'!B:E,4,FALSE))</f>
        <v>N_und</v>
      </c>
      <c r="D46" s="246">
        <f t="shared" ca="1" si="1"/>
        <v>610</v>
      </c>
      <c r="E46" s="246">
        <f t="shared" ca="1" si="2"/>
        <v>6.4999999999999997E-3</v>
      </c>
      <c r="F46" s="246" t="str">
        <f t="shared" ca="1" si="3"/>
        <v>N-undecane</v>
      </c>
      <c r="G46" s="246">
        <f t="shared" ca="1" si="4"/>
        <v>156.30826000000002</v>
      </c>
      <c r="H46" s="204">
        <f ca="1">IF(G46="","",IF(VLOOKUP(Tank!F46,'Species Data'!D:F,3,FALSE)=0,"X",IF(G46&lt;44.1,2,1)))</f>
        <v>1</v>
      </c>
      <c r="I46" s="204">
        <f t="shared" ca="1" si="5"/>
        <v>3.8800372483575856E-3</v>
      </c>
      <c r="J46" s="247">
        <f ca="1">IF(I46="","",IF(COUNTIF($D$12:D46,D46)=1,IF(H46=1,I46*H46,IF(H46="X","X",0)),0))</f>
        <v>3.8800372483575856E-3</v>
      </c>
      <c r="K46" s="248">
        <f t="shared" ca="1" si="6"/>
        <v>9.8130181657176026E-3</v>
      </c>
      <c r="L46" s="212" t="s">
        <v>679</v>
      </c>
      <c r="M46" s="212" t="s">
        <v>448</v>
      </c>
      <c r="N46" s="212" t="s">
        <v>470</v>
      </c>
      <c r="O46" s="213">
        <v>41419</v>
      </c>
      <c r="P46" s="212" t="s">
        <v>531</v>
      </c>
      <c r="Q46" s="214">
        <v>100</v>
      </c>
      <c r="R46" s="212" t="s">
        <v>445</v>
      </c>
      <c r="S46" s="212" t="s">
        <v>532</v>
      </c>
      <c r="T46" s="212" t="s">
        <v>445</v>
      </c>
      <c r="U46" s="212" t="s">
        <v>446</v>
      </c>
      <c r="V46" s="214" t="b">
        <v>1</v>
      </c>
      <c r="W46" s="214">
        <v>1989</v>
      </c>
      <c r="X46" s="214">
        <v>5</v>
      </c>
      <c r="Y46" s="214">
        <v>2</v>
      </c>
      <c r="Z46" s="214">
        <v>4</v>
      </c>
      <c r="AA46" s="212" t="s">
        <v>447</v>
      </c>
      <c r="AB46" s="212" t="s">
        <v>531</v>
      </c>
      <c r="AC46" s="212" t="s">
        <v>533</v>
      </c>
      <c r="AD46" s="214">
        <v>2.118258</v>
      </c>
      <c r="AE46" s="214">
        <v>610</v>
      </c>
      <c r="AF46" s="214">
        <v>6.4999999999999997E-3</v>
      </c>
      <c r="AG46" s="214">
        <v>-99</v>
      </c>
      <c r="AH46" s="212" t="s">
        <v>224</v>
      </c>
      <c r="AI46" s="212" t="s">
        <v>449</v>
      </c>
      <c r="AJ46" s="212" t="s">
        <v>430</v>
      </c>
      <c r="AK46" s="212" t="s">
        <v>531</v>
      </c>
      <c r="AL46" s="212" t="s">
        <v>458</v>
      </c>
      <c r="AM46" s="214" t="b">
        <v>1</v>
      </c>
      <c r="AN46" s="214" t="b">
        <v>0</v>
      </c>
      <c r="AO46" s="212" t="s">
        <v>431</v>
      </c>
      <c r="AP46" s="212" t="s">
        <v>432</v>
      </c>
      <c r="AQ46" s="214">
        <v>156.30826000000002</v>
      </c>
      <c r="AR46" s="214" t="b">
        <v>0</v>
      </c>
      <c r="AS46" s="212" t="s">
        <v>534</v>
      </c>
      <c r="AU46" s="222" t="s">
        <v>819</v>
      </c>
    </row>
    <row r="47" spans="1:47" x14ac:dyDescent="0.25">
      <c r="A47" s="245">
        <f t="shared" si="7"/>
        <v>47</v>
      </c>
      <c r="B47" s="246" t="str">
        <f t="shared" si="0"/>
        <v>Oil Field - Tank</v>
      </c>
      <c r="C47" s="246" t="str">
        <f ca="1">IF(B47="","",VLOOKUP(D47,'Species Data'!B:E,4,FALSE))</f>
        <v>O_xylene</v>
      </c>
      <c r="D47" s="246">
        <f t="shared" ca="1" si="1"/>
        <v>620</v>
      </c>
      <c r="E47" s="246">
        <f t="shared" ca="1" si="2"/>
        <v>2.2100000000000002E-2</v>
      </c>
      <c r="F47" s="246" t="str">
        <f t="shared" ca="1" si="3"/>
        <v>O-xylene</v>
      </c>
      <c r="G47" s="246">
        <f t="shared" ca="1" si="4"/>
        <v>106.16500000000001</v>
      </c>
      <c r="H47" s="204">
        <f ca="1">IF(G47="","",IF(VLOOKUP(Tank!F47,'Species Data'!D:F,3,FALSE)=0,"X",IF(G47&lt;44.1,2,1)))</f>
        <v>1</v>
      </c>
      <c r="I47" s="204">
        <f t="shared" ca="1" si="5"/>
        <v>5.0080480772615434E-2</v>
      </c>
      <c r="J47" s="247">
        <f ca="1">IF(I47="","",IF(COUNTIF($D$12:D47,D47)=1,IF(H47=1,I47*H47,IF(H47="X","X",0)),0))</f>
        <v>5.0080480772615434E-2</v>
      </c>
      <c r="K47" s="248">
        <f t="shared" ca="1" si="6"/>
        <v>0.12665874993276741</v>
      </c>
      <c r="L47" s="212" t="s">
        <v>679</v>
      </c>
      <c r="M47" s="212" t="s">
        <v>448</v>
      </c>
      <c r="N47" s="212" t="s">
        <v>470</v>
      </c>
      <c r="O47" s="213">
        <v>41419</v>
      </c>
      <c r="P47" s="212" t="s">
        <v>531</v>
      </c>
      <c r="Q47" s="214">
        <v>100</v>
      </c>
      <c r="R47" s="212" t="s">
        <v>445</v>
      </c>
      <c r="S47" s="212" t="s">
        <v>532</v>
      </c>
      <c r="T47" s="212" t="s">
        <v>445</v>
      </c>
      <c r="U47" s="212" t="s">
        <v>446</v>
      </c>
      <c r="V47" s="214" t="b">
        <v>1</v>
      </c>
      <c r="W47" s="214">
        <v>1989</v>
      </c>
      <c r="X47" s="214">
        <v>5</v>
      </c>
      <c r="Y47" s="214">
        <v>2</v>
      </c>
      <c r="Z47" s="214">
        <v>4</v>
      </c>
      <c r="AA47" s="212" t="s">
        <v>447</v>
      </c>
      <c r="AB47" s="212" t="s">
        <v>531</v>
      </c>
      <c r="AC47" s="212" t="s">
        <v>533</v>
      </c>
      <c r="AD47" s="214">
        <v>2.118258</v>
      </c>
      <c r="AE47" s="214">
        <v>620</v>
      </c>
      <c r="AF47" s="214">
        <v>2.2100000000000002E-2</v>
      </c>
      <c r="AG47" s="214">
        <v>-99</v>
      </c>
      <c r="AH47" s="212" t="s">
        <v>224</v>
      </c>
      <c r="AI47" s="212" t="s">
        <v>449</v>
      </c>
      <c r="AJ47" s="212" t="s">
        <v>354</v>
      </c>
      <c r="AK47" s="212" t="s">
        <v>531</v>
      </c>
      <c r="AL47" s="212" t="s">
        <v>398</v>
      </c>
      <c r="AM47" s="214" t="b">
        <v>1</v>
      </c>
      <c r="AN47" s="214" t="b">
        <v>1</v>
      </c>
      <c r="AO47" s="212" t="s">
        <v>355</v>
      </c>
      <c r="AP47" s="212" t="s">
        <v>356</v>
      </c>
      <c r="AQ47" s="214">
        <v>106.16500000000001</v>
      </c>
      <c r="AR47" s="214" t="b">
        <v>0</v>
      </c>
      <c r="AS47" s="212" t="s">
        <v>534</v>
      </c>
      <c r="AT47" s="301" t="s">
        <v>820</v>
      </c>
      <c r="AU47" s="222" t="s">
        <v>819</v>
      </c>
    </row>
    <row r="48" spans="1:47" x14ac:dyDescent="0.25">
      <c r="A48" s="245">
        <f t="shared" si="7"/>
        <v>48</v>
      </c>
      <c r="B48" s="246" t="str">
        <f t="shared" si="0"/>
        <v>Oil Field - Tank</v>
      </c>
      <c r="C48" s="246" t="str">
        <f ca="1">IF(B48="","",VLOOKUP(D48,'Species Data'!B:E,4,FALSE))</f>
        <v>P_xylene</v>
      </c>
      <c r="D48" s="246">
        <f t="shared" ca="1" si="1"/>
        <v>648</v>
      </c>
      <c r="E48" s="246">
        <f t="shared" ca="1" si="2"/>
        <v>1.95E-2</v>
      </c>
      <c r="F48" s="246" t="str">
        <f t="shared" ca="1" si="3"/>
        <v>P-xylene</v>
      </c>
      <c r="G48" s="246">
        <f t="shared" ca="1" si="4"/>
        <v>106.16500000000001</v>
      </c>
      <c r="H48" s="204">
        <f ca="1">IF(G48="","",IF(VLOOKUP(Tank!F48,'Species Data'!D:F,3,FALSE)=0,"X",IF(G48&lt;44.1,2,1)))</f>
        <v>1</v>
      </c>
      <c r="I48" s="204">
        <f t="shared" ca="1" si="5"/>
        <v>8.2000787207557213E-2</v>
      </c>
      <c r="J48" s="247">
        <f ca="1">IF(I48="","",IF(COUNTIF($D$12:D48,D48)=1,IF(H48=1,I48*H48,IF(H48="X","X",0)),0))</f>
        <v>8.2000787207557213E-2</v>
      </c>
      <c r="K48" s="248">
        <f t="shared" ca="1" si="6"/>
        <v>0.20738852824454726</v>
      </c>
      <c r="L48" s="212" t="s">
        <v>679</v>
      </c>
      <c r="M48" s="212" t="s">
        <v>448</v>
      </c>
      <c r="N48" s="212" t="s">
        <v>470</v>
      </c>
      <c r="O48" s="213">
        <v>41419</v>
      </c>
      <c r="P48" s="212" t="s">
        <v>531</v>
      </c>
      <c r="Q48" s="214">
        <v>100</v>
      </c>
      <c r="R48" s="212" t="s">
        <v>445</v>
      </c>
      <c r="S48" s="212" t="s">
        <v>532</v>
      </c>
      <c r="T48" s="212" t="s">
        <v>445</v>
      </c>
      <c r="U48" s="212" t="s">
        <v>446</v>
      </c>
      <c r="V48" s="214" t="b">
        <v>1</v>
      </c>
      <c r="W48" s="214">
        <v>1989</v>
      </c>
      <c r="X48" s="214">
        <v>5</v>
      </c>
      <c r="Y48" s="214">
        <v>2</v>
      </c>
      <c r="Z48" s="214">
        <v>4</v>
      </c>
      <c r="AA48" s="212" t="s">
        <v>447</v>
      </c>
      <c r="AB48" s="212" t="s">
        <v>531</v>
      </c>
      <c r="AC48" s="212" t="s">
        <v>533</v>
      </c>
      <c r="AD48" s="214">
        <v>2.118258</v>
      </c>
      <c r="AE48" s="214">
        <v>648</v>
      </c>
      <c r="AF48" s="214">
        <v>1.95E-2</v>
      </c>
      <c r="AG48" s="214">
        <v>-99</v>
      </c>
      <c r="AH48" s="212" t="s">
        <v>224</v>
      </c>
      <c r="AI48" s="212" t="s">
        <v>449</v>
      </c>
      <c r="AJ48" s="212" t="s">
        <v>433</v>
      </c>
      <c r="AK48" s="212" t="s">
        <v>531</v>
      </c>
      <c r="AL48" s="212" t="s">
        <v>459</v>
      </c>
      <c r="AM48" s="214" t="b">
        <v>0</v>
      </c>
      <c r="AN48" s="214" t="b">
        <v>1</v>
      </c>
      <c r="AO48" s="212" t="s">
        <v>434</v>
      </c>
      <c r="AP48" s="212" t="s">
        <v>435</v>
      </c>
      <c r="AQ48" s="214">
        <v>106.16500000000001</v>
      </c>
      <c r="AR48" s="214" t="b">
        <v>0</v>
      </c>
      <c r="AS48" s="212" t="s">
        <v>534</v>
      </c>
      <c r="AT48" s="301" t="s">
        <v>820</v>
      </c>
      <c r="AU48" s="222" t="s">
        <v>819</v>
      </c>
    </row>
    <row r="49" spans="1:47" x14ac:dyDescent="0.25">
      <c r="A49" s="245">
        <f t="shared" si="7"/>
        <v>49</v>
      </c>
      <c r="B49" s="246" t="str">
        <f t="shared" si="0"/>
        <v>Oil Field - Tank</v>
      </c>
      <c r="C49" s="246" t="str">
        <f ca="1">IF(B49="","",VLOOKUP(D49,'Species Data'!B:E,4,FALSE))</f>
        <v>propane</v>
      </c>
      <c r="D49" s="246">
        <f t="shared" ca="1" si="1"/>
        <v>671</v>
      </c>
      <c r="E49" s="246">
        <f t="shared" ca="1" si="2"/>
        <v>13.0885</v>
      </c>
      <c r="F49" s="246" t="str">
        <f t="shared" ca="1" si="3"/>
        <v>Propane</v>
      </c>
      <c r="G49" s="246">
        <f t="shared" ca="1" si="4"/>
        <v>44.095619999999997</v>
      </c>
      <c r="H49" s="204">
        <f ca="1">IF(G49="","",IF(VLOOKUP(Tank!F49,'Species Data'!D:F,3,FALSE)=0,"X",IF(G49&lt;44.1,2,1)))</f>
        <v>2</v>
      </c>
      <c r="I49" s="204">
        <f t="shared" ca="1" si="5"/>
        <v>10.138737331878389</v>
      </c>
      <c r="J49" s="247">
        <f ca="1">IF(I49="","",IF(COUNTIF($D$12:D49,D49)=1,IF(H49=1,I49*H49,IF(H49="X","X",0)),0))</f>
        <v>0</v>
      </c>
      <c r="K49" s="248">
        <f t="shared" ca="1" si="6"/>
        <v>0</v>
      </c>
      <c r="L49" s="212" t="s">
        <v>679</v>
      </c>
      <c r="M49" s="212" t="s">
        <v>448</v>
      </c>
      <c r="N49" s="212" t="s">
        <v>470</v>
      </c>
      <c r="O49" s="213">
        <v>41419</v>
      </c>
      <c r="P49" s="212" t="s">
        <v>531</v>
      </c>
      <c r="Q49" s="214">
        <v>100</v>
      </c>
      <c r="R49" s="212" t="s">
        <v>445</v>
      </c>
      <c r="S49" s="212" t="s">
        <v>532</v>
      </c>
      <c r="T49" s="212" t="s">
        <v>445</v>
      </c>
      <c r="U49" s="212" t="s">
        <v>446</v>
      </c>
      <c r="V49" s="214" t="b">
        <v>1</v>
      </c>
      <c r="W49" s="214">
        <v>1989</v>
      </c>
      <c r="X49" s="214">
        <v>5</v>
      </c>
      <c r="Y49" s="214">
        <v>2</v>
      </c>
      <c r="Z49" s="214">
        <v>4</v>
      </c>
      <c r="AA49" s="212" t="s">
        <v>447</v>
      </c>
      <c r="AB49" s="212" t="s">
        <v>531</v>
      </c>
      <c r="AC49" s="212" t="s">
        <v>533</v>
      </c>
      <c r="AD49" s="214">
        <v>2.118258</v>
      </c>
      <c r="AE49" s="214">
        <v>671</v>
      </c>
      <c r="AF49" s="214">
        <v>13.0885</v>
      </c>
      <c r="AG49" s="214">
        <v>-99</v>
      </c>
      <c r="AH49" s="212" t="s">
        <v>224</v>
      </c>
      <c r="AI49" s="212" t="s">
        <v>449</v>
      </c>
      <c r="AJ49" s="212" t="s">
        <v>288</v>
      </c>
      <c r="AK49" s="212" t="s">
        <v>531</v>
      </c>
      <c r="AL49" s="212" t="s">
        <v>382</v>
      </c>
      <c r="AM49" s="214" t="b">
        <v>1</v>
      </c>
      <c r="AN49" s="214" t="b">
        <v>0</v>
      </c>
      <c r="AO49" s="212" t="s">
        <v>289</v>
      </c>
      <c r="AP49" s="212" t="s">
        <v>290</v>
      </c>
      <c r="AQ49" s="214">
        <v>44.095619999999997</v>
      </c>
      <c r="AR49" s="214" t="b">
        <v>0</v>
      </c>
      <c r="AS49" s="212" t="s">
        <v>534</v>
      </c>
      <c r="AU49" s="222" t="s">
        <v>819</v>
      </c>
    </row>
    <row r="50" spans="1:47" x14ac:dyDescent="0.25">
      <c r="A50" s="245">
        <f t="shared" si="7"/>
        <v>50</v>
      </c>
      <c r="B50" s="246" t="str">
        <f t="shared" si="0"/>
        <v>Oil Field - Tank</v>
      </c>
      <c r="C50" s="246" t="str">
        <f ca="1">IF(B50="","",VLOOKUP(D50,'Species Data'!B:E,4,FALSE))</f>
        <v>toluene</v>
      </c>
      <c r="D50" s="246">
        <f t="shared" ca="1" si="1"/>
        <v>717</v>
      </c>
      <c r="E50" s="246">
        <f t="shared" ca="1" si="2"/>
        <v>0.1012</v>
      </c>
      <c r="F50" s="246" t="str">
        <f t="shared" ca="1" si="3"/>
        <v>Toluene</v>
      </c>
      <c r="G50" s="246">
        <f t="shared" ca="1" si="4"/>
        <v>92.138419999999996</v>
      </c>
      <c r="H50" s="204">
        <f ca="1">IF(G50="","",IF(VLOOKUP(Tank!F50,'Species Data'!D:F,3,FALSE)=0,"X",IF(G50&lt;44.1,2,1)))</f>
        <v>1</v>
      </c>
      <c r="I50" s="204">
        <f t="shared" ca="1" si="5"/>
        <v>0.21631540996126902</v>
      </c>
      <c r="J50" s="247">
        <f ca="1">IF(I50="","",IF(COUNTIF($D$12:D50,D50)=1,IF(H50=1,I50*H50,IF(H50="X","X",0)),0))</f>
        <v>0.21631540996126902</v>
      </c>
      <c r="K50" s="248">
        <f t="shared" ca="1" si="6"/>
        <v>0.54708419316673362</v>
      </c>
      <c r="L50" s="212" t="s">
        <v>679</v>
      </c>
      <c r="M50" s="212" t="s">
        <v>448</v>
      </c>
      <c r="N50" s="212" t="s">
        <v>470</v>
      </c>
      <c r="O50" s="213">
        <v>41419</v>
      </c>
      <c r="P50" s="212" t="s">
        <v>531</v>
      </c>
      <c r="Q50" s="214">
        <v>100</v>
      </c>
      <c r="R50" s="212" t="s">
        <v>445</v>
      </c>
      <c r="S50" s="212" t="s">
        <v>532</v>
      </c>
      <c r="T50" s="212" t="s">
        <v>445</v>
      </c>
      <c r="U50" s="212" t="s">
        <v>446</v>
      </c>
      <c r="V50" s="214" t="b">
        <v>1</v>
      </c>
      <c r="W50" s="214">
        <v>1989</v>
      </c>
      <c r="X50" s="214">
        <v>5</v>
      </c>
      <c r="Y50" s="214">
        <v>2</v>
      </c>
      <c r="Z50" s="214">
        <v>4</v>
      </c>
      <c r="AA50" s="212" t="s">
        <v>447</v>
      </c>
      <c r="AB50" s="212" t="s">
        <v>531</v>
      </c>
      <c r="AC50" s="212" t="s">
        <v>533</v>
      </c>
      <c r="AD50" s="214">
        <v>2.118258</v>
      </c>
      <c r="AE50" s="214">
        <v>717</v>
      </c>
      <c r="AF50" s="214">
        <v>0.1012</v>
      </c>
      <c r="AG50" s="214">
        <v>-99</v>
      </c>
      <c r="AH50" s="212" t="s">
        <v>224</v>
      </c>
      <c r="AI50" s="212" t="s">
        <v>449</v>
      </c>
      <c r="AJ50" s="212" t="s">
        <v>294</v>
      </c>
      <c r="AK50" s="212" t="s">
        <v>531</v>
      </c>
      <c r="AL50" s="212" t="s">
        <v>383</v>
      </c>
      <c r="AM50" s="214" t="b">
        <v>1</v>
      </c>
      <c r="AN50" s="214" t="b">
        <v>1</v>
      </c>
      <c r="AO50" s="212" t="s">
        <v>295</v>
      </c>
      <c r="AP50" s="212" t="s">
        <v>296</v>
      </c>
      <c r="AQ50" s="214">
        <v>92.138419999999996</v>
      </c>
      <c r="AR50" s="214" t="b">
        <v>0</v>
      </c>
      <c r="AS50" s="212" t="s">
        <v>534</v>
      </c>
      <c r="AU50" s="222" t="s">
        <v>819</v>
      </c>
    </row>
    <row r="51" spans="1:47" x14ac:dyDescent="0.25">
      <c r="A51" s="245">
        <f t="shared" si="7"/>
        <v>51</v>
      </c>
      <c r="B51" s="246" t="str">
        <f t="shared" si="0"/>
        <v>Oil Field - Tank</v>
      </c>
      <c r="C51" s="246" t="str">
        <f ca="1">IF(B51="","",VLOOKUP(D51,'Species Data'!B:E,4,FALSE))</f>
        <v>c10_comp</v>
      </c>
      <c r="D51" s="246">
        <f t="shared" ca="1" si="1"/>
        <v>1924</v>
      </c>
      <c r="E51" s="246">
        <f t="shared" ca="1" si="2"/>
        <v>0.11210000000000001</v>
      </c>
      <c r="F51" s="246" t="str">
        <f t="shared" ca="1" si="3"/>
        <v>C-10 Compounds</v>
      </c>
      <c r="G51" s="246">
        <f t="shared" ca="1" si="4"/>
        <v>142.28167999999999</v>
      </c>
      <c r="H51" s="204" t="str">
        <f ca="1">IF(G51="","",IF(VLOOKUP(Tank!F51,'Species Data'!D:F,3,FALSE)=0,"X",IF(G51&lt;44.1,2,1)))</f>
        <v>X</v>
      </c>
      <c r="I51" s="204">
        <f t="shared" ca="1" si="5"/>
        <v>0.15904819352932459</v>
      </c>
      <c r="J51" s="247" t="str">
        <f ca="1">IF(I51="","",IF(COUNTIF($D$12:D51,D51)=1,IF(H51=1,I51*H51,IF(H51="X","X",0)),0))</f>
        <v>X</v>
      </c>
      <c r="K51" s="248">
        <f t="shared" ca="1" si="6"/>
        <v>0</v>
      </c>
      <c r="L51" s="212" t="s">
        <v>679</v>
      </c>
      <c r="M51" s="212" t="s">
        <v>448</v>
      </c>
      <c r="N51" s="212" t="s">
        <v>470</v>
      </c>
      <c r="O51" s="213">
        <v>41419</v>
      </c>
      <c r="P51" s="212" t="s">
        <v>531</v>
      </c>
      <c r="Q51" s="214">
        <v>100</v>
      </c>
      <c r="R51" s="212" t="s">
        <v>445</v>
      </c>
      <c r="S51" s="212" t="s">
        <v>532</v>
      </c>
      <c r="T51" s="212" t="s">
        <v>445</v>
      </c>
      <c r="U51" s="212" t="s">
        <v>446</v>
      </c>
      <c r="V51" s="214" t="b">
        <v>1</v>
      </c>
      <c r="W51" s="214">
        <v>1989</v>
      </c>
      <c r="X51" s="214">
        <v>5</v>
      </c>
      <c r="Y51" s="214">
        <v>2</v>
      </c>
      <c r="Z51" s="214">
        <v>4</v>
      </c>
      <c r="AA51" s="212" t="s">
        <v>447</v>
      </c>
      <c r="AB51" s="212" t="s">
        <v>531</v>
      </c>
      <c r="AC51" s="212" t="s">
        <v>533</v>
      </c>
      <c r="AD51" s="214">
        <v>2.118258</v>
      </c>
      <c r="AE51" s="214">
        <v>1924</v>
      </c>
      <c r="AF51" s="214">
        <v>0.11210000000000001</v>
      </c>
      <c r="AG51" s="214">
        <v>-99</v>
      </c>
      <c r="AH51" s="212" t="s">
        <v>224</v>
      </c>
      <c r="AI51" s="212" t="s">
        <v>449</v>
      </c>
      <c r="AJ51" s="212" t="s">
        <v>224</v>
      </c>
      <c r="AK51" s="212" t="s">
        <v>531</v>
      </c>
      <c r="AL51" s="212" t="s">
        <v>466</v>
      </c>
      <c r="AM51" s="214" t="b">
        <v>0</v>
      </c>
      <c r="AN51" s="214" t="b">
        <v>0</v>
      </c>
      <c r="AO51" s="212" t="s">
        <v>535</v>
      </c>
      <c r="AP51" s="212" t="s">
        <v>536</v>
      </c>
      <c r="AQ51" s="214">
        <v>142.28167999999999</v>
      </c>
      <c r="AR51" s="214" t="b">
        <v>0</v>
      </c>
      <c r="AS51" s="212" t="s">
        <v>534</v>
      </c>
      <c r="AU51" s="222" t="s">
        <v>819</v>
      </c>
    </row>
    <row r="52" spans="1:47" x14ac:dyDescent="0.25">
      <c r="A52" s="245">
        <f t="shared" si="7"/>
        <v>52</v>
      </c>
      <c r="B52" s="246" t="str">
        <f t="shared" si="0"/>
        <v>Oil Field - Tank</v>
      </c>
      <c r="C52" s="246" t="str">
        <f ca="1">IF(B52="","",VLOOKUP(D52,'Species Data'!B:E,4,FALSE))</f>
        <v>c11_comp</v>
      </c>
      <c r="D52" s="246">
        <f t="shared" ca="1" si="1"/>
        <v>1929</v>
      </c>
      <c r="E52" s="246">
        <f t="shared" ca="1" si="2"/>
        <v>2.1899999999999999E-2</v>
      </c>
      <c r="F52" s="246" t="str">
        <f t="shared" ca="1" si="3"/>
        <v>C-11 Compounds</v>
      </c>
      <c r="G52" s="246">
        <f t="shared" ca="1" si="4"/>
        <v>156.30826000000002</v>
      </c>
      <c r="H52" s="204" t="str">
        <f ca="1">IF(G52="","",IF(VLOOKUP(Tank!F52,'Species Data'!D:F,3,FALSE)=0,"X",IF(G52&lt;44.1,2,1)))</f>
        <v>X</v>
      </c>
      <c r="I52" s="204">
        <f t="shared" ca="1" si="5"/>
        <v>2.464690327693813E-2</v>
      </c>
      <c r="J52" s="247" t="str">
        <f ca="1">IF(I52="","",IF(COUNTIF($D$12:D52,D52)=1,IF(H52=1,I52*H52,IF(H52="X","X",0)),0))</f>
        <v>X</v>
      </c>
      <c r="K52" s="248">
        <f t="shared" ca="1" si="6"/>
        <v>0</v>
      </c>
      <c r="L52" s="212" t="s">
        <v>679</v>
      </c>
      <c r="M52" s="212" t="s">
        <v>448</v>
      </c>
      <c r="N52" s="212" t="s">
        <v>470</v>
      </c>
      <c r="O52" s="213">
        <v>41419</v>
      </c>
      <c r="P52" s="212" t="s">
        <v>531</v>
      </c>
      <c r="Q52" s="214">
        <v>100</v>
      </c>
      <c r="R52" s="212" t="s">
        <v>445</v>
      </c>
      <c r="S52" s="212" t="s">
        <v>532</v>
      </c>
      <c r="T52" s="212" t="s">
        <v>445</v>
      </c>
      <c r="U52" s="212" t="s">
        <v>446</v>
      </c>
      <c r="V52" s="214" t="b">
        <v>1</v>
      </c>
      <c r="W52" s="214">
        <v>1989</v>
      </c>
      <c r="X52" s="214">
        <v>5</v>
      </c>
      <c r="Y52" s="214">
        <v>2</v>
      </c>
      <c r="Z52" s="214">
        <v>4</v>
      </c>
      <c r="AA52" s="212" t="s">
        <v>447</v>
      </c>
      <c r="AB52" s="212" t="s">
        <v>531</v>
      </c>
      <c r="AC52" s="212" t="s">
        <v>533</v>
      </c>
      <c r="AD52" s="214">
        <v>2.118258</v>
      </c>
      <c r="AE52" s="214">
        <v>1929</v>
      </c>
      <c r="AF52" s="214">
        <v>2.1899999999999999E-2</v>
      </c>
      <c r="AG52" s="214">
        <v>-99</v>
      </c>
      <c r="AH52" s="212" t="s">
        <v>224</v>
      </c>
      <c r="AI52" s="212" t="s">
        <v>449</v>
      </c>
      <c r="AJ52" s="212" t="s">
        <v>224</v>
      </c>
      <c r="AK52" s="212" t="s">
        <v>531</v>
      </c>
      <c r="AL52" s="212" t="s">
        <v>467</v>
      </c>
      <c r="AM52" s="214" t="b">
        <v>0</v>
      </c>
      <c r="AN52" s="214" t="b">
        <v>0</v>
      </c>
      <c r="AO52" s="212" t="s">
        <v>468</v>
      </c>
      <c r="AP52" s="212" t="s">
        <v>469</v>
      </c>
      <c r="AQ52" s="214">
        <v>156.30826000000002</v>
      </c>
      <c r="AR52" s="214" t="b">
        <v>0</v>
      </c>
      <c r="AS52" s="212" t="s">
        <v>534</v>
      </c>
      <c r="AU52" s="222" t="s">
        <v>819</v>
      </c>
    </row>
    <row r="53" spans="1:47" x14ac:dyDescent="0.25">
      <c r="A53" s="245">
        <f t="shared" si="7"/>
        <v>53</v>
      </c>
      <c r="B53" s="246" t="str">
        <f t="shared" si="0"/>
        <v>Oil Field - Tank</v>
      </c>
      <c r="C53" s="246" t="str">
        <f ca="1">IF(B53="","",VLOOKUP(D53,'Species Data'!B:E,4,FALSE))</f>
        <v>c_4_comp</v>
      </c>
      <c r="D53" s="246">
        <f t="shared" ca="1" si="1"/>
        <v>1976</v>
      </c>
      <c r="E53" s="246">
        <f t="shared" ca="1" si="2"/>
        <v>0.57830000000000004</v>
      </c>
      <c r="F53" s="246" t="str">
        <f t="shared" ca="1" si="3"/>
        <v>C-4 Compounds</v>
      </c>
      <c r="G53" s="246">
        <f t="shared" ca="1" si="4"/>
        <v>56.106319999999997</v>
      </c>
      <c r="H53" s="204" t="str">
        <f ca="1">IF(G53="","",IF(VLOOKUP(Tank!F53,'Species Data'!D:F,3,FALSE)=0,"X",IF(G53&lt;44.1,2,1)))</f>
        <v>X</v>
      </c>
      <c r="I53" s="204">
        <f t="shared" ca="1" si="5"/>
        <v>1.3045925240882317</v>
      </c>
      <c r="J53" s="247" t="str">
        <f ca="1">IF(I53="","",IF(COUNTIF($D$12:D53,D53)=1,IF(H53=1,I53*H53,IF(H53="X","X",0)),0))</f>
        <v>X</v>
      </c>
      <c r="K53" s="248">
        <f t="shared" ca="1" si="6"/>
        <v>0</v>
      </c>
      <c r="L53" s="212" t="s">
        <v>679</v>
      </c>
      <c r="M53" s="212" t="s">
        <v>448</v>
      </c>
      <c r="N53" s="212" t="s">
        <v>470</v>
      </c>
      <c r="O53" s="213">
        <v>41419</v>
      </c>
      <c r="P53" s="212" t="s">
        <v>531</v>
      </c>
      <c r="Q53" s="214">
        <v>100</v>
      </c>
      <c r="R53" s="212" t="s">
        <v>445</v>
      </c>
      <c r="S53" s="212" t="s">
        <v>532</v>
      </c>
      <c r="T53" s="212" t="s">
        <v>445</v>
      </c>
      <c r="U53" s="212" t="s">
        <v>446</v>
      </c>
      <c r="V53" s="214" t="b">
        <v>1</v>
      </c>
      <c r="W53" s="214">
        <v>1989</v>
      </c>
      <c r="X53" s="214">
        <v>5</v>
      </c>
      <c r="Y53" s="214">
        <v>2</v>
      </c>
      <c r="Z53" s="214">
        <v>4</v>
      </c>
      <c r="AA53" s="212" t="s">
        <v>447</v>
      </c>
      <c r="AB53" s="212" t="s">
        <v>531</v>
      </c>
      <c r="AC53" s="212" t="s">
        <v>533</v>
      </c>
      <c r="AD53" s="214">
        <v>2.118258</v>
      </c>
      <c r="AE53" s="214">
        <v>1976</v>
      </c>
      <c r="AF53" s="214">
        <v>0.57830000000000004</v>
      </c>
      <c r="AG53" s="214">
        <v>-99</v>
      </c>
      <c r="AH53" s="212" t="s">
        <v>224</v>
      </c>
      <c r="AI53" s="212" t="s">
        <v>449</v>
      </c>
      <c r="AJ53" s="212" t="s">
        <v>224</v>
      </c>
      <c r="AK53" s="212" t="s">
        <v>531</v>
      </c>
      <c r="AL53" s="212" t="s">
        <v>465</v>
      </c>
      <c r="AM53" s="214" t="b">
        <v>0</v>
      </c>
      <c r="AN53" s="214" t="b">
        <v>0</v>
      </c>
      <c r="AO53" s="212" t="s">
        <v>551</v>
      </c>
      <c r="AP53" s="212" t="s">
        <v>552</v>
      </c>
      <c r="AQ53" s="214">
        <v>56.106319999999997</v>
      </c>
      <c r="AR53" s="214" t="b">
        <v>0</v>
      </c>
      <c r="AS53" s="212" t="s">
        <v>534</v>
      </c>
      <c r="AU53" s="222" t="s">
        <v>819</v>
      </c>
    </row>
    <row r="54" spans="1:47" ht="15" customHeight="1" x14ac:dyDescent="0.25">
      <c r="A54" s="245">
        <f t="shared" si="7"/>
        <v>54</v>
      </c>
      <c r="B54" s="246" t="str">
        <f t="shared" si="0"/>
        <v>Oil Field - Tank</v>
      </c>
      <c r="C54" s="246" t="str">
        <f ca="1">IF(B54="","",VLOOKUP(D54,'Species Data'!B:E,4,FALSE))</f>
        <v>c5_comp</v>
      </c>
      <c r="D54" s="246">
        <f t="shared" ca="1" si="1"/>
        <v>1986</v>
      </c>
      <c r="E54" s="246">
        <f t="shared" ca="1" si="2"/>
        <v>1.4612000000000001</v>
      </c>
      <c r="F54" s="246" t="str">
        <f t="shared" ca="1" si="3"/>
        <v>C-5 Compounds</v>
      </c>
      <c r="G54" s="246">
        <f t="shared" ca="1" si="4"/>
        <v>72.148780000000002</v>
      </c>
      <c r="H54" s="204" t="str">
        <f ca="1">IF(G54="","",IF(VLOOKUP(Tank!F54,'Species Data'!D:F,3,FALSE)=0,"X",IF(G54&lt;44.1,2,1)))</f>
        <v>X</v>
      </c>
      <c r="I54" s="204">
        <f t="shared" ca="1" si="5"/>
        <v>2.1162936497523712</v>
      </c>
      <c r="J54" s="247" t="str">
        <f ca="1">IF(I54="","",IF(COUNTIF($D$12:D54,D54)=1,IF(H54=1,I54*H54,IF(H54="X","X",0)),0))</f>
        <v>X</v>
      </c>
      <c r="K54" s="248">
        <f t="shared" ca="1" si="6"/>
        <v>0</v>
      </c>
      <c r="L54" s="212" t="s">
        <v>679</v>
      </c>
      <c r="M54" s="212" t="s">
        <v>448</v>
      </c>
      <c r="N54" s="212" t="s">
        <v>470</v>
      </c>
      <c r="O54" s="213">
        <v>41419</v>
      </c>
      <c r="P54" s="212" t="s">
        <v>531</v>
      </c>
      <c r="Q54" s="214">
        <v>100</v>
      </c>
      <c r="R54" s="212" t="s">
        <v>445</v>
      </c>
      <c r="S54" s="212" t="s">
        <v>532</v>
      </c>
      <c r="T54" s="212" t="s">
        <v>445</v>
      </c>
      <c r="U54" s="212" t="s">
        <v>446</v>
      </c>
      <c r="V54" s="214" t="b">
        <v>1</v>
      </c>
      <c r="W54" s="214">
        <v>1989</v>
      </c>
      <c r="X54" s="214">
        <v>5</v>
      </c>
      <c r="Y54" s="214">
        <v>2</v>
      </c>
      <c r="Z54" s="214">
        <v>4</v>
      </c>
      <c r="AA54" s="212" t="s">
        <v>447</v>
      </c>
      <c r="AB54" s="212" t="s">
        <v>531</v>
      </c>
      <c r="AC54" s="212" t="s">
        <v>533</v>
      </c>
      <c r="AD54" s="214">
        <v>2.118258</v>
      </c>
      <c r="AE54" s="214">
        <v>1986</v>
      </c>
      <c r="AF54" s="214">
        <v>1.4612000000000001</v>
      </c>
      <c r="AG54" s="214">
        <v>-99</v>
      </c>
      <c r="AH54" s="212" t="s">
        <v>224</v>
      </c>
      <c r="AI54" s="212" t="s">
        <v>449</v>
      </c>
      <c r="AJ54" s="212" t="s">
        <v>224</v>
      </c>
      <c r="AK54" s="212" t="s">
        <v>531</v>
      </c>
      <c r="AL54" s="212" t="s">
        <v>537</v>
      </c>
      <c r="AM54" s="214" t="b">
        <v>0</v>
      </c>
      <c r="AN54" s="214" t="b">
        <v>0</v>
      </c>
      <c r="AO54" s="212" t="s">
        <v>538</v>
      </c>
      <c r="AP54" s="212" t="s">
        <v>539</v>
      </c>
      <c r="AQ54" s="214">
        <v>72.148780000000002</v>
      </c>
      <c r="AR54" s="214" t="b">
        <v>0</v>
      </c>
      <c r="AS54" s="212" t="s">
        <v>534</v>
      </c>
      <c r="AU54" s="222" t="s">
        <v>819</v>
      </c>
    </row>
    <row r="55" spans="1:47" x14ac:dyDescent="0.25">
      <c r="A55" s="245">
        <f t="shared" si="7"/>
        <v>55</v>
      </c>
      <c r="B55" s="246" t="str">
        <f t="shared" si="0"/>
        <v>Oil Field - Tank</v>
      </c>
      <c r="C55" s="246" t="str">
        <f ca="1">IF(B55="","",VLOOKUP(D55,'Species Data'!B:E,4,FALSE))</f>
        <v>c6_comp</v>
      </c>
      <c r="D55" s="246">
        <f t="shared" ca="1" si="1"/>
        <v>1999</v>
      </c>
      <c r="E55" s="246">
        <f t="shared" ca="1" si="2"/>
        <v>2.2153</v>
      </c>
      <c r="F55" s="246" t="str">
        <f t="shared" ca="1" si="3"/>
        <v>C-6 Compounds</v>
      </c>
      <c r="G55" s="246">
        <f t="shared" ca="1" si="4"/>
        <v>86.175359999999998</v>
      </c>
      <c r="H55" s="204" t="str">
        <f ca="1">IF(G55="","",IF(VLOOKUP(Tank!F55,'Species Data'!D:F,3,FALSE)=0,"X",IF(G55&lt;44.1,2,1)))</f>
        <v>X</v>
      </c>
      <c r="I55" s="204">
        <f t="shared" ca="1" si="5"/>
        <v>3.9709781213899662</v>
      </c>
      <c r="J55" s="247" t="str">
        <f ca="1">IF(I55="","",IF(COUNTIF($D$12:D55,D55)=1,IF(H55=1,I55*H55,IF(H55="X","X",0)),0))</f>
        <v>X</v>
      </c>
      <c r="K55" s="248">
        <f t="shared" ca="1" si="6"/>
        <v>0</v>
      </c>
      <c r="L55" s="212" t="s">
        <v>679</v>
      </c>
      <c r="M55" s="212" t="s">
        <v>448</v>
      </c>
      <c r="N55" s="212" t="s">
        <v>470</v>
      </c>
      <c r="O55" s="213">
        <v>41419</v>
      </c>
      <c r="P55" s="212" t="s">
        <v>531</v>
      </c>
      <c r="Q55" s="214">
        <v>100</v>
      </c>
      <c r="R55" s="212" t="s">
        <v>445</v>
      </c>
      <c r="S55" s="212" t="s">
        <v>532</v>
      </c>
      <c r="T55" s="212" t="s">
        <v>445</v>
      </c>
      <c r="U55" s="212" t="s">
        <v>446</v>
      </c>
      <c r="V55" s="214" t="b">
        <v>1</v>
      </c>
      <c r="W55" s="214">
        <v>1989</v>
      </c>
      <c r="X55" s="214">
        <v>5</v>
      </c>
      <c r="Y55" s="214">
        <v>2</v>
      </c>
      <c r="Z55" s="214">
        <v>4</v>
      </c>
      <c r="AA55" s="212" t="s">
        <v>447</v>
      </c>
      <c r="AB55" s="212" t="s">
        <v>531</v>
      </c>
      <c r="AC55" s="212" t="s">
        <v>533</v>
      </c>
      <c r="AD55" s="214">
        <v>2.118258</v>
      </c>
      <c r="AE55" s="214">
        <v>1999</v>
      </c>
      <c r="AF55" s="214">
        <v>2.2153</v>
      </c>
      <c r="AG55" s="214">
        <v>-99</v>
      </c>
      <c r="AH55" s="212" t="s">
        <v>224</v>
      </c>
      <c r="AI55" s="212" t="s">
        <v>449</v>
      </c>
      <c r="AJ55" s="212" t="s">
        <v>224</v>
      </c>
      <c r="AK55" s="212" t="s">
        <v>531</v>
      </c>
      <c r="AL55" s="212" t="s">
        <v>540</v>
      </c>
      <c r="AM55" s="214" t="b">
        <v>0</v>
      </c>
      <c r="AN55" s="214" t="b">
        <v>0</v>
      </c>
      <c r="AO55" s="212" t="s">
        <v>541</v>
      </c>
      <c r="AP55" s="212" t="s">
        <v>542</v>
      </c>
      <c r="AQ55" s="214">
        <v>86.175359999999998</v>
      </c>
      <c r="AR55" s="214" t="b">
        <v>0</v>
      </c>
      <c r="AS55" s="212" t="s">
        <v>534</v>
      </c>
      <c r="AU55" s="222" t="s">
        <v>819</v>
      </c>
    </row>
    <row r="56" spans="1:47" x14ac:dyDescent="0.25">
      <c r="A56" s="245">
        <f t="shared" si="7"/>
        <v>56</v>
      </c>
      <c r="B56" s="246" t="str">
        <f t="shared" si="0"/>
        <v>Oil Field - Tank</v>
      </c>
      <c r="C56" s="246" t="str">
        <f ca="1">IF(B56="","",VLOOKUP(D56,'Species Data'!B:E,4,FALSE))</f>
        <v>c7_comp</v>
      </c>
      <c r="D56" s="246">
        <f t="shared" ca="1" si="1"/>
        <v>2005</v>
      </c>
      <c r="E56" s="246">
        <f t="shared" ca="1" si="2"/>
        <v>1.3295999999999999</v>
      </c>
      <c r="F56" s="246" t="str">
        <f t="shared" ca="1" si="3"/>
        <v>C-7 Compounds</v>
      </c>
      <c r="G56" s="246">
        <f t="shared" ca="1" si="4"/>
        <v>100.20194000000001</v>
      </c>
      <c r="H56" s="204" t="str">
        <f ca="1">IF(G56="","",IF(VLOOKUP(Tank!F56,'Species Data'!D:F,3,FALSE)=0,"X",IF(G56&lt;44.1,2,1)))</f>
        <v>X</v>
      </c>
      <c r="I56" s="204">
        <f t="shared" ca="1" si="5"/>
        <v>2.5253842436887401</v>
      </c>
      <c r="J56" s="247" t="str">
        <f ca="1">IF(I56="","",IF(COUNTIF($D$12:D56,D56)=1,IF(H56=1,I56*H56,IF(H56="X","X",0)),0))</f>
        <v>X</v>
      </c>
      <c r="K56" s="248">
        <f t="shared" ca="1" si="6"/>
        <v>0</v>
      </c>
      <c r="L56" s="212" t="s">
        <v>679</v>
      </c>
      <c r="M56" s="212" t="s">
        <v>448</v>
      </c>
      <c r="N56" s="212" t="s">
        <v>470</v>
      </c>
      <c r="O56" s="213">
        <v>41419</v>
      </c>
      <c r="P56" s="212" t="s">
        <v>531</v>
      </c>
      <c r="Q56" s="214">
        <v>100</v>
      </c>
      <c r="R56" s="212" t="s">
        <v>445</v>
      </c>
      <c r="S56" s="212" t="s">
        <v>532</v>
      </c>
      <c r="T56" s="212" t="s">
        <v>445</v>
      </c>
      <c r="U56" s="212" t="s">
        <v>446</v>
      </c>
      <c r="V56" s="214" t="b">
        <v>1</v>
      </c>
      <c r="W56" s="214">
        <v>1989</v>
      </c>
      <c r="X56" s="214">
        <v>5</v>
      </c>
      <c r="Y56" s="214">
        <v>2</v>
      </c>
      <c r="Z56" s="214">
        <v>4</v>
      </c>
      <c r="AA56" s="212" t="s">
        <v>447</v>
      </c>
      <c r="AB56" s="212" t="s">
        <v>531</v>
      </c>
      <c r="AC56" s="212" t="s">
        <v>533</v>
      </c>
      <c r="AD56" s="214">
        <v>2.118258</v>
      </c>
      <c r="AE56" s="214">
        <v>2005</v>
      </c>
      <c r="AF56" s="214">
        <v>1.3295999999999999</v>
      </c>
      <c r="AG56" s="214">
        <v>-99</v>
      </c>
      <c r="AH56" s="212" t="s">
        <v>224</v>
      </c>
      <c r="AI56" s="212" t="s">
        <v>449</v>
      </c>
      <c r="AJ56" s="212" t="s">
        <v>224</v>
      </c>
      <c r="AK56" s="212" t="s">
        <v>531</v>
      </c>
      <c r="AL56" s="212" t="s">
        <v>543</v>
      </c>
      <c r="AM56" s="214" t="b">
        <v>0</v>
      </c>
      <c r="AN56" s="214" t="b">
        <v>0</v>
      </c>
      <c r="AO56" s="212" t="s">
        <v>544</v>
      </c>
      <c r="AP56" s="212" t="s">
        <v>545</v>
      </c>
      <c r="AQ56" s="214">
        <v>100.20194000000001</v>
      </c>
      <c r="AR56" s="214" t="b">
        <v>0</v>
      </c>
      <c r="AS56" s="212" t="s">
        <v>534</v>
      </c>
      <c r="AU56" s="222" t="s">
        <v>819</v>
      </c>
    </row>
    <row r="57" spans="1:47" x14ac:dyDescent="0.25">
      <c r="A57" s="245">
        <f t="shared" si="7"/>
        <v>57</v>
      </c>
      <c r="B57" s="246" t="str">
        <f t="shared" si="0"/>
        <v>Oil Field - Tank</v>
      </c>
      <c r="C57" s="246" t="str">
        <f ca="1">IF(B57="","",VLOOKUP(D57,'Species Data'!B:E,4,FALSE))</f>
        <v>c8_comp</v>
      </c>
      <c r="D57" s="246">
        <f t="shared" ca="1" si="1"/>
        <v>2011</v>
      </c>
      <c r="E57" s="246">
        <f t="shared" ca="1" si="2"/>
        <v>0.78129999999999999</v>
      </c>
      <c r="F57" s="246" t="str">
        <f t="shared" ca="1" si="3"/>
        <v>C-8 Compounds</v>
      </c>
      <c r="G57" s="246">
        <f t="shared" ca="1" si="4"/>
        <v>113.21160686946486</v>
      </c>
      <c r="H57" s="204" t="str">
        <f ca="1">IF(G57="","",IF(VLOOKUP(Tank!F57,'Species Data'!D:F,3,FALSE)=0,"X",IF(G57&lt;44.1,2,1)))</f>
        <v>X</v>
      </c>
      <c r="I57" s="204">
        <f t="shared" ca="1" si="5"/>
        <v>1.3164259710226556</v>
      </c>
      <c r="J57" s="247" t="str">
        <f ca="1">IF(I57="","",IF(COUNTIF($D$12:D57,D57)=1,IF(H57=1,I57*H57,IF(H57="X","X",0)),0))</f>
        <v>X</v>
      </c>
      <c r="K57" s="248">
        <f t="shared" ca="1" si="6"/>
        <v>0</v>
      </c>
      <c r="L57" s="212" t="s">
        <v>679</v>
      </c>
      <c r="M57" s="212" t="s">
        <v>448</v>
      </c>
      <c r="N57" s="212" t="s">
        <v>470</v>
      </c>
      <c r="O57" s="213">
        <v>41419</v>
      </c>
      <c r="P57" s="212" t="s">
        <v>531</v>
      </c>
      <c r="Q57" s="214">
        <v>100</v>
      </c>
      <c r="R57" s="212" t="s">
        <v>445</v>
      </c>
      <c r="S57" s="212" t="s">
        <v>532</v>
      </c>
      <c r="T57" s="212" t="s">
        <v>445</v>
      </c>
      <c r="U57" s="212" t="s">
        <v>446</v>
      </c>
      <c r="V57" s="214" t="b">
        <v>1</v>
      </c>
      <c r="W57" s="214">
        <v>1989</v>
      </c>
      <c r="X57" s="214">
        <v>5</v>
      </c>
      <c r="Y57" s="214">
        <v>2</v>
      </c>
      <c r="Z57" s="214">
        <v>4</v>
      </c>
      <c r="AA57" s="212" t="s">
        <v>447</v>
      </c>
      <c r="AB57" s="212" t="s">
        <v>531</v>
      </c>
      <c r="AC57" s="212" t="s">
        <v>533</v>
      </c>
      <c r="AD57" s="214">
        <v>2.118258</v>
      </c>
      <c r="AE57" s="214">
        <v>2011</v>
      </c>
      <c r="AF57" s="214">
        <v>0.78129999999999999</v>
      </c>
      <c r="AG57" s="214">
        <v>-99</v>
      </c>
      <c r="AH57" s="212" t="s">
        <v>224</v>
      </c>
      <c r="AI57" s="212" t="s">
        <v>449</v>
      </c>
      <c r="AJ57" s="212" t="s">
        <v>224</v>
      </c>
      <c r="AK57" s="212" t="s">
        <v>531</v>
      </c>
      <c r="AL57" s="212" t="s">
        <v>546</v>
      </c>
      <c r="AM57" s="214" t="b">
        <v>0</v>
      </c>
      <c r="AN57" s="214" t="b">
        <v>0</v>
      </c>
      <c r="AO57" s="212" t="s">
        <v>547</v>
      </c>
      <c r="AP57" s="212" t="s">
        <v>548</v>
      </c>
      <c r="AQ57" s="214">
        <v>113.21160686946486</v>
      </c>
      <c r="AR57" s="214" t="b">
        <v>0</v>
      </c>
      <c r="AS57" s="212" t="s">
        <v>534</v>
      </c>
      <c r="AU57" s="222" t="s">
        <v>819</v>
      </c>
    </row>
    <row r="58" spans="1:47" x14ac:dyDescent="0.25">
      <c r="A58" s="245">
        <f t="shared" si="7"/>
        <v>58</v>
      </c>
      <c r="B58" s="246" t="str">
        <f t="shared" si="0"/>
        <v>Oil Field - Tank</v>
      </c>
      <c r="C58" s="246" t="str">
        <f ca="1">IF(B58="","",VLOOKUP(D58,'Species Data'!B:E,4,FALSE))</f>
        <v>c9_comp</v>
      </c>
      <c r="D58" s="246">
        <f t="shared" ca="1" si="1"/>
        <v>2018</v>
      </c>
      <c r="E58" s="246">
        <f t="shared" ca="1" si="2"/>
        <v>0.3196</v>
      </c>
      <c r="F58" s="246" t="str">
        <f t="shared" ca="1" si="3"/>
        <v>C-9 Compounds</v>
      </c>
      <c r="G58" s="246">
        <f t="shared" ca="1" si="4"/>
        <v>127.23917598649743</v>
      </c>
      <c r="H58" s="204" t="str">
        <f ca="1">IF(G58="","",IF(VLOOKUP(Tank!F58,'Species Data'!D:F,3,FALSE)=0,"X",IF(G58&lt;44.1,2,1)))</f>
        <v>X</v>
      </c>
      <c r="I58" s="204">
        <f t="shared" ca="1" si="5"/>
        <v>0.54975194428533192</v>
      </c>
      <c r="J58" s="247" t="str">
        <f ca="1">IF(I58="","",IF(COUNTIF($D$12:D58,D58)=1,IF(H58=1,I58*H58,IF(H58="X","X",0)),0))</f>
        <v>X</v>
      </c>
      <c r="K58" s="248">
        <f t="shared" ca="1" si="6"/>
        <v>0</v>
      </c>
      <c r="L58" s="212" t="s">
        <v>679</v>
      </c>
      <c r="M58" s="212" t="s">
        <v>448</v>
      </c>
      <c r="N58" s="212" t="s">
        <v>470</v>
      </c>
      <c r="O58" s="213">
        <v>41419</v>
      </c>
      <c r="P58" s="212" t="s">
        <v>531</v>
      </c>
      <c r="Q58" s="214">
        <v>100</v>
      </c>
      <c r="R58" s="212" t="s">
        <v>445</v>
      </c>
      <c r="S58" s="212" t="s">
        <v>532</v>
      </c>
      <c r="T58" s="212" t="s">
        <v>445</v>
      </c>
      <c r="U58" s="212" t="s">
        <v>446</v>
      </c>
      <c r="V58" s="214" t="b">
        <v>1</v>
      </c>
      <c r="W58" s="214">
        <v>1989</v>
      </c>
      <c r="X58" s="214">
        <v>5</v>
      </c>
      <c r="Y58" s="214">
        <v>2</v>
      </c>
      <c r="Z58" s="214">
        <v>4</v>
      </c>
      <c r="AA58" s="212" t="s">
        <v>447</v>
      </c>
      <c r="AB58" s="212" t="s">
        <v>531</v>
      </c>
      <c r="AC58" s="212" t="s">
        <v>533</v>
      </c>
      <c r="AD58" s="214">
        <v>2.118258</v>
      </c>
      <c r="AE58" s="214">
        <v>2018</v>
      </c>
      <c r="AF58" s="214">
        <v>0.3196</v>
      </c>
      <c r="AG58" s="214">
        <v>-99</v>
      </c>
      <c r="AH58" s="212" t="s">
        <v>224</v>
      </c>
      <c r="AI58" s="212" t="s">
        <v>449</v>
      </c>
      <c r="AJ58" s="212" t="s">
        <v>224</v>
      </c>
      <c r="AK58" s="212" t="s">
        <v>531</v>
      </c>
      <c r="AL58" s="212" t="s">
        <v>464</v>
      </c>
      <c r="AM58" s="214" t="b">
        <v>0</v>
      </c>
      <c r="AN58" s="214" t="b">
        <v>0</v>
      </c>
      <c r="AO58" s="212" t="s">
        <v>549</v>
      </c>
      <c r="AP58" s="212" t="s">
        <v>550</v>
      </c>
      <c r="AQ58" s="214">
        <v>127.23917598649743</v>
      </c>
      <c r="AR58" s="214" t="b">
        <v>0</v>
      </c>
      <c r="AS58" s="212" t="s">
        <v>534</v>
      </c>
      <c r="AU58" s="222" t="s">
        <v>819</v>
      </c>
    </row>
    <row r="59" spans="1:47" x14ac:dyDescent="0.25">
      <c r="A59" s="245">
        <f t="shared" si="7"/>
        <v>59</v>
      </c>
      <c r="B59" s="246" t="str">
        <f t="shared" si="0"/>
        <v>Oil Field - Tank</v>
      </c>
      <c r="C59" s="246" t="str">
        <f ca="1">IF(B59="","",VLOOKUP(D59,'Species Data'!B:E,4,FALSE))</f>
        <v>dimetbut22</v>
      </c>
      <c r="D59" s="246">
        <f t="shared" ca="1" si="1"/>
        <v>122</v>
      </c>
      <c r="E59" s="246">
        <f t="shared" ca="1" si="2"/>
        <v>9.2499999999999999E-2</v>
      </c>
      <c r="F59" s="246" t="str">
        <f t="shared" ca="1" si="3"/>
        <v>2,2-dimethylbutane</v>
      </c>
      <c r="G59" s="246">
        <f t="shared" ca="1" si="4"/>
        <v>86.175359999999998</v>
      </c>
      <c r="H59" s="204">
        <f ca="1">IF(G59="","",IF(VLOOKUP(Tank!F59,'Species Data'!D:F,3,FALSE)=0,"X",IF(G59&lt;44.1,2,1)))</f>
        <v>1</v>
      </c>
      <c r="I59" s="204">
        <f t="shared" ca="1" si="5"/>
        <v>8.538748638653601E-2</v>
      </c>
      <c r="J59" s="247">
        <f ca="1">IF(I59="","",IF(COUNTIF($D$12:D59,D59)=1,IF(H59=1,I59*H59,IF(H59="X","X",0)),0))</f>
        <v>0</v>
      </c>
      <c r="K59" s="248">
        <f t="shared" ca="1" si="6"/>
        <v>0</v>
      </c>
      <c r="L59" s="212" t="s">
        <v>679</v>
      </c>
      <c r="M59" s="212" t="s">
        <v>448</v>
      </c>
      <c r="N59" s="212" t="s">
        <v>470</v>
      </c>
      <c r="O59" s="213">
        <v>41419</v>
      </c>
      <c r="P59" s="212" t="s">
        <v>531</v>
      </c>
      <c r="Q59" s="214">
        <v>100</v>
      </c>
      <c r="R59" s="212" t="s">
        <v>445</v>
      </c>
      <c r="S59" s="212" t="s">
        <v>532</v>
      </c>
      <c r="T59" s="212" t="s">
        <v>445</v>
      </c>
      <c r="U59" s="212" t="s">
        <v>446</v>
      </c>
      <c r="V59" s="214" t="b">
        <v>1</v>
      </c>
      <c r="W59" s="214">
        <v>1989</v>
      </c>
      <c r="X59" s="214">
        <v>5</v>
      </c>
      <c r="Y59" s="214">
        <v>2</v>
      </c>
      <c r="Z59" s="214">
        <v>4</v>
      </c>
      <c r="AA59" s="212" t="s">
        <v>447</v>
      </c>
      <c r="AB59" s="212" t="s">
        <v>531</v>
      </c>
      <c r="AC59" s="212" t="s">
        <v>533</v>
      </c>
      <c r="AD59" s="214">
        <v>1.2714300000000001</v>
      </c>
      <c r="AE59" s="214">
        <v>122</v>
      </c>
      <c r="AF59" s="214">
        <v>9.2499999999999999E-2</v>
      </c>
      <c r="AG59" s="214">
        <v>-99</v>
      </c>
      <c r="AH59" s="212" t="s">
        <v>224</v>
      </c>
      <c r="AI59" s="212" t="s">
        <v>449</v>
      </c>
      <c r="AJ59" s="212" t="s">
        <v>301</v>
      </c>
      <c r="AK59" s="212" t="s">
        <v>531</v>
      </c>
      <c r="AL59" s="212" t="s">
        <v>384</v>
      </c>
      <c r="AM59" s="214" t="b">
        <v>1</v>
      </c>
      <c r="AN59" s="214" t="b">
        <v>0</v>
      </c>
      <c r="AO59" s="212" t="s">
        <v>302</v>
      </c>
      <c r="AP59" s="212" t="s">
        <v>303</v>
      </c>
      <c r="AQ59" s="214">
        <v>86.175359999999998</v>
      </c>
      <c r="AR59" s="214" t="b">
        <v>0</v>
      </c>
      <c r="AS59" s="212" t="s">
        <v>534</v>
      </c>
      <c r="AU59" s="222" t="s">
        <v>819</v>
      </c>
    </row>
    <row r="60" spans="1:47" x14ac:dyDescent="0.25">
      <c r="A60" s="245">
        <f t="shared" si="7"/>
        <v>60</v>
      </c>
      <c r="B60" s="246" t="str">
        <f t="shared" si="0"/>
        <v>Oil Field - Tank</v>
      </c>
      <c r="C60" s="246" t="str">
        <f ca="1">IF(B60="","",VLOOKUP(D60,'Species Data'!B:E,4,FALSE))</f>
        <v>dimethpro</v>
      </c>
      <c r="D60" s="246">
        <f t="shared" ca="1" si="1"/>
        <v>127</v>
      </c>
      <c r="E60" s="246">
        <f t="shared" ca="1" si="2"/>
        <v>4.2700000000000002E-2</v>
      </c>
      <c r="F60" s="246" t="str">
        <f t="shared" ca="1" si="3"/>
        <v>2,2-dimethylpropane</v>
      </c>
      <c r="G60" s="246">
        <f t="shared" ca="1" si="4"/>
        <v>72.148780000000002</v>
      </c>
      <c r="H60" s="204">
        <f ca="1">IF(G60="","",IF(VLOOKUP(Tank!F60,'Species Data'!D:F,3,FALSE)=0,"X",IF(G60&lt;44.1,2,1)))</f>
        <v>1</v>
      </c>
      <c r="I60" s="204">
        <f t="shared" ca="1" si="5"/>
        <v>9.7614270430329483E-2</v>
      </c>
      <c r="J60" s="247">
        <f ca="1">IF(I60="","",IF(COUNTIF($D$12:D60,D60)=1,IF(H60=1,I60*H60,IF(H60="X","X",0)),0))</f>
        <v>0</v>
      </c>
      <c r="K60" s="248">
        <f t="shared" ca="1" si="6"/>
        <v>0</v>
      </c>
      <c r="L60" s="212" t="s">
        <v>679</v>
      </c>
      <c r="M60" s="212" t="s">
        <v>448</v>
      </c>
      <c r="N60" s="212" t="s">
        <v>470</v>
      </c>
      <c r="O60" s="213">
        <v>41419</v>
      </c>
      <c r="P60" s="212" t="s">
        <v>531</v>
      </c>
      <c r="Q60" s="214">
        <v>100</v>
      </c>
      <c r="R60" s="212" t="s">
        <v>445</v>
      </c>
      <c r="S60" s="212" t="s">
        <v>532</v>
      </c>
      <c r="T60" s="212" t="s">
        <v>445</v>
      </c>
      <c r="U60" s="212" t="s">
        <v>446</v>
      </c>
      <c r="V60" s="214" t="b">
        <v>1</v>
      </c>
      <c r="W60" s="214">
        <v>1989</v>
      </c>
      <c r="X60" s="214">
        <v>5</v>
      </c>
      <c r="Y60" s="214">
        <v>2</v>
      </c>
      <c r="Z60" s="214">
        <v>4</v>
      </c>
      <c r="AA60" s="212" t="s">
        <v>447</v>
      </c>
      <c r="AB60" s="212" t="s">
        <v>531</v>
      </c>
      <c r="AC60" s="212" t="s">
        <v>533</v>
      </c>
      <c r="AD60" s="214">
        <v>1.2714300000000001</v>
      </c>
      <c r="AE60" s="214">
        <v>127</v>
      </c>
      <c r="AF60" s="214">
        <v>4.2700000000000002E-2</v>
      </c>
      <c r="AG60" s="214">
        <v>-99</v>
      </c>
      <c r="AH60" s="212" t="s">
        <v>224</v>
      </c>
      <c r="AI60" s="212" t="s">
        <v>449</v>
      </c>
      <c r="AJ60" s="212" t="s">
        <v>441</v>
      </c>
      <c r="AK60" s="212" t="s">
        <v>531</v>
      </c>
      <c r="AL60" s="212" t="s">
        <v>462</v>
      </c>
      <c r="AM60" s="214" t="b">
        <v>0</v>
      </c>
      <c r="AN60" s="214" t="b">
        <v>0</v>
      </c>
      <c r="AO60" s="212" t="s">
        <v>442</v>
      </c>
      <c r="AP60" s="212" t="s">
        <v>531</v>
      </c>
      <c r="AQ60" s="214">
        <v>72.148780000000002</v>
      </c>
      <c r="AR60" s="214" t="b">
        <v>0</v>
      </c>
      <c r="AS60" s="212" t="s">
        <v>534</v>
      </c>
      <c r="AU60" s="222" t="s">
        <v>819</v>
      </c>
    </row>
    <row r="61" spans="1:47" x14ac:dyDescent="0.25">
      <c r="A61" s="245">
        <f t="shared" si="7"/>
        <v>61</v>
      </c>
      <c r="B61" s="246" t="str">
        <f t="shared" si="0"/>
        <v>Oil Field - Tank</v>
      </c>
      <c r="C61" s="246" t="str">
        <f ca="1">IF(B61="","",VLOOKUP(D61,'Species Data'!B:E,4,FALSE))</f>
        <v>dimethhex23</v>
      </c>
      <c r="D61" s="246">
        <f t="shared" ca="1" si="1"/>
        <v>138</v>
      </c>
      <c r="E61" s="246">
        <f t="shared" ca="1" si="2"/>
        <v>2.5700000000000001E-2</v>
      </c>
      <c r="F61" s="246" t="str">
        <f t="shared" ca="1" si="3"/>
        <v>2,3-dimethylhexane</v>
      </c>
      <c r="G61" s="246">
        <f t="shared" ca="1" si="4"/>
        <v>114.22852</v>
      </c>
      <c r="H61" s="204">
        <f ca="1">IF(G61="","",IF(VLOOKUP(Tank!F61,'Species Data'!D:F,3,FALSE)=0,"X",IF(G61&lt;44.1,2,1)))</f>
        <v>1</v>
      </c>
      <c r="I61" s="204">
        <f t="shared" ca="1" si="5"/>
        <v>2.958028397072613E-2</v>
      </c>
      <c r="J61" s="247">
        <f ca="1">IF(I61="","",IF(COUNTIF($D$12:D61,D61)=1,IF(H61=1,I61*H61,IF(H61="X","X",0)),0))</f>
        <v>2.958028397072613E-2</v>
      </c>
      <c r="K61" s="248">
        <f t="shared" ca="1" si="6"/>
        <v>7.4811617871630598E-2</v>
      </c>
      <c r="L61" s="212" t="s">
        <v>679</v>
      </c>
      <c r="M61" s="212" t="s">
        <v>448</v>
      </c>
      <c r="N61" s="212" t="s">
        <v>470</v>
      </c>
      <c r="O61" s="213">
        <v>41419</v>
      </c>
      <c r="P61" s="212" t="s">
        <v>531</v>
      </c>
      <c r="Q61" s="214">
        <v>100</v>
      </c>
      <c r="R61" s="212" t="s">
        <v>445</v>
      </c>
      <c r="S61" s="212" t="s">
        <v>532</v>
      </c>
      <c r="T61" s="212" t="s">
        <v>445</v>
      </c>
      <c r="U61" s="212" t="s">
        <v>446</v>
      </c>
      <c r="V61" s="214" t="b">
        <v>1</v>
      </c>
      <c r="W61" s="214">
        <v>1989</v>
      </c>
      <c r="X61" s="214">
        <v>5</v>
      </c>
      <c r="Y61" s="214">
        <v>2</v>
      </c>
      <c r="Z61" s="214">
        <v>4</v>
      </c>
      <c r="AA61" s="212" t="s">
        <v>447</v>
      </c>
      <c r="AB61" s="212" t="s">
        <v>531</v>
      </c>
      <c r="AC61" s="212" t="s">
        <v>533</v>
      </c>
      <c r="AD61" s="214">
        <v>1.2714300000000001</v>
      </c>
      <c r="AE61" s="214">
        <v>138</v>
      </c>
      <c r="AF61" s="214">
        <v>2.5700000000000001E-2</v>
      </c>
      <c r="AG61" s="214">
        <v>-99</v>
      </c>
      <c r="AH61" s="212" t="s">
        <v>224</v>
      </c>
      <c r="AI61" s="212" t="s">
        <v>449</v>
      </c>
      <c r="AJ61" s="212" t="s">
        <v>443</v>
      </c>
      <c r="AK61" s="212" t="s">
        <v>531</v>
      </c>
      <c r="AL61" s="212" t="s">
        <v>463</v>
      </c>
      <c r="AM61" s="214" t="b">
        <v>0</v>
      </c>
      <c r="AN61" s="214" t="b">
        <v>0</v>
      </c>
      <c r="AO61" s="212" t="s">
        <v>444</v>
      </c>
      <c r="AP61" s="212" t="s">
        <v>531</v>
      </c>
      <c r="AQ61" s="214">
        <v>114.22852</v>
      </c>
      <c r="AR61" s="214" t="b">
        <v>0</v>
      </c>
      <c r="AS61" s="212" t="s">
        <v>534</v>
      </c>
      <c r="AU61" s="222" t="s">
        <v>819</v>
      </c>
    </row>
    <row r="62" spans="1:47" x14ac:dyDescent="0.25">
      <c r="A62" s="245">
        <f t="shared" si="7"/>
        <v>62</v>
      </c>
      <c r="B62" s="246" t="str">
        <f t="shared" si="0"/>
        <v>Oil Field - Tank</v>
      </c>
      <c r="C62" s="246" t="str">
        <f ca="1">IF(B62="","",VLOOKUP(D62,'Species Data'!B:E,4,FALSE))</f>
        <v>dimetpen3</v>
      </c>
      <c r="D62" s="246">
        <f t="shared" ca="1" si="1"/>
        <v>140</v>
      </c>
      <c r="E62" s="246">
        <f t="shared" ca="1" si="2"/>
        <v>0.2208</v>
      </c>
      <c r="F62" s="246" t="str">
        <f t="shared" ca="1" si="3"/>
        <v>2,3-dimethylpentane</v>
      </c>
      <c r="G62" s="246">
        <f t="shared" ca="1" si="4"/>
        <v>100.20194000000001</v>
      </c>
      <c r="H62" s="204">
        <f ca="1">IF(G62="","",IF(VLOOKUP(Tank!F62,'Species Data'!D:F,3,FALSE)=0,"X",IF(G62&lt;44.1,2,1)))</f>
        <v>1</v>
      </c>
      <c r="I62" s="204">
        <f t="shared" ca="1" si="5"/>
        <v>0.24488235087056845</v>
      </c>
      <c r="J62" s="247">
        <f ca="1">IF(I62="","",IF(COUNTIF($D$12:D62,D62)=1,IF(H62=1,I62*H62,IF(H62="X","X",0)),0))</f>
        <v>0</v>
      </c>
      <c r="K62" s="248">
        <f t="shared" ca="1" si="6"/>
        <v>0</v>
      </c>
      <c r="L62" s="212" t="s">
        <v>679</v>
      </c>
      <c r="M62" s="212" t="s">
        <v>448</v>
      </c>
      <c r="N62" s="212" t="s">
        <v>470</v>
      </c>
      <c r="O62" s="213">
        <v>41419</v>
      </c>
      <c r="P62" s="212" t="s">
        <v>531</v>
      </c>
      <c r="Q62" s="214">
        <v>100</v>
      </c>
      <c r="R62" s="212" t="s">
        <v>445</v>
      </c>
      <c r="S62" s="212" t="s">
        <v>532</v>
      </c>
      <c r="T62" s="212" t="s">
        <v>445</v>
      </c>
      <c r="U62" s="212" t="s">
        <v>446</v>
      </c>
      <c r="V62" s="214" t="b">
        <v>1</v>
      </c>
      <c r="W62" s="214">
        <v>1989</v>
      </c>
      <c r="X62" s="214">
        <v>5</v>
      </c>
      <c r="Y62" s="214">
        <v>2</v>
      </c>
      <c r="Z62" s="214">
        <v>4</v>
      </c>
      <c r="AA62" s="212" t="s">
        <v>447</v>
      </c>
      <c r="AB62" s="212" t="s">
        <v>531</v>
      </c>
      <c r="AC62" s="212" t="s">
        <v>533</v>
      </c>
      <c r="AD62" s="214">
        <v>1.2714300000000001</v>
      </c>
      <c r="AE62" s="214">
        <v>140</v>
      </c>
      <c r="AF62" s="214">
        <v>0.2208</v>
      </c>
      <c r="AG62" s="214">
        <v>-99</v>
      </c>
      <c r="AH62" s="212" t="s">
        <v>224</v>
      </c>
      <c r="AI62" s="212" t="s">
        <v>449</v>
      </c>
      <c r="AJ62" s="212" t="s">
        <v>307</v>
      </c>
      <c r="AK62" s="212" t="s">
        <v>531</v>
      </c>
      <c r="AL62" s="212" t="s">
        <v>385</v>
      </c>
      <c r="AM62" s="214" t="b">
        <v>1</v>
      </c>
      <c r="AN62" s="214" t="b">
        <v>0</v>
      </c>
      <c r="AO62" s="212" t="s">
        <v>308</v>
      </c>
      <c r="AP62" s="212" t="s">
        <v>309</v>
      </c>
      <c r="AQ62" s="214">
        <v>100.20194000000001</v>
      </c>
      <c r="AR62" s="214" t="b">
        <v>0</v>
      </c>
      <c r="AS62" s="212" t="s">
        <v>534</v>
      </c>
      <c r="AU62" s="222" t="s">
        <v>819</v>
      </c>
    </row>
    <row r="63" spans="1:47" ht="15" customHeight="1" x14ac:dyDescent="0.25">
      <c r="A63" s="245">
        <f t="shared" si="7"/>
        <v>63</v>
      </c>
      <c r="B63" s="246" t="str">
        <f t="shared" si="0"/>
        <v>Oil Field - Tank</v>
      </c>
      <c r="C63" s="246" t="str">
        <f ca="1">IF(B63="","",VLOOKUP(D63,'Species Data'!B:E,4,FALSE))</f>
        <v>dimetpen4</v>
      </c>
      <c r="D63" s="246">
        <f t="shared" ca="1" si="1"/>
        <v>152</v>
      </c>
      <c r="E63" s="246">
        <f t="shared" ca="1" si="2"/>
        <v>9.0999999999999998E-2</v>
      </c>
      <c r="F63" s="246" t="str">
        <f t="shared" ca="1" si="3"/>
        <v>2,4-dimethylpentane</v>
      </c>
      <c r="G63" s="246">
        <f t="shared" ca="1" si="4"/>
        <v>100.20194000000001</v>
      </c>
      <c r="H63" s="204">
        <f ca="1">IF(G63="","",IF(VLOOKUP(Tank!F63,'Species Data'!D:F,3,FALSE)=0,"X",IF(G63&lt;44.1,2,1)))</f>
        <v>1</v>
      </c>
      <c r="I63" s="204">
        <f t="shared" ca="1" si="5"/>
        <v>7.947409628465768E-2</v>
      </c>
      <c r="J63" s="247">
        <f ca="1">IF(I63="","",IF(COUNTIF($D$12:D63,D63)=1,IF(H63=1,I63*H63,IF(H63="X","X",0)),0))</f>
        <v>7.947409628465768E-2</v>
      </c>
      <c r="K63" s="248">
        <f t="shared" ca="1" si="6"/>
        <v>0.20099826383766242</v>
      </c>
      <c r="L63" s="212" t="s">
        <v>679</v>
      </c>
      <c r="M63" s="212" t="s">
        <v>448</v>
      </c>
      <c r="N63" s="212" t="s">
        <v>470</v>
      </c>
      <c r="O63" s="213">
        <v>41419</v>
      </c>
      <c r="P63" s="212" t="s">
        <v>531</v>
      </c>
      <c r="Q63" s="214">
        <v>100</v>
      </c>
      <c r="R63" s="212" t="s">
        <v>445</v>
      </c>
      <c r="S63" s="212" t="s">
        <v>532</v>
      </c>
      <c r="T63" s="212" t="s">
        <v>445</v>
      </c>
      <c r="U63" s="212" t="s">
        <v>446</v>
      </c>
      <c r="V63" s="214" t="b">
        <v>1</v>
      </c>
      <c r="W63" s="214">
        <v>1989</v>
      </c>
      <c r="X63" s="214">
        <v>5</v>
      </c>
      <c r="Y63" s="214">
        <v>2</v>
      </c>
      <c r="Z63" s="214">
        <v>4</v>
      </c>
      <c r="AA63" s="212" t="s">
        <v>447</v>
      </c>
      <c r="AB63" s="212" t="s">
        <v>531</v>
      </c>
      <c r="AC63" s="212" t="s">
        <v>533</v>
      </c>
      <c r="AD63" s="214">
        <v>1.2714300000000001</v>
      </c>
      <c r="AE63" s="214">
        <v>152</v>
      </c>
      <c r="AF63" s="214">
        <v>9.0999999999999998E-2</v>
      </c>
      <c r="AG63" s="214">
        <v>-99</v>
      </c>
      <c r="AH63" s="212" t="s">
        <v>224</v>
      </c>
      <c r="AI63" s="212" t="s">
        <v>449</v>
      </c>
      <c r="AJ63" s="212" t="s">
        <v>310</v>
      </c>
      <c r="AK63" s="212" t="s">
        <v>531</v>
      </c>
      <c r="AL63" s="212" t="s">
        <v>386</v>
      </c>
      <c r="AM63" s="214" t="b">
        <v>1</v>
      </c>
      <c r="AN63" s="214" t="b">
        <v>0</v>
      </c>
      <c r="AO63" s="212" t="s">
        <v>311</v>
      </c>
      <c r="AP63" s="212" t="s">
        <v>312</v>
      </c>
      <c r="AQ63" s="214">
        <v>100.20194000000001</v>
      </c>
      <c r="AR63" s="214" t="b">
        <v>0</v>
      </c>
      <c r="AS63" s="212" t="s">
        <v>534</v>
      </c>
      <c r="AU63" s="222" t="s">
        <v>819</v>
      </c>
    </row>
    <row r="64" spans="1:47" x14ac:dyDescent="0.25">
      <c r="A64" s="245">
        <f t="shared" si="7"/>
        <v>64</v>
      </c>
      <c r="B64" s="246" t="str">
        <f t="shared" si="0"/>
        <v>Oil Field - Tank</v>
      </c>
      <c r="C64" s="246" t="str">
        <f ca="1">IF(B64="","",VLOOKUP(D64,'Species Data'!B:E,4,FALSE))</f>
        <v>twomethex</v>
      </c>
      <c r="D64" s="246">
        <f t="shared" ca="1" si="1"/>
        <v>194</v>
      </c>
      <c r="E64" s="246">
        <f t="shared" ca="1" si="2"/>
        <v>0.49230000000000002</v>
      </c>
      <c r="F64" s="246" t="str">
        <f t="shared" ca="1" si="3"/>
        <v>2-methylhexane</v>
      </c>
      <c r="G64" s="246">
        <f t="shared" ca="1" si="4"/>
        <v>100.20194000000001</v>
      </c>
      <c r="H64" s="204">
        <f ca="1">IF(G64="","",IF(VLOOKUP(Tank!F64,'Species Data'!D:F,3,FALSE)=0,"X",IF(G64&lt;44.1,2,1)))</f>
        <v>1</v>
      </c>
      <c r="I64" s="204">
        <f t="shared" ca="1" si="5"/>
        <v>0.30248957056654424</v>
      </c>
      <c r="J64" s="247">
        <f ca="1">IF(I64="","",IF(COUNTIF($D$12:D64,D64)=1,IF(H64=1,I64*H64,IF(H64="X","X",0)),0))</f>
        <v>0</v>
      </c>
      <c r="K64" s="248">
        <f t="shared" ca="1" si="6"/>
        <v>0</v>
      </c>
      <c r="L64" s="212" t="s">
        <v>679</v>
      </c>
      <c r="M64" s="212" t="s">
        <v>448</v>
      </c>
      <c r="N64" s="212" t="s">
        <v>470</v>
      </c>
      <c r="O64" s="213">
        <v>41419</v>
      </c>
      <c r="P64" s="212" t="s">
        <v>531</v>
      </c>
      <c r="Q64" s="214">
        <v>100</v>
      </c>
      <c r="R64" s="212" t="s">
        <v>445</v>
      </c>
      <c r="S64" s="212" t="s">
        <v>532</v>
      </c>
      <c r="T64" s="212" t="s">
        <v>445</v>
      </c>
      <c r="U64" s="212" t="s">
        <v>446</v>
      </c>
      <c r="V64" s="214" t="b">
        <v>1</v>
      </c>
      <c r="W64" s="214">
        <v>1989</v>
      </c>
      <c r="X64" s="214">
        <v>5</v>
      </c>
      <c r="Y64" s="214">
        <v>2</v>
      </c>
      <c r="Z64" s="214">
        <v>4</v>
      </c>
      <c r="AA64" s="212" t="s">
        <v>447</v>
      </c>
      <c r="AB64" s="212" t="s">
        <v>531</v>
      </c>
      <c r="AC64" s="212" t="s">
        <v>533</v>
      </c>
      <c r="AD64" s="214">
        <v>1.2714300000000001</v>
      </c>
      <c r="AE64" s="214">
        <v>194</v>
      </c>
      <c r="AF64" s="214">
        <v>0.49230000000000002</v>
      </c>
      <c r="AG64" s="214">
        <v>-99</v>
      </c>
      <c r="AH64" s="212" t="s">
        <v>224</v>
      </c>
      <c r="AI64" s="212" t="s">
        <v>449</v>
      </c>
      <c r="AJ64" s="212" t="s">
        <v>316</v>
      </c>
      <c r="AK64" s="212" t="s">
        <v>531</v>
      </c>
      <c r="AL64" s="212" t="s">
        <v>388</v>
      </c>
      <c r="AM64" s="214" t="b">
        <v>1</v>
      </c>
      <c r="AN64" s="214" t="b">
        <v>0</v>
      </c>
      <c r="AO64" s="212" t="s">
        <v>317</v>
      </c>
      <c r="AP64" s="212" t="s">
        <v>318</v>
      </c>
      <c r="AQ64" s="214">
        <v>100.20194000000001</v>
      </c>
      <c r="AR64" s="214" t="b">
        <v>0</v>
      </c>
      <c r="AS64" s="212" t="s">
        <v>534</v>
      </c>
      <c r="AU64" s="222" t="s">
        <v>819</v>
      </c>
    </row>
    <row r="65" spans="1:47" x14ac:dyDescent="0.25">
      <c r="A65" s="245">
        <f t="shared" si="7"/>
        <v>65</v>
      </c>
      <c r="B65" s="246" t="str">
        <f t="shared" si="0"/>
        <v>Oil Field - Tank</v>
      </c>
      <c r="C65" s="246" t="str">
        <f ca="1">IF(B65="","",VLOOKUP(D65,'Species Data'!B:E,4,FALSE))</f>
        <v>twometpen</v>
      </c>
      <c r="D65" s="246">
        <f t="shared" ca="1" si="1"/>
        <v>199</v>
      </c>
      <c r="E65" s="246">
        <f t="shared" ca="1" si="2"/>
        <v>1.7049000000000001</v>
      </c>
      <c r="F65" s="246" t="str">
        <f t="shared" ca="1" si="3"/>
        <v>2-methylpentane (isohexane)</v>
      </c>
      <c r="G65" s="246">
        <f t="shared" ca="1" si="4"/>
        <v>86.175359999999998</v>
      </c>
      <c r="H65" s="204">
        <f ca="1">IF(G65="","",IF(VLOOKUP(Tank!F65,'Species Data'!D:F,3,FALSE)=0,"X",IF(G65&lt;44.1,2,1)))</f>
        <v>1</v>
      </c>
      <c r="I65" s="204">
        <f t="shared" ca="1" si="5"/>
        <v>0.93120227287515311</v>
      </c>
      <c r="J65" s="247">
        <f ca="1">IF(I65="","",IF(COUNTIF($D$12:D65,D65)=1,IF(H65=1,I65*H65,IF(H65="X","X",0)),0))</f>
        <v>0</v>
      </c>
      <c r="K65" s="248">
        <f t="shared" ca="1" si="6"/>
        <v>0</v>
      </c>
      <c r="L65" s="212" t="s">
        <v>679</v>
      </c>
      <c r="M65" s="212" t="s">
        <v>448</v>
      </c>
      <c r="N65" s="212" t="s">
        <v>470</v>
      </c>
      <c r="O65" s="213">
        <v>41419</v>
      </c>
      <c r="P65" s="212" t="s">
        <v>531</v>
      </c>
      <c r="Q65" s="214">
        <v>100</v>
      </c>
      <c r="R65" s="212" t="s">
        <v>445</v>
      </c>
      <c r="S65" s="212" t="s">
        <v>532</v>
      </c>
      <c r="T65" s="212" t="s">
        <v>445</v>
      </c>
      <c r="U65" s="212" t="s">
        <v>446</v>
      </c>
      <c r="V65" s="214" t="b">
        <v>1</v>
      </c>
      <c r="W65" s="214">
        <v>1989</v>
      </c>
      <c r="X65" s="214">
        <v>5</v>
      </c>
      <c r="Y65" s="214">
        <v>2</v>
      </c>
      <c r="Z65" s="214">
        <v>4</v>
      </c>
      <c r="AA65" s="212" t="s">
        <v>447</v>
      </c>
      <c r="AB65" s="212" t="s">
        <v>531</v>
      </c>
      <c r="AC65" s="212" t="s">
        <v>533</v>
      </c>
      <c r="AD65" s="214">
        <v>1.2714300000000001</v>
      </c>
      <c r="AE65" s="214">
        <v>199</v>
      </c>
      <c r="AF65" s="214">
        <v>1.7049000000000001</v>
      </c>
      <c r="AG65" s="214">
        <v>-99</v>
      </c>
      <c r="AH65" s="212" t="s">
        <v>224</v>
      </c>
      <c r="AI65" s="212" t="s">
        <v>449</v>
      </c>
      <c r="AJ65" s="212" t="s">
        <v>319</v>
      </c>
      <c r="AK65" s="212" t="s">
        <v>531</v>
      </c>
      <c r="AL65" s="212" t="s">
        <v>389</v>
      </c>
      <c r="AM65" s="214" t="b">
        <v>1</v>
      </c>
      <c r="AN65" s="214" t="b">
        <v>0</v>
      </c>
      <c r="AO65" s="212" t="s">
        <v>320</v>
      </c>
      <c r="AP65" s="212" t="s">
        <v>321</v>
      </c>
      <c r="AQ65" s="214">
        <v>86.175359999999998</v>
      </c>
      <c r="AR65" s="214" t="b">
        <v>0</v>
      </c>
      <c r="AS65" s="212" t="s">
        <v>534</v>
      </c>
      <c r="AU65" s="222" t="s">
        <v>819</v>
      </c>
    </row>
    <row r="66" spans="1:47" x14ac:dyDescent="0.25">
      <c r="A66" s="245">
        <f t="shared" si="7"/>
        <v>66</v>
      </c>
      <c r="B66" s="246" t="str">
        <f t="shared" si="0"/>
        <v>Oil Field - Tank</v>
      </c>
      <c r="C66" s="246" t="str">
        <f ca="1">IF(B66="","",VLOOKUP(D66,'Species Data'!B:E,4,FALSE))</f>
        <v>threemethex</v>
      </c>
      <c r="D66" s="246">
        <f t="shared" ca="1" si="1"/>
        <v>245</v>
      </c>
      <c r="E66" s="246">
        <f t="shared" ca="1" si="2"/>
        <v>0.62090000000000001</v>
      </c>
      <c r="F66" s="246" t="str">
        <f t="shared" ca="1" si="3"/>
        <v>3-methylhexane</v>
      </c>
      <c r="G66" s="246">
        <f t="shared" ca="1" si="4"/>
        <v>100.20194000000001</v>
      </c>
      <c r="H66" s="204">
        <f ca="1">IF(G66="","",IF(VLOOKUP(Tank!F66,'Species Data'!D:F,3,FALSE)=0,"X",IF(G66&lt;44.1,2,1)))</f>
        <v>1</v>
      </c>
      <c r="I66" s="204">
        <f t="shared" ca="1" si="5"/>
        <v>0.33724323753508045</v>
      </c>
      <c r="J66" s="247">
        <f ca="1">IF(I66="","",IF(COUNTIF($D$12:D66,D66)=1,IF(H66=1,I66*H66,IF(H66="X","X",0)),0))</f>
        <v>0</v>
      </c>
      <c r="K66" s="248">
        <f t="shared" ca="1" si="6"/>
        <v>0</v>
      </c>
      <c r="L66" s="212" t="s">
        <v>679</v>
      </c>
      <c r="M66" s="212" t="s">
        <v>448</v>
      </c>
      <c r="N66" s="212" t="s">
        <v>470</v>
      </c>
      <c r="O66" s="213">
        <v>41419</v>
      </c>
      <c r="P66" s="212" t="s">
        <v>531</v>
      </c>
      <c r="Q66" s="214">
        <v>100</v>
      </c>
      <c r="R66" s="212" t="s">
        <v>445</v>
      </c>
      <c r="S66" s="212" t="s">
        <v>532</v>
      </c>
      <c r="T66" s="212" t="s">
        <v>445</v>
      </c>
      <c r="U66" s="212" t="s">
        <v>446</v>
      </c>
      <c r="V66" s="214" t="b">
        <v>1</v>
      </c>
      <c r="W66" s="214">
        <v>1989</v>
      </c>
      <c r="X66" s="214">
        <v>5</v>
      </c>
      <c r="Y66" s="214">
        <v>2</v>
      </c>
      <c r="Z66" s="214">
        <v>4</v>
      </c>
      <c r="AA66" s="212" t="s">
        <v>447</v>
      </c>
      <c r="AB66" s="212" t="s">
        <v>531</v>
      </c>
      <c r="AC66" s="212" t="s">
        <v>533</v>
      </c>
      <c r="AD66" s="214">
        <v>1.2714300000000001</v>
      </c>
      <c r="AE66" s="214">
        <v>245</v>
      </c>
      <c r="AF66" s="214">
        <v>0.62090000000000001</v>
      </c>
      <c r="AG66" s="214">
        <v>-99</v>
      </c>
      <c r="AH66" s="212" t="s">
        <v>224</v>
      </c>
      <c r="AI66" s="212" t="s">
        <v>449</v>
      </c>
      <c r="AJ66" s="212" t="s">
        <v>325</v>
      </c>
      <c r="AK66" s="212" t="s">
        <v>531</v>
      </c>
      <c r="AL66" s="212" t="s">
        <v>390</v>
      </c>
      <c r="AM66" s="214" t="b">
        <v>1</v>
      </c>
      <c r="AN66" s="214" t="b">
        <v>0</v>
      </c>
      <c r="AO66" s="212" t="s">
        <v>326</v>
      </c>
      <c r="AP66" s="212" t="s">
        <v>327</v>
      </c>
      <c r="AQ66" s="214">
        <v>100.20194000000001</v>
      </c>
      <c r="AR66" s="214" t="b">
        <v>0</v>
      </c>
      <c r="AS66" s="212" t="s">
        <v>534</v>
      </c>
      <c r="AU66" s="222" t="s">
        <v>819</v>
      </c>
    </row>
    <row r="67" spans="1:47" ht="15" customHeight="1" x14ac:dyDescent="0.25">
      <c r="A67" s="245">
        <f t="shared" si="7"/>
        <v>67</v>
      </c>
      <c r="B67" s="246" t="str">
        <f t="shared" si="0"/>
        <v>Oil Field - Tank</v>
      </c>
      <c r="C67" s="246" t="str">
        <f ca="1">IF(B67="","",VLOOKUP(D67,'Species Data'!B:E,4,FALSE))</f>
        <v>threemetpen</v>
      </c>
      <c r="D67" s="246">
        <f t="shared" ca="1" si="1"/>
        <v>248</v>
      </c>
      <c r="E67" s="246">
        <f t="shared" ca="1" si="2"/>
        <v>1.6036999999999999</v>
      </c>
      <c r="F67" s="246" t="str">
        <f t="shared" ca="1" si="3"/>
        <v>3-methylpentane</v>
      </c>
      <c r="G67" s="246">
        <f t="shared" ca="1" si="4"/>
        <v>86.175359999999998</v>
      </c>
      <c r="H67" s="204">
        <f ca="1">IF(G67="","",IF(VLOOKUP(Tank!F67,'Species Data'!D:F,3,FALSE)=0,"X",IF(G67&lt;44.1,2,1)))</f>
        <v>1</v>
      </c>
      <c r="I67" s="204">
        <f t="shared" ca="1" si="5"/>
        <v>0.72479362468546382</v>
      </c>
      <c r="J67" s="247">
        <f ca="1">IF(I67="","",IF(COUNTIF($D$12:D67,D67)=1,IF(H67=1,I67*H67,IF(H67="X","X",0)),0))</f>
        <v>0</v>
      </c>
      <c r="K67" s="248">
        <f t="shared" ca="1" si="6"/>
        <v>0</v>
      </c>
      <c r="L67" s="212" t="s">
        <v>679</v>
      </c>
      <c r="M67" s="212" t="s">
        <v>448</v>
      </c>
      <c r="N67" s="212" t="s">
        <v>470</v>
      </c>
      <c r="O67" s="213">
        <v>41419</v>
      </c>
      <c r="P67" s="212" t="s">
        <v>531</v>
      </c>
      <c r="Q67" s="214">
        <v>100</v>
      </c>
      <c r="R67" s="212" t="s">
        <v>445</v>
      </c>
      <c r="S67" s="212" t="s">
        <v>532</v>
      </c>
      <c r="T67" s="212" t="s">
        <v>445</v>
      </c>
      <c r="U67" s="212" t="s">
        <v>446</v>
      </c>
      <c r="V67" s="214" t="b">
        <v>1</v>
      </c>
      <c r="W67" s="214">
        <v>1989</v>
      </c>
      <c r="X67" s="214">
        <v>5</v>
      </c>
      <c r="Y67" s="214">
        <v>2</v>
      </c>
      <c r="Z67" s="214">
        <v>4</v>
      </c>
      <c r="AA67" s="212" t="s">
        <v>447</v>
      </c>
      <c r="AB67" s="212" t="s">
        <v>531</v>
      </c>
      <c r="AC67" s="212" t="s">
        <v>533</v>
      </c>
      <c r="AD67" s="214">
        <v>1.2714300000000001</v>
      </c>
      <c r="AE67" s="214">
        <v>248</v>
      </c>
      <c r="AF67" s="214">
        <v>1.6036999999999999</v>
      </c>
      <c r="AG67" s="214">
        <v>-99</v>
      </c>
      <c r="AH67" s="212" t="s">
        <v>224</v>
      </c>
      <c r="AI67" s="212" t="s">
        <v>449</v>
      </c>
      <c r="AJ67" s="212" t="s">
        <v>328</v>
      </c>
      <c r="AK67" s="212" t="s">
        <v>531</v>
      </c>
      <c r="AL67" s="212" t="s">
        <v>391</v>
      </c>
      <c r="AM67" s="214" t="b">
        <v>1</v>
      </c>
      <c r="AN67" s="214" t="b">
        <v>0</v>
      </c>
      <c r="AO67" s="212" t="s">
        <v>329</v>
      </c>
      <c r="AP67" s="212" t="s">
        <v>330</v>
      </c>
      <c r="AQ67" s="214">
        <v>86.175359999999998</v>
      </c>
      <c r="AR67" s="214" t="b">
        <v>0</v>
      </c>
      <c r="AS67" s="212" t="s">
        <v>534</v>
      </c>
      <c r="AU67" s="222" t="s">
        <v>819</v>
      </c>
    </row>
    <row r="68" spans="1:47" ht="15" customHeight="1" x14ac:dyDescent="0.25">
      <c r="A68" s="245">
        <f t="shared" si="7"/>
        <v>68</v>
      </c>
      <c r="B68" s="246" t="str">
        <f t="shared" si="0"/>
        <v>Oil Field - Tank</v>
      </c>
      <c r="C68" s="246" t="str">
        <f ca="1">IF(B68="","",VLOOKUP(D68,'Species Data'!B:E,4,FALSE))</f>
        <v>benzene</v>
      </c>
      <c r="D68" s="246">
        <f t="shared" ca="1" si="1"/>
        <v>302</v>
      </c>
      <c r="E68" s="246">
        <f t="shared" ca="1" si="2"/>
        <v>0.432</v>
      </c>
      <c r="F68" s="246" t="str">
        <f t="shared" ca="1" si="3"/>
        <v>Benzene</v>
      </c>
      <c r="G68" s="246">
        <f t="shared" ca="1" si="4"/>
        <v>78.111840000000001</v>
      </c>
      <c r="H68" s="204">
        <f ca="1">IF(G68="","",IF(VLOOKUP(Tank!F68,'Species Data'!D:F,3,FALSE)=0,"X",IF(G68&lt;44.1,2,1)))</f>
        <v>1</v>
      </c>
      <c r="I68" s="204">
        <f t="shared" ca="1" si="5"/>
        <v>0.24518902048126334</v>
      </c>
      <c r="J68" s="247">
        <f ca="1">IF(I68="","",IF(COUNTIF($D$12:D68,D68)=1,IF(H68=1,I68*H68,IF(H68="X","X",0)),0))</f>
        <v>0</v>
      </c>
      <c r="K68" s="248">
        <f t="shared" ca="1" si="6"/>
        <v>0</v>
      </c>
      <c r="L68" s="212" t="s">
        <v>679</v>
      </c>
      <c r="M68" s="212" t="s">
        <v>448</v>
      </c>
      <c r="N68" s="212" t="s">
        <v>470</v>
      </c>
      <c r="O68" s="213">
        <v>41419</v>
      </c>
      <c r="P68" s="212" t="s">
        <v>531</v>
      </c>
      <c r="Q68" s="214">
        <v>100</v>
      </c>
      <c r="R68" s="212" t="s">
        <v>445</v>
      </c>
      <c r="S68" s="212" t="s">
        <v>532</v>
      </c>
      <c r="T68" s="212" t="s">
        <v>445</v>
      </c>
      <c r="U68" s="212" t="s">
        <v>446</v>
      </c>
      <c r="V68" s="214" t="b">
        <v>1</v>
      </c>
      <c r="W68" s="214">
        <v>1989</v>
      </c>
      <c r="X68" s="214">
        <v>5</v>
      </c>
      <c r="Y68" s="214">
        <v>2</v>
      </c>
      <c r="Z68" s="214">
        <v>4</v>
      </c>
      <c r="AA68" s="212" t="s">
        <v>447</v>
      </c>
      <c r="AB68" s="212" t="s">
        <v>531</v>
      </c>
      <c r="AC68" s="212" t="s">
        <v>533</v>
      </c>
      <c r="AD68" s="214">
        <v>1.2714300000000001</v>
      </c>
      <c r="AE68" s="214">
        <v>302</v>
      </c>
      <c r="AF68" s="214">
        <v>0.432</v>
      </c>
      <c r="AG68" s="214">
        <v>-99</v>
      </c>
      <c r="AH68" s="212" t="s">
        <v>224</v>
      </c>
      <c r="AI68" s="212" t="s">
        <v>449</v>
      </c>
      <c r="AJ68" s="212" t="s">
        <v>262</v>
      </c>
      <c r="AK68" s="212" t="s">
        <v>531</v>
      </c>
      <c r="AL68" s="212" t="s">
        <v>373</v>
      </c>
      <c r="AM68" s="214" t="b">
        <v>1</v>
      </c>
      <c r="AN68" s="214" t="b">
        <v>1</v>
      </c>
      <c r="AO68" s="212" t="s">
        <v>263</v>
      </c>
      <c r="AP68" s="212" t="s">
        <v>264</v>
      </c>
      <c r="AQ68" s="214">
        <v>78.111840000000001</v>
      </c>
      <c r="AR68" s="214" t="b">
        <v>0</v>
      </c>
      <c r="AS68" s="212" t="s">
        <v>534</v>
      </c>
      <c r="AU68" s="222" t="s">
        <v>819</v>
      </c>
    </row>
    <row r="69" spans="1:47" ht="15" customHeight="1" x14ac:dyDescent="0.25">
      <c r="A69" s="245">
        <f t="shared" si="7"/>
        <v>69</v>
      </c>
      <c r="B69" s="246" t="str">
        <f t="shared" si="0"/>
        <v>Oil Field - Tank</v>
      </c>
      <c r="C69" s="246" t="str">
        <f ca="1">IF(B69="","",VLOOKUP(D69,'Species Data'!B:E,4,FALSE))</f>
        <v>cyclopentane</v>
      </c>
      <c r="D69" s="246">
        <f t="shared" ca="1" si="1"/>
        <v>390</v>
      </c>
      <c r="E69" s="246">
        <f t="shared" ca="1" si="2"/>
        <v>0.29389999999999999</v>
      </c>
      <c r="F69" s="246" t="str">
        <f t="shared" ca="1" si="3"/>
        <v>Cyclopentane</v>
      </c>
      <c r="G69" s="246">
        <f t="shared" ca="1" si="4"/>
        <v>70.132900000000006</v>
      </c>
      <c r="H69" s="204">
        <f ca="1">IF(G69="","",IF(VLOOKUP(Tank!F69,'Species Data'!D:F,3,FALSE)=0,"X",IF(G69&lt;44.1,2,1)))</f>
        <v>1</v>
      </c>
      <c r="I69" s="204">
        <f t="shared" ca="1" si="5"/>
        <v>0.15432814821688956</v>
      </c>
      <c r="J69" s="247">
        <f ca="1">IF(I69="","",IF(COUNTIF($D$12:D69,D69)=1,IF(H69=1,I69*H69,IF(H69="X","X",0)),0))</f>
        <v>0</v>
      </c>
      <c r="K69" s="248">
        <f t="shared" ca="1" si="6"/>
        <v>0</v>
      </c>
      <c r="L69" s="212" t="s">
        <v>679</v>
      </c>
      <c r="M69" s="212" t="s">
        <v>448</v>
      </c>
      <c r="N69" s="212" t="s">
        <v>470</v>
      </c>
      <c r="O69" s="213">
        <v>41419</v>
      </c>
      <c r="P69" s="212" t="s">
        <v>531</v>
      </c>
      <c r="Q69" s="214">
        <v>100</v>
      </c>
      <c r="R69" s="212" t="s">
        <v>445</v>
      </c>
      <c r="S69" s="212" t="s">
        <v>532</v>
      </c>
      <c r="T69" s="212" t="s">
        <v>445</v>
      </c>
      <c r="U69" s="212" t="s">
        <v>446</v>
      </c>
      <c r="V69" s="214" t="b">
        <v>1</v>
      </c>
      <c r="W69" s="214">
        <v>1989</v>
      </c>
      <c r="X69" s="214">
        <v>5</v>
      </c>
      <c r="Y69" s="214">
        <v>2</v>
      </c>
      <c r="Z69" s="214">
        <v>4</v>
      </c>
      <c r="AA69" s="212" t="s">
        <v>447</v>
      </c>
      <c r="AB69" s="212" t="s">
        <v>531</v>
      </c>
      <c r="AC69" s="212" t="s">
        <v>533</v>
      </c>
      <c r="AD69" s="214">
        <v>1.2714300000000001</v>
      </c>
      <c r="AE69" s="214">
        <v>390</v>
      </c>
      <c r="AF69" s="214">
        <v>0.29389999999999999</v>
      </c>
      <c r="AG69" s="214">
        <v>-99</v>
      </c>
      <c r="AH69" s="212" t="s">
        <v>224</v>
      </c>
      <c r="AI69" s="212" t="s">
        <v>449</v>
      </c>
      <c r="AJ69" s="212" t="s">
        <v>334</v>
      </c>
      <c r="AK69" s="212" t="s">
        <v>531</v>
      </c>
      <c r="AL69" s="212" t="s">
        <v>393</v>
      </c>
      <c r="AM69" s="214" t="b">
        <v>1</v>
      </c>
      <c r="AN69" s="214" t="b">
        <v>0</v>
      </c>
      <c r="AO69" s="212" t="s">
        <v>335</v>
      </c>
      <c r="AP69" s="212" t="s">
        <v>336</v>
      </c>
      <c r="AQ69" s="214">
        <v>70.132900000000006</v>
      </c>
      <c r="AR69" s="214" t="b">
        <v>0</v>
      </c>
      <c r="AS69" s="212" t="s">
        <v>534</v>
      </c>
      <c r="AU69" s="222" t="s">
        <v>819</v>
      </c>
    </row>
    <row r="70" spans="1:47" ht="15" customHeight="1" x14ac:dyDescent="0.25">
      <c r="A70" s="245">
        <f t="shared" si="7"/>
        <v>70</v>
      </c>
      <c r="B70" s="246" t="str">
        <f t="shared" si="0"/>
        <v>Oil Field - Tank</v>
      </c>
      <c r="C70" s="246" t="str">
        <f ca="1">IF(B70="","",VLOOKUP(D70,'Species Data'!B:E,4,FALSE))</f>
        <v>ethane</v>
      </c>
      <c r="D70" s="246">
        <f t="shared" ca="1" si="1"/>
        <v>438</v>
      </c>
      <c r="E70" s="246">
        <f t="shared" ca="1" si="2"/>
        <v>9.5479000000000003</v>
      </c>
      <c r="F70" s="246" t="str">
        <f t="shared" ca="1" si="3"/>
        <v>Ethane</v>
      </c>
      <c r="G70" s="246">
        <f t="shared" ca="1" si="4"/>
        <v>30.069040000000005</v>
      </c>
      <c r="H70" s="204">
        <f ca="1">IF(G70="","",IF(VLOOKUP(Tank!F70,'Species Data'!D:F,3,FALSE)=0,"X",IF(G70&lt;44.1,2,1)))</f>
        <v>2</v>
      </c>
      <c r="I70" s="204">
        <f t="shared" ca="1" si="5"/>
        <v>5.717421553913586</v>
      </c>
      <c r="J70" s="247">
        <f ca="1">IF(I70="","",IF(COUNTIF($D$12:D70,D70)=1,IF(H70=1,I70*H70,IF(H70="X","X",0)),0))</f>
        <v>0</v>
      </c>
      <c r="K70" s="248">
        <f t="shared" ca="1" si="6"/>
        <v>0</v>
      </c>
      <c r="L70" s="212" t="s">
        <v>679</v>
      </c>
      <c r="M70" s="212" t="s">
        <v>448</v>
      </c>
      <c r="N70" s="212" t="s">
        <v>470</v>
      </c>
      <c r="O70" s="213">
        <v>41419</v>
      </c>
      <c r="P70" s="212" t="s">
        <v>531</v>
      </c>
      <c r="Q70" s="214">
        <v>100</v>
      </c>
      <c r="R70" s="212" t="s">
        <v>445</v>
      </c>
      <c r="S70" s="212" t="s">
        <v>532</v>
      </c>
      <c r="T70" s="212" t="s">
        <v>445</v>
      </c>
      <c r="U70" s="212" t="s">
        <v>446</v>
      </c>
      <c r="V70" s="214" t="b">
        <v>1</v>
      </c>
      <c r="W70" s="214">
        <v>1989</v>
      </c>
      <c r="X70" s="214">
        <v>5</v>
      </c>
      <c r="Y70" s="214">
        <v>2</v>
      </c>
      <c r="Z70" s="214">
        <v>4</v>
      </c>
      <c r="AA70" s="212" t="s">
        <v>447</v>
      </c>
      <c r="AB70" s="212" t="s">
        <v>531</v>
      </c>
      <c r="AC70" s="212" t="s">
        <v>533</v>
      </c>
      <c r="AD70" s="214">
        <v>1.2714300000000001</v>
      </c>
      <c r="AE70" s="214">
        <v>438</v>
      </c>
      <c r="AF70" s="214">
        <v>9.5479000000000003</v>
      </c>
      <c r="AG70" s="214">
        <v>-99</v>
      </c>
      <c r="AH70" s="212" t="s">
        <v>224</v>
      </c>
      <c r="AI70" s="212" t="s">
        <v>449</v>
      </c>
      <c r="AJ70" s="212" t="s">
        <v>265</v>
      </c>
      <c r="AK70" s="212" t="s">
        <v>531</v>
      </c>
      <c r="AL70" s="212" t="s">
        <v>374</v>
      </c>
      <c r="AM70" s="214" t="b">
        <v>1</v>
      </c>
      <c r="AN70" s="214" t="b">
        <v>0</v>
      </c>
      <c r="AO70" s="212" t="s">
        <v>266</v>
      </c>
      <c r="AP70" s="212" t="s">
        <v>267</v>
      </c>
      <c r="AQ70" s="214">
        <v>30.069040000000005</v>
      </c>
      <c r="AR70" s="214" t="b">
        <v>1</v>
      </c>
      <c r="AS70" s="212" t="s">
        <v>534</v>
      </c>
      <c r="AU70" s="222" t="s">
        <v>819</v>
      </c>
    </row>
    <row r="71" spans="1:47" x14ac:dyDescent="0.25">
      <c r="A71" s="245">
        <f t="shared" si="7"/>
        <v>71</v>
      </c>
      <c r="B71" s="246" t="str">
        <f t="shared" si="0"/>
        <v>Oil Field - Tank</v>
      </c>
      <c r="C71" s="246" t="str">
        <f ca="1">IF(B71="","",VLOOKUP(D71,'Species Data'!B:E,4,FALSE))</f>
        <v>ethyl_benz</v>
      </c>
      <c r="D71" s="246">
        <f t="shared" ca="1" si="1"/>
        <v>449</v>
      </c>
      <c r="E71" s="246">
        <f t="shared" ca="1" si="2"/>
        <v>6.1899999999999997E-2</v>
      </c>
      <c r="F71" s="246" t="str">
        <f t="shared" ca="1" si="3"/>
        <v>Ethylbenzene</v>
      </c>
      <c r="G71" s="246">
        <f t="shared" ca="1" si="4"/>
        <v>106.16500000000001</v>
      </c>
      <c r="H71" s="204">
        <f ca="1">IF(G71="","",IF(VLOOKUP(Tank!F71,'Species Data'!D:F,3,FALSE)=0,"X",IF(G71&lt;44.1,2,1)))</f>
        <v>1</v>
      </c>
      <c r="I71" s="204">
        <f t="shared" ca="1" si="5"/>
        <v>0.12062115796311647</v>
      </c>
      <c r="J71" s="247">
        <f ca="1">IF(I71="","",IF(COUNTIF($D$12:D71,D71)=1,IF(H71=1,I71*H71,IF(H71="X","X",0)),0))</f>
        <v>0</v>
      </c>
      <c r="K71" s="248">
        <f t="shared" ca="1" si="6"/>
        <v>0</v>
      </c>
      <c r="L71" s="212" t="s">
        <v>679</v>
      </c>
      <c r="M71" s="212" t="s">
        <v>448</v>
      </c>
      <c r="N71" s="212" t="s">
        <v>470</v>
      </c>
      <c r="O71" s="213">
        <v>41419</v>
      </c>
      <c r="P71" s="212" t="s">
        <v>531</v>
      </c>
      <c r="Q71" s="214">
        <v>100</v>
      </c>
      <c r="R71" s="212" t="s">
        <v>445</v>
      </c>
      <c r="S71" s="212" t="s">
        <v>532</v>
      </c>
      <c r="T71" s="212" t="s">
        <v>445</v>
      </c>
      <c r="U71" s="212" t="s">
        <v>446</v>
      </c>
      <c r="V71" s="214" t="b">
        <v>1</v>
      </c>
      <c r="W71" s="214">
        <v>1989</v>
      </c>
      <c r="X71" s="214">
        <v>5</v>
      </c>
      <c r="Y71" s="214">
        <v>2</v>
      </c>
      <c r="Z71" s="214">
        <v>4</v>
      </c>
      <c r="AA71" s="212" t="s">
        <v>447</v>
      </c>
      <c r="AB71" s="212" t="s">
        <v>531</v>
      </c>
      <c r="AC71" s="212" t="s">
        <v>533</v>
      </c>
      <c r="AD71" s="214">
        <v>1.2714300000000001</v>
      </c>
      <c r="AE71" s="214">
        <v>449</v>
      </c>
      <c r="AF71" s="214">
        <v>6.1899999999999997E-2</v>
      </c>
      <c r="AG71" s="214">
        <v>-99</v>
      </c>
      <c r="AH71" s="212" t="s">
        <v>224</v>
      </c>
      <c r="AI71" s="212" t="s">
        <v>449</v>
      </c>
      <c r="AJ71" s="212" t="s">
        <v>337</v>
      </c>
      <c r="AK71" s="212" t="s">
        <v>531</v>
      </c>
      <c r="AL71" s="212" t="s">
        <v>394</v>
      </c>
      <c r="AM71" s="214" t="b">
        <v>1</v>
      </c>
      <c r="AN71" s="214" t="b">
        <v>1</v>
      </c>
      <c r="AO71" s="212" t="s">
        <v>338</v>
      </c>
      <c r="AP71" s="212" t="s">
        <v>339</v>
      </c>
      <c r="AQ71" s="214">
        <v>106.16500000000001</v>
      </c>
      <c r="AR71" s="214" t="b">
        <v>0</v>
      </c>
      <c r="AS71" s="212" t="s">
        <v>534</v>
      </c>
      <c r="AU71" s="222" t="s">
        <v>819</v>
      </c>
    </row>
    <row r="72" spans="1:47" ht="15" customHeight="1" x14ac:dyDescent="0.25">
      <c r="A72" s="245">
        <f t="shared" si="7"/>
        <v>72</v>
      </c>
      <c r="B72" s="246" t="str">
        <f t="shared" si="0"/>
        <v>Oil Field - Tank</v>
      </c>
      <c r="C72" s="246" t="str">
        <f ca="1">IF(B72="","",VLOOKUP(D72,'Species Data'!B:E,4,FALSE))</f>
        <v>isobut</v>
      </c>
      <c r="D72" s="246">
        <f t="shared" ca="1" si="1"/>
        <v>491</v>
      </c>
      <c r="E72" s="246">
        <f t="shared" ca="1" si="2"/>
        <v>5.7194000000000003</v>
      </c>
      <c r="F72" s="246" t="str">
        <f t="shared" ca="1" si="3"/>
        <v>Isobutane</v>
      </c>
      <c r="G72" s="246">
        <f t="shared" ca="1" si="4"/>
        <v>58.122199999999992</v>
      </c>
      <c r="H72" s="204">
        <f ca="1">IF(G72="","",IF(VLOOKUP(Tank!F72,'Species Data'!D:F,3,FALSE)=0,"X",IF(G72&lt;44.1,2,1)))</f>
        <v>1</v>
      </c>
      <c r="I72" s="204">
        <f t="shared" ca="1" si="5"/>
        <v>3.2562712602040991</v>
      </c>
      <c r="J72" s="247">
        <f ca="1">IF(I72="","",IF(COUNTIF($D$12:D72,D72)=1,IF(H72=1,I72*H72,IF(H72="X","X",0)),0))</f>
        <v>0</v>
      </c>
      <c r="K72" s="248">
        <f t="shared" ca="1" si="6"/>
        <v>0</v>
      </c>
      <c r="L72" s="212" t="s">
        <v>679</v>
      </c>
      <c r="M72" s="212" t="s">
        <v>448</v>
      </c>
      <c r="N72" s="212" t="s">
        <v>470</v>
      </c>
      <c r="O72" s="213">
        <v>41419</v>
      </c>
      <c r="P72" s="212" t="s">
        <v>531</v>
      </c>
      <c r="Q72" s="214">
        <v>100</v>
      </c>
      <c r="R72" s="212" t="s">
        <v>445</v>
      </c>
      <c r="S72" s="212" t="s">
        <v>532</v>
      </c>
      <c r="T72" s="212" t="s">
        <v>445</v>
      </c>
      <c r="U72" s="212" t="s">
        <v>446</v>
      </c>
      <c r="V72" s="214" t="b">
        <v>1</v>
      </c>
      <c r="W72" s="214">
        <v>1989</v>
      </c>
      <c r="X72" s="214">
        <v>5</v>
      </c>
      <c r="Y72" s="214">
        <v>2</v>
      </c>
      <c r="Z72" s="214">
        <v>4</v>
      </c>
      <c r="AA72" s="212" t="s">
        <v>447</v>
      </c>
      <c r="AB72" s="212" t="s">
        <v>531</v>
      </c>
      <c r="AC72" s="212" t="s">
        <v>533</v>
      </c>
      <c r="AD72" s="214">
        <v>1.2714300000000001</v>
      </c>
      <c r="AE72" s="214">
        <v>491</v>
      </c>
      <c r="AF72" s="214">
        <v>5.7194000000000003</v>
      </c>
      <c r="AG72" s="214">
        <v>-99</v>
      </c>
      <c r="AH72" s="212" t="s">
        <v>224</v>
      </c>
      <c r="AI72" s="212" t="s">
        <v>449</v>
      </c>
      <c r="AJ72" s="212" t="s">
        <v>268</v>
      </c>
      <c r="AK72" s="212" t="s">
        <v>531</v>
      </c>
      <c r="AL72" s="212" t="s">
        <v>375</v>
      </c>
      <c r="AM72" s="214" t="b">
        <v>1</v>
      </c>
      <c r="AN72" s="214" t="b">
        <v>0</v>
      </c>
      <c r="AO72" s="212" t="s">
        <v>269</v>
      </c>
      <c r="AP72" s="212" t="s">
        <v>270</v>
      </c>
      <c r="AQ72" s="214">
        <v>58.122199999999992</v>
      </c>
      <c r="AR72" s="214" t="b">
        <v>0</v>
      </c>
      <c r="AS72" s="212" t="s">
        <v>534</v>
      </c>
      <c r="AU72" s="222" t="s">
        <v>819</v>
      </c>
    </row>
    <row r="73" spans="1:47" x14ac:dyDescent="0.25">
      <c r="A73" s="245">
        <f t="shared" si="7"/>
        <v>73</v>
      </c>
      <c r="B73" s="246" t="str">
        <f t="shared" si="0"/>
        <v>Oil Field - Tank</v>
      </c>
      <c r="C73" s="246" t="str">
        <f ca="1">IF(B73="","",VLOOKUP(D73,'Species Data'!B:E,4,FALSE))</f>
        <v>isopentane</v>
      </c>
      <c r="D73" s="246">
        <f t="shared" ca="1" si="1"/>
        <v>508</v>
      </c>
      <c r="E73" s="246">
        <f t="shared" ca="1" si="2"/>
        <v>2.0964</v>
      </c>
      <c r="F73" s="246" t="str">
        <f t="shared" ca="1" si="3"/>
        <v>Isopentane (2-Methylbutane)</v>
      </c>
      <c r="G73" s="246">
        <f t="shared" ca="1" si="4"/>
        <v>72.148780000000002</v>
      </c>
      <c r="H73" s="204">
        <f ca="1">IF(G73="","",IF(VLOOKUP(Tank!F73,'Species Data'!D:F,3,FALSE)=0,"X",IF(G73&lt;44.1,2,1)))</f>
        <v>1</v>
      </c>
      <c r="I73" s="204">
        <f t="shared" ca="1" si="5"/>
        <v>3.397999287459827</v>
      </c>
      <c r="J73" s="247">
        <f ca="1">IF(I73="","",IF(COUNTIF($D$12:D73,D73)=1,IF(H73=1,I73*H73,IF(H73="X","X",0)),0))</f>
        <v>0</v>
      </c>
      <c r="K73" s="248">
        <f t="shared" ca="1" si="6"/>
        <v>0</v>
      </c>
      <c r="L73" s="212" t="s">
        <v>679</v>
      </c>
      <c r="M73" s="212" t="s">
        <v>448</v>
      </c>
      <c r="N73" s="212" t="s">
        <v>470</v>
      </c>
      <c r="O73" s="213">
        <v>41419</v>
      </c>
      <c r="P73" s="212" t="s">
        <v>531</v>
      </c>
      <c r="Q73" s="214">
        <v>100</v>
      </c>
      <c r="R73" s="212" t="s">
        <v>445</v>
      </c>
      <c r="S73" s="212" t="s">
        <v>532</v>
      </c>
      <c r="T73" s="212" t="s">
        <v>445</v>
      </c>
      <c r="U73" s="212" t="s">
        <v>446</v>
      </c>
      <c r="V73" s="214" t="b">
        <v>1</v>
      </c>
      <c r="W73" s="214">
        <v>1989</v>
      </c>
      <c r="X73" s="214">
        <v>5</v>
      </c>
      <c r="Y73" s="214">
        <v>2</v>
      </c>
      <c r="Z73" s="214">
        <v>4</v>
      </c>
      <c r="AA73" s="212" t="s">
        <v>447</v>
      </c>
      <c r="AB73" s="212" t="s">
        <v>531</v>
      </c>
      <c r="AC73" s="212" t="s">
        <v>533</v>
      </c>
      <c r="AD73" s="214">
        <v>1.2714300000000001</v>
      </c>
      <c r="AE73" s="214">
        <v>508</v>
      </c>
      <c r="AF73" s="214">
        <v>2.0964</v>
      </c>
      <c r="AG73" s="214">
        <v>-99</v>
      </c>
      <c r="AH73" s="212" t="s">
        <v>224</v>
      </c>
      <c r="AI73" s="212" t="s">
        <v>449</v>
      </c>
      <c r="AJ73" s="212" t="s">
        <v>342</v>
      </c>
      <c r="AK73" s="212" t="s">
        <v>531</v>
      </c>
      <c r="AL73" s="212" t="s">
        <v>395</v>
      </c>
      <c r="AM73" s="214" t="b">
        <v>1</v>
      </c>
      <c r="AN73" s="214" t="b">
        <v>0</v>
      </c>
      <c r="AO73" s="212" t="s">
        <v>343</v>
      </c>
      <c r="AP73" s="212" t="s">
        <v>344</v>
      </c>
      <c r="AQ73" s="214">
        <v>72.148780000000002</v>
      </c>
      <c r="AR73" s="214" t="b">
        <v>0</v>
      </c>
      <c r="AS73" s="212" t="s">
        <v>534</v>
      </c>
      <c r="AU73" s="222" t="s">
        <v>819</v>
      </c>
    </row>
    <row r="74" spans="1:47" x14ac:dyDescent="0.25">
      <c r="A74" s="245">
        <f t="shared" si="7"/>
        <v>74</v>
      </c>
      <c r="B74" s="246" t="str">
        <f t="shared" si="0"/>
        <v>Oil Field - Tank</v>
      </c>
      <c r="C74" s="246" t="str">
        <f ca="1">IF(B74="","",VLOOKUP(D74,'Species Data'!B:E,4,FALSE))</f>
        <v>M_xylene</v>
      </c>
      <c r="D74" s="246">
        <f t="shared" ca="1" si="1"/>
        <v>524</v>
      </c>
      <c r="E74" s="246">
        <f t="shared" ca="1" si="2"/>
        <v>0.108</v>
      </c>
      <c r="F74" s="246" t="str">
        <f t="shared" ca="1" si="3"/>
        <v>M-xylene</v>
      </c>
      <c r="G74" s="246">
        <f t="shared" ca="1" si="4"/>
        <v>106.16500000000001</v>
      </c>
      <c r="H74" s="204">
        <f ca="1">IF(G74="","",IF(VLOOKUP(Tank!F74,'Species Data'!D:F,3,FALSE)=0,"X",IF(G74&lt;44.1,2,1)))</f>
        <v>1</v>
      </c>
      <c r="I74" s="204">
        <f t="shared" ca="1" si="5"/>
        <v>7.6727403249737883E-2</v>
      </c>
      <c r="J74" s="247">
        <f ca="1">IF(I74="","",IF(COUNTIF($D$12:D74,D74)=1,IF(H74=1,I74*H74,IF(H74="X","X",0)),0))</f>
        <v>0</v>
      </c>
      <c r="K74" s="248">
        <f t="shared" ca="1" si="6"/>
        <v>0</v>
      </c>
      <c r="L74" s="212" t="s">
        <v>679</v>
      </c>
      <c r="M74" s="212" t="s">
        <v>448</v>
      </c>
      <c r="N74" s="212" t="s">
        <v>470</v>
      </c>
      <c r="O74" s="213">
        <v>41419</v>
      </c>
      <c r="P74" s="212" t="s">
        <v>531</v>
      </c>
      <c r="Q74" s="214">
        <v>100</v>
      </c>
      <c r="R74" s="212" t="s">
        <v>445</v>
      </c>
      <c r="S74" s="212" t="s">
        <v>532</v>
      </c>
      <c r="T74" s="212" t="s">
        <v>445</v>
      </c>
      <c r="U74" s="212" t="s">
        <v>446</v>
      </c>
      <c r="V74" s="214" t="b">
        <v>1</v>
      </c>
      <c r="W74" s="214">
        <v>1989</v>
      </c>
      <c r="X74" s="214">
        <v>5</v>
      </c>
      <c r="Y74" s="214">
        <v>2</v>
      </c>
      <c r="Z74" s="214">
        <v>4</v>
      </c>
      <c r="AA74" s="212" t="s">
        <v>447</v>
      </c>
      <c r="AB74" s="212" t="s">
        <v>531</v>
      </c>
      <c r="AC74" s="212" t="s">
        <v>533</v>
      </c>
      <c r="AD74" s="214">
        <v>1.2714300000000001</v>
      </c>
      <c r="AE74" s="214">
        <v>524</v>
      </c>
      <c r="AF74" s="214">
        <v>0.108</v>
      </c>
      <c r="AG74" s="214">
        <v>-99</v>
      </c>
      <c r="AH74" s="212" t="s">
        <v>224</v>
      </c>
      <c r="AI74" s="212" t="s">
        <v>449</v>
      </c>
      <c r="AJ74" s="212" t="s">
        <v>436</v>
      </c>
      <c r="AK74" s="212" t="s">
        <v>531</v>
      </c>
      <c r="AL74" s="212" t="s">
        <v>460</v>
      </c>
      <c r="AM74" s="214" t="b">
        <v>0</v>
      </c>
      <c r="AN74" s="214" t="b">
        <v>1</v>
      </c>
      <c r="AO74" s="212" t="s">
        <v>437</v>
      </c>
      <c r="AP74" s="212" t="s">
        <v>438</v>
      </c>
      <c r="AQ74" s="214">
        <v>106.16500000000001</v>
      </c>
      <c r="AR74" s="214" t="b">
        <v>0</v>
      </c>
      <c r="AS74" s="212" t="s">
        <v>534</v>
      </c>
      <c r="AU74" s="222" t="s">
        <v>819</v>
      </c>
    </row>
    <row r="75" spans="1:47" x14ac:dyDescent="0.25">
      <c r="A75" s="245">
        <f t="shared" si="7"/>
        <v>75</v>
      </c>
      <c r="B75" s="246" t="str">
        <f t="shared" si="0"/>
        <v>Oil Field - Tank</v>
      </c>
      <c r="C75" s="246" t="str">
        <f ca="1">IF(B75="","",VLOOKUP(D75,'Species Data'!B:E,4,FALSE))</f>
        <v>methane</v>
      </c>
      <c r="D75" s="246">
        <f t="shared" ca="1" si="1"/>
        <v>529</v>
      </c>
      <c r="E75" s="246">
        <f t="shared" ca="1" si="2"/>
        <v>11.8005</v>
      </c>
      <c r="F75" s="246" t="str">
        <f t="shared" ca="1" si="3"/>
        <v>Methane</v>
      </c>
      <c r="G75" s="246">
        <f t="shared" ca="1" si="4"/>
        <v>16.042459999999998</v>
      </c>
      <c r="H75" s="204">
        <f ca="1">IF(G75="","",IF(VLOOKUP(Tank!F75,'Species Data'!D:F,3,FALSE)=0,"X",IF(G75&lt;44.1,2,1)))</f>
        <v>2</v>
      </c>
      <c r="I75" s="204">
        <f t="shared" ca="1" si="5"/>
        <v>44.518760713436194</v>
      </c>
      <c r="J75" s="247">
        <f ca="1">IF(I75="","",IF(COUNTIF($D$12:D75,D75)=1,IF(H75=1,I75*H75,IF(H75="X","X",0)),0))</f>
        <v>0</v>
      </c>
      <c r="K75" s="248">
        <f t="shared" ca="1" si="6"/>
        <v>0</v>
      </c>
      <c r="L75" s="212" t="s">
        <v>679</v>
      </c>
      <c r="M75" s="212" t="s">
        <v>448</v>
      </c>
      <c r="N75" s="212" t="s">
        <v>470</v>
      </c>
      <c r="O75" s="213">
        <v>41419</v>
      </c>
      <c r="P75" s="212" t="s">
        <v>531</v>
      </c>
      <c r="Q75" s="214">
        <v>100</v>
      </c>
      <c r="R75" s="212" t="s">
        <v>445</v>
      </c>
      <c r="S75" s="212" t="s">
        <v>532</v>
      </c>
      <c r="T75" s="212" t="s">
        <v>445</v>
      </c>
      <c r="U75" s="212" t="s">
        <v>446</v>
      </c>
      <c r="V75" s="214" t="b">
        <v>1</v>
      </c>
      <c r="W75" s="214">
        <v>1989</v>
      </c>
      <c r="X75" s="214">
        <v>5</v>
      </c>
      <c r="Y75" s="214">
        <v>2</v>
      </c>
      <c r="Z75" s="214">
        <v>4</v>
      </c>
      <c r="AA75" s="212" t="s">
        <v>447</v>
      </c>
      <c r="AB75" s="212" t="s">
        <v>531</v>
      </c>
      <c r="AC75" s="212" t="s">
        <v>533</v>
      </c>
      <c r="AD75" s="214">
        <v>1.2714300000000001</v>
      </c>
      <c r="AE75" s="214">
        <v>529</v>
      </c>
      <c r="AF75" s="214">
        <v>11.8005</v>
      </c>
      <c r="AG75" s="214">
        <v>-99</v>
      </c>
      <c r="AH75" s="212" t="s">
        <v>224</v>
      </c>
      <c r="AI75" s="212" t="s">
        <v>449</v>
      </c>
      <c r="AJ75" s="212" t="s">
        <v>271</v>
      </c>
      <c r="AK75" s="212" t="s">
        <v>531</v>
      </c>
      <c r="AL75" s="212" t="s">
        <v>376</v>
      </c>
      <c r="AM75" s="214" t="b">
        <v>0</v>
      </c>
      <c r="AN75" s="214" t="b">
        <v>0</v>
      </c>
      <c r="AO75" s="212" t="s">
        <v>272</v>
      </c>
      <c r="AP75" s="212" t="s">
        <v>531</v>
      </c>
      <c r="AQ75" s="214">
        <v>16.042459999999998</v>
      </c>
      <c r="AR75" s="214" t="b">
        <v>1</v>
      </c>
      <c r="AS75" s="212" t="s">
        <v>534</v>
      </c>
      <c r="AU75" s="222" t="s">
        <v>819</v>
      </c>
    </row>
    <row r="76" spans="1:47" ht="15" customHeight="1" x14ac:dyDescent="0.25">
      <c r="A76" s="245">
        <f t="shared" si="7"/>
        <v>76</v>
      </c>
      <c r="B76" s="246" t="str">
        <f t="shared" ref="B76:B139" si="8">IF(ROW(A76)-(ROW($A$12))&lt;$B$10,$B$9,"")</f>
        <v>Oil Field - Tank</v>
      </c>
      <c r="C76" s="246" t="str">
        <f ca="1">IF(B76="","",VLOOKUP(D76,'Species Data'!B:E,4,FALSE))</f>
        <v>methcychex</v>
      </c>
      <c r="D76" s="246">
        <f t="shared" ca="1" si="1"/>
        <v>550</v>
      </c>
      <c r="E76" s="246">
        <f t="shared" ca="1" si="2"/>
        <v>1.3402000000000001</v>
      </c>
      <c r="F76" s="246" t="str">
        <f t="shared" ca="1" si="3"/>
        <v>Methylcyclohexane</v>
      </c>
      <c r="G76" s="246">
        <f t="shared" ca="1" si="4"/>
        <v>98.186059999999998</v>
      </c>
      <c r="H76" s="204">
        <f ca="1">IF(G76="","",IF(VLOOKUP(Tank!F76,'Species Data'!D:F,3,FALSE)=0,"X",IF(G76&lt;44.1,2,1)))</f>
        <v>1</v>
      </c>
      <c r="I76" s="204">
        <f t="shared" ca="1" si="5"/>
        <v>0.52063166473064815</v>
      </c>
      <c r="J76" s="247">
        <f ca="1">IF(I76="","",IF(COUNTIF($D$12:D76,D76)=1,IF(H76=1,I76*H76,IF(H76="X","X",0)),0))</f>
        <v>0</v>
      </c>
      <c r="K76" s="248">
        <f t="shared" ca="1" si="6"/>
        <v>0</v>
      </c>
      <c r="L76" s="212" t="s">
        <v>679</v>
      </c>
      <c r="M76" s="212" t="s">
        <v>448</v>
      </c>
      <c r="N76" s="212" t="s">
        <v>470</v>
      </c>
      <c r="O76" s="213">
        <v>41419</v>
      </c>
      <c r="P76" s="212" t="s">
        <v>531</v>
      </c>
      <c r="Q76" s="214">
        <v>100</v>
      </c>
      <c r="R76" s="212" t="s">
        <v>445</v>
      </c>
      <c r="S76" s="212" t="s">
        <v>532</v>
      </c>
      <c r="T76" s="212" t="s">
        <v>445</v>
      </c>
      <c r="U76" s="212" t="s">
        <v>446</v>
      </c>
      <c r="V76" s="214" t="b">
        <v>1</v>
      </c>
      <c r="W76" s="214">
        <v>1989</v>
      </c>
      <c r="X76" s="214">
        <v>5</v>
      </c>
      <c r="Y76" s="214">
        <v>2</v>
      </c>
      <c r="Z76" s="214">
        <v>4</v>
      </c>
      <c r="AA76" s="212" t="s">
        <v>447</v>
      </c>
      <c r="AB76" s="212" t="s">
        <v>531</v>
      </c>
      <c r="AC76" s="212" t="s">
        <v>533</v>
      </c>
      <c r="AD76" s="214">
        <v>1.2714300000000001</v>
      </c>
      <c r="AE76" s="214">
        <v>550</v>
      </c>
      <c r="AF76" s="214">
        <v>1.3402000000000001</v>
      </c>
      <c r="AG76" s="214">
        <v>-99</v>
      </c>
      <c r="AH76" s="212" t="s">
        <v>224</v>
      </c>
      <c r="AI76" s="212" t="s">
        <v>449</v>
      </c>
      <c r="AJ76" s="212" t="s">
        <v>348</v>
      </c>
      <c r="AK76" s="212" t="s">
        <v>531</v>
      </c>
      <c r="AL76" s="212" t="s">
        <v>396</v>
      </c>
      <c r="AM76" s="214" t="b">
        <v>1</v>
      </c>
      <c r="AN76" s="214" t="b">
        <v>0</v>
      </c>
      <c r="AO76" s="212" t="s">
        <v>349</v>
      </c>
      <c r="AP76" s="212" t="s">
        <v>350</v>
      </c>
      <c r="AQ76" s="214">
        <v>98.186059999999998</v>
      </c>
      <c r="AR76" s="214" t="b">
        <v>0</v>
      </c>
      <c r="AS76" s="212" t="s">
        <v>534</v>
      </c>
      <c r="AU76" s="222" t="s">
        <v>819</v>
      </c>
    </row>
    <row r="77" spans="1:47" x14ac:dyDescent="0.25">
      <c r="A77" s="245">
        <f t="shared" si="7"/>
        <v>77</v>
      </c>
      <c r="B77" s="246" t="str">
        <f t="shared" si="8"/>
        <v>Oil Field - Tank</v>
      </c>
      <c r="C77" s="246" t="str">
        <f ca="1">IF(B77="","",VLOOKUP(D77,'Species Data'!B:E,4,FALSE))</f>
        <v>methcycpen</v>
      </c>
      <c r="D77" s="246">
        <f t="shared" ref="D77:D140" ca="1" si="9">IF(B77="","",INDIRECT("AE"&amp;$A77))</f>
        <v>551</v>
      </c>
      <c r="E77" s="246">
        <f t="shared" ref="E77:E140" ca="1" si="10">IF(D77="","",INDIRECT("AF"&amp;$A77))</f>
        <v>2.7692999999999999</v>
      </c>
      <c r="F77" s="246" t="str">
        <f t="shared" ref="F77:F140" ca="1" si="11">IF(E77="","",INDIRECT("AO"&amp;$A77))</f>
        <v>Methylcyclopentane</v>
      </c>
      <c r="G77" s="246">
        <f t="shared" ref="G77:G140" ca="1" si="12">IF(F77="","",INDIRECT("AQ"&amp;$A77))</f>
        <v>84.159480000000002</v>
      </c>
      <c r="H77" s="204">
        <f ca="1">IF(G77="","",IF(VLOOKUP(Tank!F77,'Species Data'!D:F,3,FALSE)=0,"X",IF(G77&lt;44.1,2,1)))</f>
        <v>1</v>
      </c>
      <c r="I77" s="204">
        <f t="shared" ref="I77:I140" ca="1" si="13">IF(H77="","",SUMIF(D:D,D77,E:E)/($E$9/100))</f>
        <v>1.4788275300776224</v>
      </c>
      <c r="J77" s="247">
        <f ca="1">IF(I77="","",IF(COUNTIF($D$12:D77,D77)=1,IF(H77=1,I77*H77,IF(H77="X","X",0)),0))</f>
        <v>0</v>
      </c>
      <c r="K77" s="248">
        <f t="shared" ref="K77:K140" ca="1" si="14">IF(J77="","",IF(J77="X",0,J77/$J$9*100))</f>
        <v>0</v>
      </c>
      <c r="L77" s="212" t="s">
        <v>679</v>
      </c>
      <c r="M77" s="212" t="s">
        <v>448</v>
      </c>
      <c r="N77" s="212" t="s">
        <v>470</v>
      </c>
      <c r="O77" s="213">
        <v>41419</v>
      </c>
      <c r="P77" s="212" t="s">
        <v>531</v>
      </c>
      <c r="Q77" s="214">
        <v>100</v>
      </c>
      <c r="R77" s="212" t="s">
        <v>445</v>
      </c>
      <c r="S77" s="212" t="s">
        <v>532</v>
      </c>
      <c r="T77" s="212" t="s">
        <v>445</v>
      </c>
      <c r="U77" s="212" t="s">
        <v>446</v>
      </c>
      <c r="V77" s="214" t="b">
        <v>1</v>
      </c>
      <c r="W77" s="214">
        <v>1989</v>
      </c>
      <c r="X77" s="214">
        <v>5</v>
      </c>
      <c r="Y77" s="214">
        <v>2</v>
      </c>
      <c r="Z77" s="214">
        <v>4</v>
      </c>
      <c r="AA77" s="212" t="s">
        <v>447</v>
      </c>
      <c r="AB77" s="212" t="s">
        <v>531</v>
      </c>
      <c r="AC77" s="212" t="s">
        <v>533</v>
      </c>
      <c r="AD77" s="214">
        <v>1.2714300000000001</v>
      </c>
      <c r="AE77" s="214">
        <v>551</v>
      </c>
      <c r="AF77" s="214">
        <v>2.7692999999999999</v>
      </c>
      <c r="AG77" s="214">
        <v>-99</v>
      </c>
      <c r="AH77" s="212" t="s">
        <v>224</v>
      </c>
      <c r="AI77" s="212" t="s">
        <v>449</v>
      </c>
      <c r="AJ77" s="212" t="s">
        <v>351</v>
      </c>
      <c r="AK77" s="212" t="s">
        <v>531</v>
      </c>
      <c r="AL77" s="212" t="s">
        <v>397</v>
      </c>
      <c r="AM77" s="214" t="b">
        <v>1</v>
      </c>
      <c r="AN77" s="214" t="b">
        <v>0</v>
      </c>
      <c r="AO77" s="212" t="s">
        <v>352</v>
      </c>
      <c r="AP77" s="212" t="s">
        <v>353</v>
      </c>
      <c r="AQ77" s="214">
        <v>84.159480000000002</v>
      </c>
      <c r="AR77" s="214" t="b">
        <v>0</v>
      </c>
      <c r="AS77" s="212" t="s">
        <v>534</v>
      </c>
      <c r="AU77" s="222" t="s">
        <v>819</v>
      </c>
    </row>
    <row r="78" spans="1:47" ht="15" customHeight="1" x14ac:dyDescent="0.25">
      <c r="A78" s="245">
        <f t="shared" ref="A78:A141" si="15">IF(B78="","",A77+1)</f>
        <v>78</v>
      </c>
      <c r="B78" s="246" t="str">
        <f t="shared" si="8"/>
        <v>Oil Field - Tank</v>
      </c>
      <c r="C78" s="246" t="str">
        <f ca="1">IF(B78="","",VLOOKUP(D78,'Species Data'!B:E,4,FALSE))</f>
        <v>N_but</v>
      </c>
      <c r="D78" s="246">
        <f t="shared" ca="1" si="9"/>
        <v>592</v>
      </c>
      <c r="E78" s="246">
        <f t="shared" ca="1" si="10"/>
        <v>17.307200000000002</v>
      </c>
      <c r="F78" s="246" t="str">
        <f t="shared" ca="1" si="11"/>
        <v>N-butane</v>
      </c>
      <c r="G78" s="246">
        <f t="shared" ca="1" si="12"/>
        <v>58.122199999999992</v>
      </c>
      <c r="H78" s="204">
        <f ca="1">IF(G78="","",IF(VLOOKUP(Tank!F78,'Species Data'!D:F,3,FALSE)=0,"X",IF(G78&lt;44.1,2,1)))</f>
        <v>1</v>
      </c>
      <c r="I78" s="204">
        <f t="shared" ca="1" si="13"/>
        <v>8.8589583793337763</v>
      </c>
      <c r="J78" s="247">
        <f ca="1">IF(I78="","",IF(COUNTIF($D$12:D78,D78)=1,IF(H78=1,I78*H78,IF(H78="X","X",0)),0))</f>
        <v>0</v>
      </c>
      <c r="K78" s="248">
        <f t="shared" ca="1" si="14"/>
        <v>0</v>
      </c>
      <c r="L78" s="212" t="s">
        <v>679</v>
      </c>
      <c r="M78" s="212" t="s">
        <v>448</v>
      </c>
      <c r="N78" s="212" t="s">
        <v>470</v>
      </c>
      <c r="O78" s="213">
        <v>41419</v>
      </c>
      <c r="P78" s="212" t="s">
        <v>531</v>
      </c>
      <c r="Q78" s="214">
        <v>100</v>
      </c>
      <c r="R78" s="212" t="s">
        <v>445</v>
      </c>
      <c r="S78" s="212" t="s">
        <v>532</v>
      </c>
      <c r="T78" s="212" t="s">
        <v>445</v>
      </c>
      <c r="U78" s="212" t="s">
        <v>446</v>
      </c>
      <c r="V78" s="214" t="b">
        <v>1</v>
      </c>
      <c r="W78" s="214">
        <v>1989</v>
      </c>
      <c r="X78" s="214">
        <v>5</v>
      </c>
      <c r="Y78" s="214">
        <v>2</v>
      </c>
      <c r="Z78" s="214">
        <v>4</v>
      </c>
      <c r="AA78" s="212" t="s">
        <v>447</v>
      </c>
      <c r="AB78" s="212" t="s">
        <v>531</v>
      </c>
      <c r="AC78" s="212" t="s">
        <v>533</v>
      </c>
      <c r="AD78" s="214">
        <v>1.2714300000000001</v>
      </c>
      <c r="AE78" s="214">
        <v>592</v>
      </c>
      <c r="AF78" s="214">
        <v>17.307200000000002</v>
      </c>
      <c r="AG78" s="214">
        <v>-99</v>
      </c>
      <c r="AH78" s="212" t="s">
        <v>224</v>
      </c>
      <c r="AI78" s="212" t="s">
        <v>449</v>
      </c>
      <c r="AJ78" s="212" t="s">
        <v>273</v>
      </c>
      <c r="AK78" s="212" t="s">
        <v>531</v>
      </c>
      <c r="AL78" s="212" t="s">
        <v>377</v>
      </c>
      <c r="AM78" s="214" t="b">
        <v>1</v>
      </c>
      <c r="AN78" s="214" t="b">
        <v>0</v>
      </c>
      <c r="AO78" s="212" t="s">
        <v>274</v>
      </c>
      <c r="AP78" s="212" t="s">
        <v>275</v>
      </c>
      <c r="AQ78" s="214">
        <v>58.122199999999992</v>
      </c>
      <c r="AR78" s="214" t="b">
        <v>0</v>
      </c>
      <c r="AS78" s="212" t="s">
        <v>534</v>
      </c>
      <c r="AU78" s="222" t="s">
        <v>819</v>
      </c>
    </row>
    <row r="79" spans="1:47" x14ac:dyDescent="0.25">
      <c r="A79" s="245">
        <f t="shared" si="15"/>
        <v>79</v>
      </c>
      <c r="B79" s="246" t="str">
        <f t="shared" si="8"/>
        <v>Oil Field - Tank</v>
      </c>
      <c r="C79" s="246" t="str">
        <f ca="1">IF(B79="","",VLOOKUP(D79,'Species Data'!B:E,4,FALSE))</f>
        <v>N_hep</v>
      </c>
      <c r="D79" s="246">
        <f t="shared" ca="1" si="9"/>
        <v>600</v>
      </c>
      <c r="E79" s="246">
        <f t="shared" ca="1" si="10"/>
        <v>1.0451999999999999</v>
      </c>
      <c r="F79" s="246" t="str">
        <f t="shared" ca="1" si="11"/>
        <v>N-heptane</v>
      </c>
      <c r="G79" s="246">
        <f t="shared" ca="1" si="12"/>
        <v>100.20194000000001</v>
      </c>
      <c r="H79" s="204">
        <f ca="1">IF(G79="","",IF(VLOOKUP(Tank!F79,'Species Data'!D:F,3,FALSE)=0,"X",IF(G79&lt;44.1,2,1)))</f>
        <v>1</v>
      </c>
      <c r="I79" s="204">
        <f t="shared" ca="1" si="13"/>
        <v>0.55093195561344066</v>
      </c>
      <c r="J79" s="247">
        <f ca="1">IF(I79="","",IF(COUNTIF($D$12:D79,D79)=1,IF(H79=1,I79*H79,IF(H79="X","X",0)),0))</f>
        <v>0</v>
      </c>
      <c r="K79" s="248">
        <f t="shared" ca="1" si="14"/>
        <v>0</v>
      </c>
      <c r="L79" s="212" t="s">
        <v>679</v>
      </c>
      <c r="M79" s="212" t="s">
        <v>448</v>
      </c>
      <c r="N79" s="212" t="s">
        <v>470</v>
      </c>
      <c r="O79" s="213">
        <v>41419</v>
      </c>
      <c r="P79" s="212" t="s">
        <v>531</v>
      </c>
      <c r="Q79" s="214">
        <v>100</v>
      </c>
      <c r="R79" s="212" t="s">
        <v>445</v>
      </c>
      <c r="S79" s="212" t="s">
        <v>532</v>
      </c>
      <c r="T79" s="212" t="s">
        <v>445</v>
      </c>
      <c r="U79" s="212" t="s">
        <v>446</v>
      </c>
      <c r="V79" s="214" t="b">
        <v>1</v>
      </c>
      <c r="W79" s="214">
        <v>1989</v>
      </c>
      <c r="X79" s="214">
        <v>5</v>
      </c>
      <c r="Y79" s="214">
        <v>2</v>
      </c>
      <c r="Z79" s="214">
        <v>4</v>
      </c>
      <c r="AA79" s="212" t="s">
        <v>447</v>
      </c>
      <c r="AB79" s="212" t="s">
        <v>531</v>
      </c>
      <c r="AC79" s="212" t="s">
        <v>533</v>
      </c>
      <c r="AD79" s="214">
        <v>1.2714300000000001</v>
      </c>
      <c r="AE79" s="214">
        <v>600</v>
      </c>
      <c r="AF79" s="214">
        <v>1.0451999999999999</v>
      </c>
      <c r="AG79" s="214">
        <v>-99</v>
      </c>
      <c r="AH79" s="212" t="s">
        <v>224</v>
      </c>
      <c r="AI79" s="212" t="s">
        <v>449</v>
      </c>
      <c r="AJ79" s="212" t="s">
        <v>276</v>
      </c>
      <c r="AK79" s="212" t="s">
        <v>531</v>
      </c>
      <c r="AL79" s="212" t="s">
        <v>378</v>
      </c>
      <c r="AM79" s="214" t="b">
        <v>1</v>
      </c>
      <c r="AN79" s="214" t="b">
        <v>0</v>
      </c>
      <c r="AO79" s="212" t="s">
        <v>277</v>
      </c>
      <c r="AP79" s="212" t="s">
        <v>278</v>
      </c>
      <c r="AQ79" s="214">
        <v>100.20194000000001</v>
      </c>
      <c r="AR79" s="214" t="b">
        <v>0</v>
      </c>
      <c r="AS79" s="212" t="s">
        <v>534</v>
      </c>
      <c r="AU79" s="222" t="s">
        <v>819</v>
      </c>
    </row>
    <row r="80" spans="1:47" x14ac:dyDescent="0.25">
      <c r="A80" s="245">
        <f t="shared" si="15"/>
        <v>80</v>
      </c>
      <c r="B80" s="246" t="str">
        <f t="shared" si="8"/>
        <v>Oil Field - Tank</v>
      </c>
      <c r="C80" s="246" t="str">
        <f ca="1">IF(B80="","",VLOOKUP(D80,'Species Data'!B:E,4,FALSE))</f>
        <v>N_hex</v>
      </c>
      <c r="D80" s="246">
        <f t="shared" ca="1" si="9"/>
        <v>601</v>
      </c>
      <c r="E80" s="246">
        <f t="shared" ca="1" si="10"/>
        <v>3.2012</v>
      </c>
      <c r="F80" s="246" t="str">
        <f t="shared" ca="1" si="11"/>
        <v>N-hexane</v>
      </c>
      <c r="G80" s="246">
        <f t="shared" ca="1" si="12"/>
        <v>86.175359999999998</v>
      </c>
      <c r="H80" s="204">
        <f ca="1">IF(G80="","",IF(VLOOKUP(Tank!F80,'Species Data'!D:F,3,FALSE)=0,"X",IF(G80&lt;44.1,2,1)))</f>
        <v>1</v>
      </c>
      <c r="I80" s="204">
        <f t="shared" ca="1" si="13"/>
        <v>1.4244870084086145</v>
      </c>
      <c r="J80" s="247">
        <f ca="1">IF(I80="","",IF(COUNTIF($D$12:D80,D80)=1,IF(H80=1,I80*H80,IF(H80="X","X",0)),0))</f>
        <v>0</v>
      </c>
      <c r="K80" s="248">
        <f t="shared" ca="1" si="14"/>
        <v>0</v>
      </c>
      <c r="L80" s="212" t="s">
        <v>679</v>
      </c>
      <c r="M80" s="212" t="s">
        <v>448</v>
      </c>
      <c r="N80" s="212" t="s">
        <v>470</v>
      </c>
      <c r="O80" s="213">
        <v>41419</v>
      </c>
      <c r="P80" s="212" t="s">
        <v>531</v>
      </c>
      <c r="Q80" s="214">
        <v>100</v>
      </c>
      <c r="R80" s="212" t="s">
        <v>445</v>
      </c>
      <c r="S80" s="212" t="s">
        <v>532</v>
      </c>
      <c r="T80" s="212" t="s">
        <v>445</v>
      </c>
      <c r="U80" s="212" t="s">
        <v>446</v>
      </c>
      <c r="V80" s="214" t="b">
        <v>1</v>
      </c>
      <c r="W80" s="214">
        <v>1989</v>
      </c>
      <c r="X80" s="214">
        <v>5</v>
      </c>
      <c r="Y80" s="214">
        <v>2</v>
      </c>
      <c r="Z80" s="214">
        <v>4</v>
      </c>
      <c r="AA80" s="212" t="s">
        <v>447</v>
      </c>
      <c r="AB80" s="212" t="s">
        <v>531</v>
      </c>
      <c r="AC80" s="212" t="s">
        <v>533</v>
      </c>
      <c r="AD80" s="214">
        <v>1.2714300000000001</v>
      </c>
      <c r="AE80" s="214">
        <v>601</v>
      </c>
      <c r="AF80" s="214">
        <v>3.2012</v>
      </c>
      <c r="AG80" s="214">
        <v>-99</v>
      </c>
      <c r="AH80" s="212" t="s">
        <v>224</v>
      </c>
      <c r="AI80" s="212" t="s">
        <v>449</v>
      </c>
      <c r="AJ80" s="212" t="s">
        <v>279</v>
      </c>
      <c r="AK80" s="212" t="s">
        <v>531</v>
      </c>
      <c r="AL80" s="212" t="s">
        <v>379</v>
      </c>
      <c r="AM80" s="214" t="b">
        <v>1</v>
      </c>
      <c r="AN80" s="214" t="b">
        <v>1</v>
      </c>
      <c r="AO80" s="212" t="s">
        <v>280</v>
      </c>
      <c r="AP80" s="212" t="s">
        <v>281</v>
      </c>
      <c r="AQ80" s="214">
        <v>86.175359999999998</v>
      </c>
      <c r="AR80" s="214" t="b">
        <v>0</v>
      </c>
      <c r="AS80" s="212" t="s">
        <v>534</v>
      </c>
      <c r="AU80" s="222" t="s">
        <v>819</v>
      </c>
    </row>
    <row r="81" spans="1:47" x14ac:dyDescent="0.25">
      <c r="A81" s="245">
        <f t="shared" si="15"/>
        <v>81</v>
      </c>
      <c r="B81" s="246" t="str">
        <f t="shared" si="8"/>
        <v>Oil Field - Tank</v>
      </c>
      <c r="C81" s="246" t="str">
        <f ca="1">IF(B81="","",VLOOKUP(D81,'Species Data'!B:E,4,FALSE))</f>
        <v>N_nonane</v>
      </c>
      <c r="D81" s="246">
        <f t="shared" ca="1" si="9"/>
        <v>603</v>
      </c>
      <c r="E81" s="246">
        <f t="shared" ca="1" si="10"/>
        <v>4.7100000000000003E-2</v>
      </c>
      <c r="F81" s="246" t="str">
        <f t="shared" ca="1" si="11"/>
        <v>N-nonane</v>
      </c>
      <c r="G81" s="246">
        <f t="shared" ca="1" si="12"/>
        <v>128.2551</v>
      </c>
      <c r="H81" s="204">
        <f ca="1">IF(G81="","",IF(VLOOKUP(Tank!F81,'Species Data'!D:F,3,FALSE)=0,"X",IF(G81&lt;44.1,2,1)))</f>
        <v>1</v>
      </c>
      <c r="I81" s="204">
        <f t="shared" ca="1" si="13"/>
        <v>6.0467247152239355E-2</v>
      </c>
      <c r="J81" s="247">
        <f ca="1">IF(I81="","",IF(COUNTIF($D$12:D81,D81)=1,IF(H81=1,I81*H81,IF(H81="X","X",0)),0))</f>
        <v>0</v>
      </c>
      <c r="K81" s="248">
        <f t="shared" ca="1" si="14"/>
        <v>0</v>
      </c>
      <c r="L81" s="212" t="s">
        <v>679</v>
      </c>
      <c r="M81" s="212" t="s">
        <v>448</v>
      </c>
      <c r="N81" s="212" t="s">
        <v>470</v>
      </c>
      <c r="O81" s="213">
        <v>41419</v>
      </c>
      <c r="P81" s="212" t="s">
        <v>531</v>
      </c>
      <c r="Q81" s="214">
        <v>100</v>
      </c>
      <c r="R81" s="212" t="s">
        <v>445</v>
      </c>
      <c r="S81" s="212" t="s">
        <v>532</v>
      </c>
      <c r="T81" s="212" t="s">
        <v>445</v>
      </c>
      <c r="U81" s="212" t="s">
        <v>446</v>
      </c>
      <c r="V81" s="214" t="b">
        <v>1</v>
      </c>
      <c r="W81" s="214">
        <v>1989</v>
      </c>
      <c r="X81" s="214">
        <v>5</v>
      </c>
      <c r="Y81" s="214">
        <v>2</v>
      </c>
      <c r="Z81" s="214">
        <v>4</v>
      </c>
      <c r="AA81" s="212" t="s">
        <v>447</v>
      </c>
      <c r="AB81" s="212" t="s">
        <v>531</v>
      </c>
      <c r="AC81" s="212" t="s">
        <v>533</v>
      </c>
      <c r="AD81" s="214">
        <v>1.2714300000000001</v>
      </c>
      <c r="AE81" s="214">
        <v>603</v>
      </c>
      <c r="AF81" s="214">
        <v>4.7100000000000003E-2</v>
      </c>
      <c r="AG81" s="214">
        <v>-99</v>
      </c>
      <c r="AH81" s="212" t="s">
        <v>224</v>
      </c>
      <c r="AI81" s="212" t="s">
        <v>449</v>
      </c>
      <c r="AJ81" s="212" t="s">
        <v>417</v>
      </c>
      <c r="AK81" s="212" t="s">
        <v>531</v>
      </c>
      <c r="AL81" s="212" t="s">
        <v>453</v>
      </c>
      <c r="AM81" s="214" t="b">
        <v>1</v>
      </c>
      <c r="AN81" s="214" t="b">
        <v>0</v>
      </c>
      <c r="AO81" s="212" t="s">
        <v>418</v>
      </c>
      <c r="AP81" s="212" t="s">
        <v>419</v>
      </c>
      <c r="AQ81" s="214">
        <v>128.2551</v>
      </c>
      <c r="AR81" s="214" t="b">
        <v>0</v>
      </c>
      <c r="AS81" s="212" t="s">
        <v>534</v>
      </c>
      <c r="AU81" s="222" t="s">
        <v>819</v>
      </c>
    </row>
    <row r="82" spans="1:47" x14ac:dyDescent="0.25">
      <c r="A82" s="245">
        <f t="shared" si="15"/>
        <v>82</v>
      </c>
      <c r="B82" s="246" t="str">
        <f t="shared" si="8"/>
        <v>Oil Field - Tank</v>
      </c>
      <c r="C82" s="246" t="str">
        <f ca="1">IF(B82="","",VLOOKUP(D82,'Species Data'!B:E,4,FALSE))</f>
        <v>N_octane</v>
      </c>
      <c r="D82" s="246">
        <f t="shared" ca="1" si="9"/>
        <v>604</v>
      </c>
      <c r="E82" s="246">
        <f t="shared" ca="1" si="10"/>
        <v>0.2394</v>
      </c>
      <c r="F82" s="246" t="str">
        <f t="shared" ca="1" si="11"/>
        <v>N-octane</v>
      </c>
      <c r="G82" s="246">
        <f t="shared" ca="1" si="12"/>
        <v>114.22852</v>
      </c>
      <c r="H82" s="204">
        <f ca="1">IF(G82="","",IF(VLOOKUP(Tank!F82,'Species Data'!D:F,3,FALSE)=0,"X",IF(G82&lt;44.1,2,1)))</f>
        <v>1</v>
      </c>
      <c r="I82" s="204">
        <f t="shared" ca="1" si="13"/>
        <v>0.21590207265989761</v>
      </c>
      <c r="J82" s="247">
        <f ca="1">IF(I82="","",IF(COUNTIF($D$12:D82,D82)=1,IF(H82=1,I82*H82,IF(H82="X","X",0)),0))</f>
        <v>0</v>
      </c>
      <c r="K82" s="248">
        <f t="shared" ca="1" si="14"/>
        <v>0</v>
      </c>
      <c r="L82" s="212" t="s">
        <v>679</v>
      </c>
      <c r="M82" s="212" t="s">
        <v>448</v>
      </c>
      <c r="N82" s="212" t="s">
        <v>470</v>
      </c>
      <c r="O82" s="213">
        <v>41419</v>
      </c>
      <c r="P82" s="212" t="s">
        <v>531</v>
      </c>
      <c r="Q82" s="214">
        <v>100</v>
      </c>
      <c r="R82" s="212" t="s">
        <v>445</v>
      </c>
      <c r="S82" s="212" t="s">
        <v>532</v>
      </c>
      <c r="T82" s="212" t="s">
        <v>445</v>
      </c>
      <c r="U82" s="212" t="s">
        <v>446</v>
      </c>
      <c r="V82" s="214" t="b">
        <v>1</v>
      </c>
      <c r="W82" s="214">
        <v>1989</v>
      </c>
      <c r="X82" s="214">
        <v>5</v>
      </c>
      <c r="Y82" s="214">
        <v>2</v>
      </c>
      <c r="Z82" s="214">
        <v>4</v>
      </c>
      <c r="AA82" s="212" t="s">
        <v>447</v>
      </c>
      <c r="AB82" s="212" t="s">
        <v>531</v>
      </c>
      <c r="AC82" s="212" t="s">
        <v>533</v>
      </c>
      <c r="AD82" s="214">
        <v>1.2714300000000001</v>
      </c>
      <c r="AE82" s="214">
        <v>604</v>
      </c>
      <c r="AF82" s="214">
        <v>0.2394</v>
      </c>
      <c r="AG82" s="214">
        <v>-99</v>
      </c>
      <c r="AH82" s="212" t="s">
        <v>224</v>
      </c>
      <c r="AI82" s="212" t="s">
        <v>449</v>
      </c>
      <c r="AJ82" s="212" t="s">
        <v>282</v>
      </c>
      <c r="AK82" s="212" t="s">
        <v>531</v>
      </c>
      <c r="AL82" s="212" t="s">
        <v>380</v>
      </c>
      <c r="AM82" s="214" t="b">
        <v>1</v>
      </c>
      <c r="AN82" s="214" t="b">
        <v>0</v>
      </c>
      <c r="AO82" s="212" t="s">
        <v>283</v>
      </c>
      <c r="AP82" s="212" t="s">
        <v>284</v>
      </c>
      <c r="AQ82" s="214">
        <v>114.22852</v>
      </c>
      <c r="AR82" s="214" t="b">
        <v>0</v>
      </c>
      <c r="AS82" s="212" t="s">
        <v>534</v>
      </c>
      <c r="AU82" s="222" t="s">
        <v>819</v>
      </c>
    </row>
    <row r="83" spans="1:47" x14ac:dyDescent="0.25">
      <c r="A83" s="245">
        <f t="shared" si="15"/>
        <v>83</v>
      </c>
      <c r="B83" s="246" t="str">
        <f t="shared" si="8"/>
        <v>Oil Field - Tank</v>
      </c>
      <c r="C83" s="246" t="str">
        <f ca="1">IF(B83="","",VLOOKUP(D83,'Species Data'!B:E,4,FALSE))</f>
        <v>N_pentane</v>
      </c>
      <c r="D83" s="246">
        <f t="shared" ca="1" si="9"/>
        <v>605</v>
      </c>
      <c r="E83" s="246">
        <f t="shared" ca="1" si="10"/>
        <v>3.2145999999999999</v>
      </c>
      <c r="F83" s="246" t="str">
        <f t="shared" ca="1" si="11"/>
        <v>N-pentane</v>
      </c>
      <c r="G83" s="246">
        <f t="shared" ca="1" si="12"/>
        <v>72.148780000000002</v>
      </c>
      <c r="H83" s="204">
        <f ca="1">IF(G83="","",IF(VLOOKUP(Tank!F83,'Species Data'!D:F,3,FALSE)=0,"X",IF(G83&lt;44.1,2,1)))</f>
        <v>1</v>
      </c>
      <c r="I83" s="204">
        <f t="shared" ca="1" si="13"/>
        <v>3.2465311666992012</v>
      </c>
      <c r="J83" s="247">
        <f ca="1">IF(I83="","",IF(COUNTIF($D$12:D83,D83)=1,IF(H83=1,I83*H83,IF(H83="X","X",0)),0))</f>
        <v>0</v>
      </c>
      <c r="K83" s="248">
        <f t="shared" ca="1" si="14"/>
        <v>0</v>
      </c>
      <c r="L83" s="212" t="s">
        <v>679</v>
      </c>
      <c r="M83" s="212" t="s">
        <v>448</v>
      </c>
      <c r="N83" s="212" t="s">
        <v>470</v>
      </c>
      <c r="O83" s="213">
        <v>41419</v>
      </c>
      <c r="P83" s="212" t="s">
        <v>531</v>
      </c>
      <c r="Q83" s="214">
        <v>100</v>
      </c>
      <c r="R83" s="212" t="s">
        <v>445</v>
      </c>
      <c r="S83" s="212" t="s">
        <v>532</v>
      </c>
      <c r="T83" s="212" t="s">
        <v>445</v>
      </c>
      <c r="U83" s="212" t="s">
        <v>446</v>
      </c>
      <c r="V83" s="214" t="b">
        <v>1</v>
      </c>
      <c r="W83" s="214">
        <v>1989</v>
      </c>
      <c r="X83" s="214">
        <v>5</v>
      </c>
      <c r="Y83" s="214">
        <v>2</v>
      </c>
      <c r="Z83" s="214">
        <v>4</v>
      </c>
      <c r="AA83" s="212" t="s">
        <v>447</v>
      </c>
      <c r="AB83" s="212" t="s">
        <v>531</v>
      </c>
      <c r="AC83" s="212" t="s">
        <v>533</v>
      </c>
      <c r="AD83" s="214">
        <v>1.2714300000000001</v>
      </c>
      <c r="AE83" s="214">
        <v>605</v>
      </c>
      <c r="AF83" s="214">
        <v>3.2145999999999999</v>
      </c>
      <c r="AG83" s="214">
        <v>-99</v>
      </c>
      <c r="AH83" s="212" t="s">
        <v>224</v>
      </c>
      <c r="AI83" s="212" t="s">
        <v>449</v>
      </c>
      <c r="AJ83" s="212" t="s">
        <v>285</v>
      </c>
      <c r="AK83" s="212" t="s">
        <v>531</v>
      </c>
      <c r="AL83" s="212" t="s">
        <v>381</v>
      </c>
      <c r="AM83" s="214" t="b">
        <v>1</v>
      </c>
      <c r="AN83" s="214" t="b">
        <v>0</v>
      </c>
      <c r="AO83" s="212" t="s">
        <v>286</v>
      </c>
      <c r="AP83" s="212" t="s">
        <v>287</v>
      </c>
      <c r="AQ83" s="214">
        <v>72.148780000000002</v>
      </c>
      <c r="AR83" s="214" t="b">
        <v>0</v>
      </c>
      <c r="AS83" s="212" t="s">
        <v>534</v>
      </c>
      <c r="AU83" s="222" t="s">
        <v>819</v>
      </c>
    </row>
    <row r="84" spans="1:47" x14ac:dyDescent="0.25">
      <c r="A84" s="245">
        <f t="shared" si="15"/>
        <v>84</v>
      </c>
      <c r="B84" s="246" t="str">
        <f t="shared" si="8"/>
        <v>Oil Field - Tank</v>
      </c>
      <c r="C84" s="246" t="str">
        <f ca="1">IF(B84="","",VLOOKUP(D84,'Species Data'!B:E,4,FALSE))</f>
        <v>O_xylene</v>
      </c>
      <c r="D84" s="246">
        <f t="shared" ca="1" si="9"/>
        <v>620</v>
      </c>
      <c r="E84" s="246">
        <f t="shared" ca="1" si="10"/>
        <v>3.2500000000000001E-2</v>
      </c>
      <c r="F84" s="246" t="str">
        <f t="shared" ca="1" si="11"/>
        <v>O-xylene</v>
      </c>
      <c r="G84" s="246">
        <f t="shared" ca="1" si="12"/>
        <v>106.16500000000001</v>
      </c>
      <c r="H84" s="204">
        <f ca="1">IF(G84="","",IF(VLOOKUP(Tank!F84,'Species Data'!D:F,3,FALSE)=0,"X",IF(G84&lt;44.1,2,1)))</f>
        <v>1</v>
      </c>
      <c r="I84" s="204">
        <f t="shared" ca="1" si="13"/>
        <v>5.0080480772615434E-2</v>
      </c>
      <c r="J84" s="247">
        <f ca="1">IF(I84="","",IF(COUNTIF($D$12:D84,D84)=1,IF(H84=1,I84*H84,IF(H84="X","X",0)),0))</f>
        <v>0</v>
      </c>
      <c r="K84" s="248">
        <f t="shared" ca="1" si="14"/>
        <v>0</v>
      </c>
      <c r="L84" s="212" t="s">
        <v>679</v>
      </c>
      <c r="M84" s="212" t="s">
        <v>448</v>
      </c>
      <c r="N84" s="212" t="s">
        <v>470</v>
      </c>
      <c r="O84" s="213">
        <v>41419</v>
      </c>
      <c r="P84" s="212" t="s">
        <v>531</v>
      </c>
      <c r="Q84" s="214">
        <v>100</v>
      </c>
      <c r="R84" s="212" t="s">
        <v>445</v>
      </c>
      <c r="S84" s="212" t="s">
        <v>532</v>
      </c>
      <c r="T84" s="212" t="s">
        <v>445</v>
      </c>
      <c r="U84" s="212" t="s">
        <v>446</v>
      </c>
      <c r="V84" s="214" t="b">
        <v>1</v>
      </c>
      <c r="W84" s="214">
        <v>1989</v>
      </c>
      <c r="X84" s="214">
        <v>5</v>
      </c>
      <c r="Y84" s="214">
        <v>2</v>
      </c>
      <c r="Z84" s="214">
        <v>4</v>
      </c>
      <c r="AA84" s="212" t="s">
        <v>447</v>
      </c>
      <c r="AB84" s="212" t="s">
        <v>531</v>
      </c>
      <c r="AC84" s="212" t="s">
        <v>533</v>
      </c>
      <c r="AD84" s="214">
        <v>1.2714300000000001</v>
      </c>
      <c r="AE84" s="214">
        <v>620</v>
      </c>
      <c r="AF84" s="214">
        <v>3.2500000000000001E-2</v>
      </c>
      <c r="AG84" s="214">
        <v>-99</v>
      </c>
      <c r="AH84" s="212" t="s">
        <v>224</v>
      </c>
      <c r="AI84" s="212" t="s">
        <v>449</v>
      </c>
      <c r="AJ84" s="212" t="s">
        <v>354</v>
      </c>
      <c r="AK84" s="212" t="s">
        <v>531</v>
      </c>
      <c r="AL84" s="212" t="s">
        <v>398</v>
      </c>
      <c r="AM84" s="214" t="b">
        <v>1</v>
      </c>
      <c r="AN84" s="214" t="b">
        <v>1</v>
      </c>
      <c r="AO84" s="212" t="s">
        <v>355</v>
      </c>
      <c r="AP84" s="212" t="s">
        <v>356</v>
      </c>
      <c r="AQ84" s="214">
        <v>106.16500000000001</v>
      </c>
      <c r="AR84" s="214" t="b">
        <v>0</v>
      </c>
      <c r="AS84" s="212" t="s">
        <v>534</v>
      </c>
      <c r="AU84" s="222" t="s">
        <v>819</v>
      </c>
    </row>
    <row r="85" spans="1:47" x14ac:dyDescent="0.25">
      <c r="A85" s="245">
        <f t="shared" si="15"/>
        <v>85</v>
      </c>
      <c r="B85" s="246" t="str">
        <f t="shared" si="8"/>
        <v>Oil Field - Tank</v>
      </c>
      <c r="C85" s="246" t="str">
        <f ca="1">IF(B85="","",VLOOKUP(D85,'Species Data'!B:E,4,FALSE))</f>
        <v>P_xylene</v>
      </c>
      <c r="D85" s="246">
        <f t="shared" ca="1" si="9"/>
        <v>648</v>
      </c>
      <c r="E85" s="246">
        <f t="shared" ca="1" si="10"/>
        <v>3.0599999999999999E-2</v>
      </c>
      <c r="F85" s="246" t="str">
        <f t="shared" ca="1" si="11"/>
        <v>P-xylene</v>
      </c>
      <c r="G85" s="246">
        <f t="shared" ca="1" si="12"/>
        <v>106.16500000000001</v>
      </c>
      <c r="H85" s="204">
        <f ca="1">IF(G85="","",IF(VLOOKUP(Tank!F85,'Species Data'!D:F,3,FALSE)=0,"X",IF(G85&lt;44.1,2,1)))</f>
        <v>1</v>
      </c>
      <c r="I85" s="204">
        <f t="shared" ca="1" si="13"/>
        <v>8.2000787207557213E-2</v>
      </c>
      <c r="J85" s="247">
        <f ca="1">IF(I85="","",IF(COUNTIF($D$12:D85,D85)=1,IF(H85=1,I85*H85,IF(H85="X","X",0)),0))</f>
        <v>0</v>
      </c>
      <c r="K85" s="248">
        <f t="shared" ca="1" si="14"/>
        <v>0</v>
      </c>
      <c r="L85" s="212" t="s">
        <v>679</v>
      </c>
      <c r="M85" s="212" t="s">
        <v>448</v>
      </c>
      <c r="N85" s="212" t="s">
        <v>470</v>
      </c>
      <c r="O85" s="213">
        <v>41419</v>
      </c>
      <c r="P85" s="212" t="s">
        <v>531</v>
      </c>
      <c r="Q85" s="214">
        <v>100</v>
      </c>
      <c r="R85" s="212" t="s">
        <v>445</v>
      </c>
      <c r="S85" s="212" t="s">
        <v>532</v>
      </c>
      <c r="T85" s="212" t="s">
        <v>445</v>
      </c>
      <c r="U85" s="212" t="s">
        <v>446</v>
      </c>
      <c r="V85" s="214" t="b">
        <v>1</v>
      </c>
      <c r="W85" s="214">
        <v>1989</v>
      </c>
      <c r="X85" s="214">
        <v>5</v>
      </c>
      <c r="Y85" s="214">
        <v>2</v>
      </c>
      <c r="Z85" s="214">
        <v>4</v>
      </c>
      <c r="AA85" s="212" t="s">
        <v>447</v>
      </c>
      <c r="AB85" s="212" t="s">
        <v>531</v>
      </c>
      <c r="AC85" s="212" t="s">
        <v>533</v>
      </c>
      <c r="AD85" s="214">
        <v>1.2714300000000001</v>
      </c>
      <c r="AE85" s="214">
        <v>648</v>
      </c>
      <c r="AF85" s="214">
        <v>3.0599999999999999E-2</v>
      </c>
      <c r="AG85" s="214">
        <v>-99</v>
      </c>
      <c r="AH85" s="212" t="s">
        <v>224</v>
      </c>
      <c r="AI85" s="212" t="s">
        <v>449</v>
      </c>
      <c r="AJ85" s="212" t="s">
        <v>433</v>
      </c>
      <c r="AK85" s="212" t="s">
        <v>531</v>
      </c>
      <c r="AL85" s="212" t="s">
        <v>459</v>
      </c>
      <c r="AM85" s="214" t="b">
        <v>0</v>
      </c>
      <c r="AN85" s="214" t="b">
        <v>1</v>
      </c>
      <c r="AO85" s="212" t="s">
        <v>434</v>
      </c>
      <c r="AP85" s="212" t="s">
        <v>435</v>
      </c>
      <c r="AQ85" s="214">
        <v>106.16500000000001</v>
      </c>
      <c r="AR85" s="214" t="b">
        <v>0</v>
      </c>
      <c r="AS85" s="212" t="s">
        <v>534</v>
      </c>
      <c r="AU85" s="222" t="s">
        <v>819</v>
      </c>
    </row>
    <row r="86" spans="1:47" x14ac:dyDescent="0.25">
      <c r="A86" s="245">
        <f t="shared" si="15"/>
        <v>86</v>
      </c>
      <c r="B86" s="246" t="str">
        <f t="shared" si="8"/>
        <v>Oil Field - Tank</v>
      </c>
      <c r="C86" s="246" t="str">
        <f ca="1">IF(B86="","",VLOOKUP(D86,'Species Data'!B:E,4,FALSE))</f>
        <v>propane</v>
      </c>
      <c r="D86" s="246">
        <f t="shared" ca="1" si="9"/>
        <v>671</v>
      </c>
      <c r="E86" s="246">
        <f t="shared" ca="1" si="10"/>
        <v>17.0718</v>
      </c>
      <c r="F86" s="246" t="str">
        <f t="shared" ca="1" si="11"/>
        <v>Propane</v>
      </c>
      <c r="G86" s="246">
        <f t="shared" ca="1" si="12"/>
        <v>44.095619999999997</v>
      </c>
      <c r="H86" s="204">
        <f ca="1">IF(G86="","",IF(VLOOKUP(Tank!F86,'Species Data'!D:F,3,FALSE)=0,"X",IF(G86&lt;44.1,2,1)))</f>
        <v>2</v>
      </c>
      <c r="I86" s="204">
        <f t="shared" ca="1" si="13"/>
        <v>10.138737331878389</v>
      </c>
      <c r="J86" s="247">
        <f ca="1">IF(I86="","",IF(COUNTIF($D$12:D86,D86)=1,IF(H86=1,I86*H86,IF(H86="X","X",0)),0))</f>
        <v>0</v>
      </c>
      <c r="K86" s="248">
        <f t="shared" ca="1" si="14"/>
        <v>0</v>
      </c>
      <c r="L86" s="212" t="s">
        <v>679</v>
      </c>
      <c r="M86" s="212" t="s">
        <v>448</v>
      </c>
      <c r="N86" s="212" t="s">
        <v>470</v>
      </c>
      <c r="O86" s="213">
        <v>41419</v>
      </c>
      <c r="P86" s="212" t="s">
        <v>531</v>
      </c>
      <c r="Q86" s="214">
        <v>100</v>
      </c>
      <c r="R86" s="212" t="s">
        <v>445</v>
      </c>
      <c r="S86" s="212" t="s">
        <v>532</v>
      </c>
      <c r="T86" s="212" t="s">
        <v>445</v>
      </c>
      <c r="U86" s="212" t="s">
        <v>446</v>
      </c>
      <c r="V86" s="214" t="b">
        <v>1</v>
      </c>
      <c r="W86" s="214">
        <v>1989</v>
      </c>
      <c r="X86" s="214">
        <v>5</v>
      </c>
      <c r="Y86" s="214">
        <v>2</v>
      </c>
      <c r="Z86" s="214">
        <v>4</v>
      </c>
      <c r="AA86" s="212" t="s">
        <v>447</v>
      </c>
      <c r="AB86" s="212" t="s">
        <v>531</v>
      </c>
      <c r="AC86" s="212" t="s">
        <v>533</v>
      </c>
      <c r="AD86" s="214">
        <v>1.2714300000000001</v>
      </c>
      <c r="AE86" s="214">
        <v>671</v>
      </c>
      <c r="AF86" s="214">
        <v>17.0718</v>
      </c>
      <c r="AG86" s="214">
        <v>-99</v>
      </c>
      <c r="AH86" s="212" t="s">
        <v>224</v>
      </c>
      <c r="AI86" s="212" t="s">
        <v>449</v>
      </c>
      <c r="AJ86" s="212" t="s">
        <v>288</v>
      </c>
      <c r="AK86" s="212" t="s">
        <v>531</v>
      </c>
      <c r="AL86" s="212" t="s">
        <v>382</v>
      </c>
      <c r="AM86" s="214" t="b">
        <v>1</v>
      </c>
      <c r="AN86" s="214" t="b">
        <v>0</v>
      </c>
      <c r="AO86" s="212" t="s">
        <v>289</v>
      </c>
      <c r="AP86" s="212" t="s">
        <v>290</v>
      </c>
      <c r="AQ86" s="214">
        <v>44.095619999999997</v>
      </c>
      <c r="AR86" s="214" t="b">
        <v>0</v>
      </c>
      <c r="AS86" s="212" t="s">
        <v>534</v>
      </c>
      <c r="AU86" s="222" t="s">
        <v>819</v>
      </c>
    </row>
    <row r="87" spans="1:47" x14ac:dyDescent="0.25">
      <c r="A87" s="245">
        <f t="shared" si="15"/>
        <v>87</v>
      </c>
      <c r="B87" s="246" t="str">
        <f t="shared" si="8"/>
        <v>Oil Field - Tank</v>
      </c>
      <c r="C87" s="246" t="str">
        <f ca="1">IF(B87="","",VLOOKUP(D87,'Species Data'!B:E,4,FALSE))</f>
        <v>toluene</v>
      </c>
      <c r="D87" s="246">
        <f t="shared" ca="1" si="9"/>
        <v>717</v>
      </c>
      <c r="E87" s="246">
        <f t="shared" ca="1" si="10"/>
        <v>0.47549999999999998</v>
      </c>
      <c r="F87" s="246" t="str">
        <f t="shared" ca="1" si="11"/>
        <v>Toluene</v>
      </c>
      <c r="G87" s="246">
        <f t="shared" ca="1" si="12"/>
        <v>92.138419999999996</v>
      </c>
      <c r="H87" s="204">
        <f ca="1">IF(G87="","",IF(VLOOKUP(Tank!F87,'Species Data'!D:F,3,FALSE)=0,"X",IF(G87&lt;44.1,2,1)))</f>
        <v>1</v>
      </c>
      <c r="I87" s="204">
        <f t="shared" ca="1" si="13"/>
        <v>0.21631540996126902</v>
      </c>
      <c r="J87" s="247">
        <f ca="1">IF(I87="","",IF(COUNTIF($D$12:D87,D87)=1,IF(H87=1,I87*H87,IF(H87="X","X",0)),0))</f>
        <v>0</v>
      </c>
      <c r="K87" s="248">
        <f t="shared" ca="1" si="14"/>
        <v>0</v>
      </c>
      <c r="L87" s="212" t="s">
        <v>679</v>
      </c>
      <c r="M87" s="212" t="s">
        <v>448</v>
      </c>
      <c r="N87" s="212" t="s">
        <v>470</v>
      </c>
      <c r="O87" s="213">
        <v>41419</v>
      </c>
      <c r="P87" s="212" t="s">
        <v>531</v>
      </c>
      <c r="Q87" s="214">
        <v>100</v>
      </c>
      <c r="R87" s="212" t="s">
        <v>445</v>
      </c>
      <c r="S87" s="212" t="s">
        <v>532</v>
      </c>
      <c r="T87" s="212" t="s">
        <v>445</v>
      </c>
      <c r="U87" s="212" t="s">
        <v>446</v>
      </c>
      <c r="V87" s="214" t="b">
        <v>1</v>
      </c>
      <c r="W87" s="214">
        <v>1989</v>
      </c>
      <c r="X87" s="214">
        <v>5</v>
      </c>
      <c r="Y87" s="214">
        <v>2</v>
      </c>
      <c r="Z87" s="214">
        <v>4</v>
      </c>
      <c r="AA87" s="212" t="s">
        <v>447</v>
      </c>
      <c r="AB87" s="212" t="s">
        <v>531</v>
      </c>
      <c r="AC87" s="212" t="s">
        <v>533</v>
      </c>
      <c r="AD87" s="214">
        <v>1.2714300000000001</v>
      </c>
      <c r="AE87" s="214">
        <v>717</v>
      </c>
      <c r="AF87" s="214">
        <v>0.47549999999999998</v>
      </c>
      <c r="AG87" s="214">
        <v>-99</v>
      </c>
      <c r="AH87" s="212" t="s">
        <v>224</v>
      </c>
      <c r="AI87" s="212" t="s">
        <v>449</v>
      </c>
      <c r="AJ87" s="212" t="s">
        <v>294</v>
      </c>
      <c r="AK87" s="212" t="s">
        <v>531</v>
      </c>
      <c r="AL87" s="212" t="s">
        <v>383</v>
      </c>
      <c r="AM87" s="214" t="b">
        <v>1</v>
      </c>
      <c r="AN87" s="214" t="b">
        <v>1</v>
      </c>
      <c r="AO87" s="212" t="s">
        <v>295</v>
      </c>
      <c r="AP87" s="212" t="s">
        <v>296</v>
      </c>
      <c r="AQ87" s="214">
        <v>92.138419999999996</v>
      </c>
      <c r="AR87" s="214" t="b">
        <v>0</v>
      </c>
      <c r="AS87" s="212" t="s">
        <v>534</v>
      </c>
      <c r="AU87" s="222" t="s">
        <v>819</v>
      </c>
    </row>
    <row r="88" spans="1:47" x14ac:dyDescent="0.25">
      <c r="A88" s="245">
        <f t="shared" si="15"/>
        <v>88</v>
      </c>
      <c r="B88" s="246" t="str">
        <f t="shared" si="8"/>
        <v>Oil Field - Tank</v>
      </c>
      <c r="C88" s="246" t="str">
        <f ca="1">IF(B88="","",VLOOKUP(D88,'Species Data'!B:E,4,FALSE))</f>
        <v>c_4_comp</v>
      </c>
      <c r="D88" s="246">
        <f t="shared" ca="1" si="9"/>
        <v>1976</v>
      </c>
      <c r="E88" s="246">
        <f t="shared" ca="1" si="10"/>
        <v>5.2441000000000004</v>
      </c>
      <c r="F88" s="246" t="str">
        <f t="shared" ca="1" si="11"/>
        <v>C-4 Compounds</v>
      </c>
      <c r="G88" s="246">
        <f t="shared" ca="1" si="12"/>
        <v>56.106319999999997</v>
      </c>
      <c r="H88" s="204" t="str">
        <f ca="1">IF(G88="","",IF(VLOOKUP(Tank!F88,'Species Data'!D:F,3,FALSE)=0,"X",IF(G88&lt;44.1,2,1)))</f>
        <v>X</v>
      </c>
      <c r="I88" s="204">
        <f t="shared" ca="1" si="13"/>
        <v>1.3045925240882317</v>
      </c>
      <c r="J88" s="247">
        <f ca="1">IF(I88="","",IF(COUNTIF($D$12:D88,D88)=1,IF(H88=1,I88*H88,IF(H88="X","X",0)),0))</f>
        <v>0</v>
      </c>
      <c r="K88" s="248">
        <f t="shared" ca="1" si="14"/>
        <v>0</v>
      </c>
      <c r="L88" s="212" t="s">
        <v>679</v>
      </c>
      <c r="M88" s="212" t="s">
        <v>448</v>
      </c>
      <c r="N88" s="212" t="s">
        <v>470</v>
      </c>
      <c r="O88" s="213">
        <v>41419</v>
      </c>
      <c r="P88" s="212" t="s">
        <v>531</v>
      </c>
      <c r="Q88" s="214">
        <v>100</v>
      </c>
      <c r="R88" s="212" t="s">
        <v>445</v>
      </c>
      <c r="S88" s="212" t="s">
        <v>532</v>
      </c>
      <c r="T88" s="212" t="s">
        <v>445</v>
      </c>
      <c r="U88" s="212" t="s">
        <v>446</v>
      </c>
      <c r="V88" s="214" t="b">
        <v>1</v>
      </c>
      <c r="W88" s="214">
        <v>1989</v>
      </c>
      <c r="X88" s="214">
        <v>5</v>
      </c>
      <c r="Y88" s="214">
        <v>2</v>
      </c>
      <c r="Z88" s="214">
        <v>4</v>
      </c>
      <c r="AA88" s="212" t="s">
        <v>447</v>
      </c>
      <c r="AB88" s="212" t="s">
        <v>531</v>
      </c>
      <c r="AC88" s="212" t="s">
        <v>533</v>
      </c>
      <c r="AD88" s="214">
        <v>1.2714300000000001</v>
      </c>
      <c r="AE88" s="214">
        <v>1976</v>
      </c>
      <c r="AF88" s="214">
        <v>5.2441000000000004</v>
      </c>
      <c r="AG88" s="214">
        <v>-99</v>
      </c>
      <c r="AH88" s="212" t="s">
        <v>224</v>
      </c>
      <c r="AI88" s="212" t="s">
        <v>449</v>
      </c>
      <c r="AJ88" s="212" t="s">
        <v>224</v>
      </c>
      <c r="AK88" s="212" t="s">
        <v>531</v>
      </c>
      <c r="AL88" s="212" t="s">
        <v>465</v>
      </c>
      <c r="AM88" s="214" t="b">
        <v>0</v>
      </c>
      <c r="AN88" s="214" t="b">
        <v>0</v>
      </c>
      <c r="AO88" s="212" t="s">
        <v>551</v>
      </c>
      <c r="AP88" s="212" t="s">
        <v>552</v>
      </c>
      <c r="AQ88" s="214">
        <v>56.106319999999997</v>
      </c>
      <c r="AR88" s="214" t="b">
        <v>0</v>
      </c>
      <c r="AS88" s="212" t="s">
        <v>534</v>
      </c>
      <c r="AU88" s="222" t="s">
        <v>819</v>
      </c>
    </row>
    <row r="89" spans="1:47" x14ac:dyDescent="0.25">
      <c r="A89" s="245">
        <f t="shared" si="15"/>
        <v>89</v>
      </c>
      <c r="B89" s="246" t="str">
        <f t="shared" si="8"/>
        <v>Oil Field - Tank</v>
      </c>
      <c r="C89" s="246" t="str">
        <f ca="1">IF(B89="","",VLOOKUP(D89,'Species Data'!B:E,4,FALSE))</f>
        <v>c5_comp</v>
      </c>
      <c r="D89" s="246">
        <f t="shared" ca="1" si="9"/>
        <v>1986</v>
      </c>
      <c r="E89" s="246">
        <f t="shared" ca="1" si="10"/>
        <v>6.5694999999999997</v>
      </c>
      <c r="F89" s="246" t="str">
        <f t="shared" ca="1" si="11"/>
        <v>C-5 Compounds</v>
      </c>
      <c r="G89" s="246">
        <f t="shared" ca="1" si="12"/>
        <v>72.148780000000002</v>
      </c>
      <c r="H89" s="204" t="str">
        <f ca="1">IF(G89="","",IF(VLOOKUP(Tank!F89,'Species Data'!D:F,3,FALSE)=0,"X",IF(G89&lt;44.1,2,1)))</f>
        <v>X</v>
      </c>
      <c r="I89" s="204">
        <f t="shared" ca="1" si="13"/>
        <v>2.1162936497523712</v>
      </c>
      <c r="J89" s="247">
        <f ca="1">IF(I89="","",IF(COUNTIF($D$12:D89,D89)=1,IF(H89=1,I89*H89,IF(H89="X","X",0)),0))</f>
        <v>0</v>
      </c>
      <c r="K89" s="248">
        <f t="shared" ca="1" si="14"/>
        <v>0</v>
      </c>
      <c r="L89" s="212" t="s">
        <v>679</v>
      </c>
      <c r="M89" s="212" t="s">
        <v>448</v>
      </c>
      <c r="N89" s="212" t="s">
        <v>470</v>
      </c>
      <c r="O89" s="213">
        <v>41419</v>
      </c>
      <c r="P89" s="212" t="s">
        <v>531</v>
      </c>
      <c r="Q89" s="214">
        <v>100</v>
      </c>
      <c r="R89" s="212" t="s">
        <v>445</v>
      </c>
      <c r="S89" s="212" t="s">
        <v>532</v>
      </c>
      <c r="T89" s="212" t="s">
        <v>445</v>
      </c>
      <c r="U89" s="212" t="s">
        <v>446</v>
      </c>
      <c r="V89" s="214" t="b">
        <v>1</v>
      </c>
      <c r="W89" s="214">
        <v>1989</v>
      </c>
      <c r="X89" s="214">
        <v>5</v>
      </c>
      <c r="Y89" s="214">
        <v>2</v>
      </c>
      <c r="Z89" s="214">
        <v>4</v>
      </c>
      <c r="AA89" s="212" t="s">
        <v>447</v>
      </c>
      <c r="AB89" s="212" t="s">
        <v>531</v>
      </c>
      <c r="AC89" s="212" t="s">
        <v>533</v>
      </c>
      <c r="AD89" s="214">
        <v>1.2714300000000001</v>
      </c>
      <c r="AE89" s="214">
        <v>1986</v>
      </c>
      <c r="AF89" s="214">
        <v>6.5694999999999997</v>
      </c>
      <c r="AG89" s="214">
        <v>-99</v>
      </c>
      <c r="AH89" s="212" t="s">
        <v>224</v>
      </c>
      <c r="AI89" s="212" t="s">
        <v>449</v>
      </c>
      <c r="AJ89" s="212" t="s">
        <v>224</v>
      </c>
      <c r="AK89" s="212" t="s">
        <v>531</v>
      </c>
      <c r="AL89" s="212" t="s">
        <v>537</v>
      </c>
      <c r="AM89" s="214" t="b">
        <v>0</v>
      </c>
      <c r="AN89" s="214" t="b">
        <v>0</v>
      </c>
      <c r="AO89" s="212" t="s">
        <v>538</v>
      </c>
      <c r="AP89" s="212" t="s">
        <v>539</v>
      </c>
      <c r="AQ89" s="214">
        <v>72.148780000000002</v>
      </c>
      <c r="AR89" s="214" t="b">
        <v>0</v>
      </c>
      <c r="AS89" s="212" t="s">
        <v>534</v>
      </c>
      <c r="AU89" s="222" t="s">
        <v>819</v>
      </c>
    </row>
    <row r="90" spans="1:47" x14ac:dyDescent="0.25">
      <c r="A90" s="245">
        <f t="shared" si="15"/>
        <v>90</v>
      </c>
      <c r="B90" s="246" t="str">
        <f t="shared" si="8"/>
        <v>Oil Field - Tank</v>
      </c>
      <c r="C90" s="246" t="str">
        <f ca="1">IF(B90="","",VLOOKUP(D90,'Species Data'!B:E,4,FALSE))</f>
        <v>c6_comp</v>
      </c>
      <c r="D90" s="246">
        <f t="shared" ca="1" si="9"/>
        <v>1999</v>
      </c>
      <c r="E90" s="246">
        <f t="shared" ca="1" si="10"/>
        <v>3.6423999999999999</v>
      </c>
      <c r="F90" s="246" t="str">
        <f t="shared" ca="1" si="11"/>
        <v>C-6 Compounds</v>
      </c>
      <c r="G90" s="246">
        <f t="shared" ca="1" si="12"/>
        <v>86.175359999999998</v>
      </c>
      <c r="H90" s="204" t="str">
        <f ca="1">IF(G90="","",IF(VLOOKUP(Tank!F90,'Species Data'!D:F,3,FALSE)=0,"X",IF(G90&lt;44.1,2,1)))</f>
        <v>X</v>
      </c>
      <c r="I90" s="204">
        <f t="shared" ca="1" si="13"/>
        <v>3.9709781213899662</v>
      </c>
      <c r="J90" s="247">
        <f ca="1">IF(I90="","",IF(COUNTIF($D$12:D90,D90)=1,IF(H90=1,I90*H90,IF(H90="X","X",0)),0))</f>
        <v>0</v>
      </c>
      <c r="K90" s="248">
        <f t="shared" ca="1" si="14"/>
        <v>0</v>
      </c>
      <c r="L90" s="212" t="s">
        <v>679</v>
      </c>
      <c r="M90" s="212" t="s">
        <v>448</v>
      </c>
      <c r="N90" s="212" t="s">
        <v>470</v>
      </c>
      <c r="O90" s="213">
        <v>41419</v>
      </c>
      <c r="P90" s="212" t="s">
        <v>531</v>
      </c>
      <c r="Q90" s="214">
        <v>100</v>
      </c>
      <c r="R90" s="212" t="s">
        <v>445</v>
      </c>
      <c r="S90" s="212" t="s">
        <v>532</v>
      </c>
      <c r="T90" s="212" t="s">
        <v>445</v>
      </c>
      <c r="U90" s="212" t="s">
        <v>446</v>
      </c>
      <c r="V90" s="214" t="b">
        <v>1</v>
      </c>
      <c r="W90" s="214">
        <v>1989</v>
      </c>
      <c r="X90" s="214">
        <v>5</v>
      </c>
      <c r="Y90" s="214">
        <v>2</v>
      </c>
      <c r="Z90" s="214">
        <v>4</v>
      </c>
      <c r="AA90" s="212" t="s">
        <v>447</v>
      </c>
      <c r="AB90" s="212" t="s">
        <v>531</v>
      </c>
      <c r="AC90" s="212" t="s">
        <v>533</v>
      </c>
      <c r="AD90" s="214">
        <v>1.2714300000000001</v>
      </c>
      <c r="AE90" s="214">
        <v>1999</v>
      </c>
      <c r="AF90" s="214">
        <v>3.6423999999999999</v>
      </c>
      <c r="AG90" s="214">
        <v>-99</v>
      </c>
      <c r="AH90" s="212" t="s">
        <v>224</v>
      </c>
      <c r="AI90" s="212" t="s">
        <v>449</v>
      </c>
      <c r="AJ90" s="212" t="s">
        <v>224</v>
      </c>
      <c r="AK90" s="212" t="s">
        <v>531</v>
      </c>
      <c r="AL90" s="212" t="s">
        <v>540</v>
      </c>
      <c r="AM90" s="214" t="b">
        <v>0</v>
      </c>
      <c r="AN90" s="214" t="b">
        <v>0</v>
      </c>
      <c r="AO90" s="212" t="s">
        <v>541</v>
      </c>
      <c r="AP90" s="212" t="s">
        <v>542</v>
      </c>
      <c r="AQ90" s="214">
        <v>86.175359999999998</v>
      </c>
      <c r="AR90" s="214" t="b">
        <v>0</v>
      </c>
      <c r="AS90" s="212" t="s">
        <v>534</v>
      </c>
      <c r="AU90" s="222" t="s">
        <v>819</v>
      </c>
    </row>
    <row r="91" spans="1:47" x14ac:dyDescent="0.25">
      <c r="A91" s="245">
        <f t="shared" si="15"/>
        <v>91</v>
      </c>
      <c r="B91" s="246" t="str">
        <f t="shared" si="8"/>
        <v>Oil Field - Tank</v>
      </c>
      <c r="C91" s="246" t="str">
        <f ca="1">IF(B91="","",VLOOKUP(D91,'Species Data'!B:E,4,FALSE))</f>
        <v>c7_comp</v>
      </c>
      <c r="D91" s="246">
        <f t="shared" ca="1" si="9"/>
        <v>2005</v>
      </c>
      <c r="E91" s="246">
        <f t="shared" ca="1" si="10"/>
        <v>2.0598999999999998</v>
      </c>
      <c r="F91" s="246" t="str">
        <f t="shared" ca="1" si="11"/>
        <v>C-7 Compounds</v>
      </c>
      <c r="G91" s="246">
        <f t="shared" ca="1" si="12"/>
        <v>100.20194000000001</v>
      </c>
      <c r="H91" s="204" t="str">
        <f ca="1">IF(G91="","",IF(VLOOKUP(Tank!F91,'Species Data'!D:F,3,FALSE)=0,"X",IF(G91&lt;44.1,2,1)))</f>
        <v>X</v>
      </c>
      <c r="I91" s="204">
        <f t="shared" ca="1" si="13"/>
        <v>2.5253842436887401</v>
      </c>
      <c r="J91" s="247">
        <f ca="1">IF(I91="","",IF(COUNTIF($D$12:D91,D91)=1,IF(H91=1,I91*H91,IF(H91="X","X",0)),0))</f>
        <v>0</v>
      </c>
      <c r="K91" s="248">
        <f t="shared" ca="1" si="14"/>
        <v>0</v>
      </c>
      <c r="L91" s="212" t="s">
        <v>679</v>
      </c>
      <c r="M91" s="212" t="s">
        <v>448</v>
      </c>
      <c r="N91" s="212" t="s">
        <v>470</v>
      </c>
      <c r="O91" s="213">
        <v>41419</v>
      </c>
      <c r="P91" s="212" t="s">
        <v>531</v>
      </c>
      <c r="Q91" s="214">
        <v>100</v>
      </c>
      <c r="R91" s="212" t="s">
        <v>445</v>
      </c>
      <c r="S91" s="212" t="s">
        <v>532</v>
      </c>
      <c r="T91" s="212" t="s">
        <v>445</v>
      </c>
      <c r="U91" s="212" t="s">
        <v>446</v>
      </c>
      <c r="V91" s="214" t="b">
        <v>1</v>
      </c>
      <c r="W91" s="214">
        <v>1989</v>
      </c>
      <c r="X91" s="214">
        <v>5</v>
      </c>
      <c r="Y91" s="214">
        <v>2</v>
      </c>
      <c r="Z91" s="214">
        <v>4</v>
      </c>
      <c r="AA91" s="212" t="s">
        <v>447</v>
      </c>
      <c r="AB91" s="212" t="s">
        <v>531</v>
      </c>
      <c r="AC91" s="212" t="s">
        <v>533</v>
      </c>
      <c r="AD91" s="214">
        <v>1.2714300000000001</v>
      </c>
      <c r="AE91" s="214">
        <v>2005</v>
      </c>
      <c r="AF91" s="214">
        <v>2.0598999999999998</v>
      </c>
      <c r="AG91" s="214">
        <v>-99</v>
      </c>
      <c r="AH91" s="212" t="s">
        <v>224</v>
      </c>
      <c r="AI91" s="212" t="s">
        <v>449</v>
      </c>
      <c r="AJ91" s="212" t="s">
        <v>224</v>
      </c>
      <c r="AK91" s="212" t="s">
        <v>531</v>
      </c>
      <c r="AL91" s="212" t="s">
        <v>543</v>
      </c>
      <c r="AM91" s="214" t="b">
        <v>0</v>
      </c>
      <c r="AN91" s="214" t="b">
        <v>0</v>
      </c>
      <c r="AO91" s="212" t="s">
        <v>544</v>
      </c>
      <c r="AP91" s="212" t="s">
        <v>545</v>
      </c>
      <c r="AQ91" s="214">
        <v>100.20194000000001</v>
      </c>
      <c r="AR91" s="214" t="b">
        <v>0</v>
      </c>
      <c r="AS91" s="212" t="s">
        <v>534</v>
      </c>
      <c r="AU91" s="222" t="s">
        <v>819</v>
      </c>
    </row>
    <row r="92" spans="1:47" ht="15" customHeight="1" x14ac:dyDescent="0.25">
      <c r="A92" s="245">
        <f t="shared" si="15"/>
        <v>92</v>
      </c>
      <c r="B92" s="246" t="str">
        <f t="shared" si="8"/>
        <v>Oil Field - Tank</v>
      </c>
      <c r="C92" s="246" t="str">
        <f ca="1">IF(B92="","",VLOOKUP(D92,'Species Data'!B:E,4,FALSE))</f>
        <v>c8_comp</v>
      </c>
      <c r="D92" s="246">
        <f t="shared" ca="1" si="9"/>
        <v>2011</v>
      </c>
      <c r="E92" s="246">
        <f t="shared" ca="1" si="10"/>
        <v>0.6321</v>
      </c>
      <c r="F92" s="246" t="str">
        <f t="shared" ca="1" si="11"/>
        <v>C-8 Compounds</v>
      </c>
      <c r="G92" s="246">
        <f t="shared" ca="1" si="12"/>
        <v>113.21160686946486</v>
      </c>
      <c r="H92" s="204" t="str">
        <f ca="1">IF(G92="","",IF(VLOOKUP(Tank!F92,'Species Data'!D:F,3,FALSE)=0,"X",IF(G92&lt;44.1,2,1)))</f>
        <v>X</v>
      </c>
      <c r="I92" s="204">
        <f t="shared" ca="1" si="13"/>
        <v>1.3164259710226556</v>
      </c>
      <c r="J92" s="247">
        <f ca="1">IF(I92="","",IF(COUNTIF($D$12:D92,D92)=1,IF(H92=1,I92*H92,IF(H92="X","X",0)),0))</f>
        <v>0</v>
      </c>
      <c r="K92" s="248">
        <f t="shared" ca="1" si="14"/>
        <v>0</v>
      </c>
      <c r="L92" s="212" t="s">
        <v>679</v>
      </c>
      <c r="M92" s="212" t="s">
        <v>448</v>
      </c>
      <c r="N92" s="212" t="s">
        <v>470</v>
      </c>
      <c r="O92" s="213">
        <v>41419</v>
      </c>
      <c r="P92" s="212" t="s">
        <v>531</v>
      </c>
      <c r="Q92" s="214">
        <v>100</v>
      </c>
      <c r="R92" s="212" t="s">
        <v>445</v>
      </c>
      <c r="S92" s="212" t="s">
        <v>532</v>
      </c>
      <c r="T92" s="212" t="s">
        <v>445</v>
      </c>
      <c r="U92" s="212" t="s">
        <v>446</v>
      </c>
      <c r="V92" s="214" t="b">
        <v>1</v>
      </c>
      <c r="W92" s="214">
        <v>1989</v>
      </c>
      <c r="X92" s="214">
        <v>5</v>
      </c>
      <c r="Y92" s="214">
        <v>2</v>
      </c>
      <c r="Z92" s="214">
        <v>4</v>
      </c>
      <c r="AA92" s="212" t="s">
        <v>447</v>
      </c>
      <c r="AB92" s="212" t="s">
        <v>531</v>
      </c>
      <c r="AC92" s="212" t="s">
        <v>533</v>
      </c>
      <c r="AD92" s="214">
        <v>1.2714300000000001</v>
      </c>
      <c r="AE92" s="214">
        <v>2011</v>
      </c>
      <c r="AF92" s="214">
        <v>0.6321</v>
      </c>
      <c r="AG92" s="214">
        <v>-99</v>
      </c>
      <c r="AH92" s="212" t="s">
        <v>224</v>
      </c>
      <c r="AI92" s="212" t="s">
        <v>449</v>
      </c>
      <c r="AJ92" s="212" t="s">
        <v>224</v>
      </c>
      <c r="AK92" s="212" t="s">
        <v>531</v>
      </c>
      <c r="AL92" s="212" t="s">
        <v>546</v>
      </c>
      <c r="AM92" s="214" t="b">
        <v>0</v>
      </c>
      <c r="AN92" s="214" t="b">
        <v>0</v>
      </c>
      <c r="AO92" s="212" t="s">
        <v>547</v>
      </c>
      <c r="AP92" s="212" t="s">
        <v>548</v>
      </c>
      <c r="AQ92" s="214">
        <v>113.21160686946486</v>
      </c>
      <c r="AR92" s="214" t="b">
        <v>0</v>
      </c>
      <c r="AS92" s="212" t="s">
        <v>534</v>
      </c>
      <c r="AU92" s="222" t="s">
        <v>819</v>
      </c>
    </row>
    <row r="93" spans="1:47" x14ac:dyDescent="0.25">
      <c r="A93" s="245">
        <f t="shared" si="15"/>
        <v>93</v>
      </c>
      <c r="B93" s="246" t="str">
        <f t="shared" si="8"/>
        <v>Oil Field - Tank</v>
      </c>
      <c r="C93" s="246" t="str">
        <f ca="1">IF(B93="","",VLOOKUP(D93,'Species Data'!B:E,4,FALSE))</f>
        <v>c9_comp</v>
      </c>
      <c r="D93" s="246">
        <f t="shared" ca="1" si="9"/>
        <v>2018</v>
      </c>
      <c r="E93" s="246">
        <f t="shared" ca="1" si="10"/>
        <v>0.12280000000000001</v>
      </c>
      <c r="F93" s="246" t="str">
        <f t="shared" ca="1" si="11"/>
        <v>C-9 Compounds</v>
      </c>
      <c r="G93" s="246">
        <f t="shared" ca="1" si="12"/>
        <v>127.23917598649743</v>
      </c>
      <c r="H93" s="204" t="str">
        <f ca="1">IF(G93="","",IF(VLOOKUP(Tank!F93,'Species Data'!D:F,3,FALSE)=0,"X",IF(G93&lt;44.1,2,1)))</f>
        <v>X</v>
      </c>
      <c r="I93" s="204">
        <f t="shared" ca="1" si="13"/>
        <v>0.54975194428533192</v>
      </c>
      <c r="J93" s="247">
        <f ca="1">IF(I93="","",IF(COUNTIF($D$12:D93,D93)=1,IF(H93=1,I93*H93,IF(H93="X","X",0)),0))</f>
        <v>0</v>
      </c>
      <c r="K93" s="248">
        <f t="shared" ca="1" si="14"/>
        <v>0</v>
      </c>
      <c r="L93" s="212" t="s">
        <v>679</v>
      </c>
      <c r="M93" s="212" t="s">
        <v>448</v>
      </c>
      <c r="N93" s="212" t="s">
        <v>470</v>
      </c>
      <c r="O93" s="213">
        <v>41419</v>
      </c>
      <c r="P93" s="212" t="s">
        <v>531</v>
      </c>
      <c r="Q93" s="214">
        <v>100</v>
      </c>
      <c r="R93" s="212" t="s">
        <v>445</v>
      </c>
      <c r="S93" s="212" t="s">
        <v>532</v>
      </c>
      <c r="T93" s="212" t="s">
        <v>445</v>
      </c>
      <c r="U93" s="212" t="s">
        <v>446</v>
      </c>
      <c r="V93" s="214" t="b">
        <v>1</v>
      </c>
      <c r="W93" s="214">
        <v>1989</v>
      </c>
      <c r="X93" s="214">
        <v>5</v>
      </c>
      <c r="Y93" s="214">
        <v>2</v>
      </c>
      <c r="Z93" s="214">
        <v>4</v>
      </c>
      <c r="AA93" s="212" t="s">
        <v>447</v>
      </c>
      <c r="AB93" s="212" t="s">
        <v>531</v>
      </c>
      <c r="AC93" s="212" t="s">
        <v>533</v>
      </c>
      <c r="AD93" s="214">
        <v>1.2714300000000001</v>
      </c>
      <c r="AE93" s="214">
        <v>2018</v>
      </c>
      <c r="AF93" s="214">
        <v>0.12280000000000001</v>
      </c>
      <c r="AG93" s="214">
        <v>-99</v>
      </c>
      <c r="AH93" s="212" t="s">
        <v>224</v>
      </c>
      <c r="AI93" s="212" t="s">
        <v>449</v>
      </c>
      <c r="AJ93" s="212" t="s">
        <v>224</v>
      </c>
      <c r="AK93" s="212" t="s">
        <v>531</v>
      </c>
      <c r="AL93" s="212" t="s">
        <v>464</v>
      </c>
      <c r="AM93" s="214" t="b">
        <v>0</v>
      </c>
      <c r="AN93" s="214" t="b">
        <v>0</v>
      </c>
      <c r="AO93" s="212" t="s">
        <v>549</v>
      </c>
      <c r="AP93" s="212" t="s">
        <v>550</v>
      </c>
      <c r="AQ93" s="214">
        <v>127.23917598649743</v>
      </c>
      <c r="AR93" s="214" t="b">
        <v>0</v>
      </c>
      <c r="AS93" s="212" t="s">
        <v>534</v>
      </c>
      <c r="AU93" s="222" t="s">
        <v>819</v>
      </c>
    </row>
    <row r="94" spans="1:47" x14ac:dyDescent="0.25">
      <c r="A94" s="245">
        <f t="shared" si="15"/>
        <v>94</v>
      </c>
      <c r="B94" s="246" t="str">
        <f t="shared" si="8"/>
        <v>Oil Field - Tank</v>
      </c>
      <c r="C94" s="246" t="str">
        <f ca="1">IF(B94="","",VLOOKUP(D94,'Species Data'!B:E,4,FALSE))</f>
        <v>trimetben124</v>
      </c>
      <c r="D94" s="246">
        <f t="shared" ca="1" si="9"/>
        <v>30</v>
      </c>
      <c r="E94" s="246">
        <f t="shared" ca="1" si="10"/>
        <v>3.8100000000000002E-2</v>
      </c>
      <c r="F94" s="246" t="str">
        <f t="shared" ca="1" si="11"/>
        <v>1,2,4-trimethylbenzene  (1,3,4-trimethylbenzene)</v>
      </c>
      <c r="G94" s="246">
        <f t="shared" ca="1" si="12"/>
        <v>120.19158</v>
      </c>
      <c r="H94" s="204">
        <f ca="1">IF(G94="","",IF(VLOOKUP(Tank!F94,'Species Data'!D:F,3,FALSE)=0,"X",IF(G94&lt;44.1,2,1)))</f>
        <v>1</v>
      </c>
      <c r="I94" s="204">
        <f t="shared" ca="1" si="13"/>
        <v>1.1400109441050636E-2</v>
      </c>
      <c r="J94" s="247">
        <f ca="1">IF(I94="","",IF(COUNTIF($D$12:D94,D94)=1,IF(H94=1,I94*H94,IF(H94="X","X",0)),0))</f>
        <v>0</v>
      </c>
      <c r="K94" s="248">
        <f t="shared" ca="1" si="14"/>
        <v>0</v>
      </c>
      <c r="L94" s="212" t="s">
        <v>679</v>
      </c>
      <c r="M94" s="212" t="s">
        <v>448</v>
      </c>
      <c r="N94" s="212" t="s">
        <v>470</v>
      </c>
      <c r="O94" s="213">
        <v>41419</v>
      </c>
      <c r="P94" s="212" t="s">
        <v>531</v>
      </c>
      <c r="Q94" s="214">
        <v>100</v>
      </c>
      <c r="R94" s="212" t="s">
        <v>445</v>
      </c>
      <c r="S94" s="212" t="s">
        <v>532</v>
      </c>
      <c r="T94" s="212" t="s">
        <v>445</v>
      </c>
      <c r="U94" s="212" t="s">
        <v>446</v>
      </c>
      <c r="V94" s="214" t="b">
        <v>1</v>
      </c>
      <c r="W94" s="214">
        <v>1989</v>
      </c>
      <c r="X94" s="214">
        <v>5</v>
      </c>
      <c r="Y94" s="214">
        <v>2</v>
      </c>
      <c r="Z94" s="214">
        <v>4</v>
      </c>
      <c r="AA94" s="212" t="s">
        <v>447</v>
      </c>
      <c r="AB94" s="212" t="s">
        <v>531</v>
      </c>
      <c r="AC94" s="212" t="s">
        <v>533</v>
      </c>
      <c r="AD94" s="214">
        <v>1.387392</v>
      </c>
      <c r="AE94" s="214">
        <v>30</v>
      </c>
      <c r="AF94" s="214">
        <v>3.8100000000000002E-2</v>
      </c>
      <c r="AG94" s="214">
        <v>-99</v>
      </c>
      <c r="AH94" s="212" t="s">
        <v>224</v>
      </c>
      <c r="AI94" s="212" t="s">
        <v>449</v>
      </c>
      <c r="AJ94" s="212" t="s">
        <v>359</v>
      </c>
      <c r="AK94" s="212" t="s">
        <v>531</v>
      </c>
      <c r="AL94" s="212" t="s">
        <v>531</v>
      </c>
      <c r="AM94" s="214" t="b">
        <v>1</v>
      </c>
      <c r="AN94" s="214" t="b">
        <v>0</v>
      </c>
      <c r="AO94" s="212" t="s">
        <v>360</v>
      </c>
      <c r="AP94" s="212" t="s">
        <v>361</v>
      </c>
      <c r="AQ94" s="214">
        <v>120.19158</v>
      </c>
      <c r="AR94" s="214" t="b">
        <v>0</v>
      </c>
      <c r="AS94" s="212" t="s">
        <v>534</v>
      </c>
      <c r="AU94" s="222" t="s">
        <v>819</v>
      </c>
    </row>
    <row r="95" spans="1:47" x14ac:dyDescent="0.25">
      <c r="A95" s="245">
        <f t="shared" si="15"/>
        <v>95</v>
      </c>
      <c r="B95" s="246" t="str">
        <f t="shared" si="8"/>
        <v>Oil Field - Tank</v>
      </c>
      <c r="C95" s="246" t="str">
        <f ca="1">IF(B95="","",VLOOKUP(D95,'Species Data'!B:E,4,FALSE))</f>
        <v>dietben12</v>
      </c>
      <c r="D95" s="246">
        <f t="shared" ca="1" si="9"/>
        <v>36</v>
      </c>
      <c r="E95" s="246">
        <f t="shared" ca="1" si="10"/>
        <v>3.7999999999999999E-2</v>
      </c>
      <c r="F95" s="246" t="str">
        <f t="shared" ca="1" si="11"/>
        <v>1,2-diethylbenzene (ortho)</v>
      </c>
      <c r="G95" s="246">
        <f t="shared" ca="1" si="12"/>
        <v>134.21816000000001</v>
      </c>
      <c r="H95" s="204" t="str">
        <f ca="1">IF(G95="","",IF(VLOOKUP(Tank!F95,'Species Data'!D:F,3,FALSE)=0,"X",IF(G95&lt;44.1,2,1)))</f>
        <v>X</v>
      </c>
      <c r="I95" s="204">
        <f t="shared" ca="1" si="13"/>
        <v>3.1133632216202617E-3</v>
      </c>
      <c r="J95" s="247" t="str">
        <f ca="1">IF(I95="","",IF(COUNTIF($D$12:D95,D95)=1,IF(H95=1,I95*H95,IF(H95="X","X",0)),0))</f>
        <v>X</v>
      </c>
      <c r="K95" s="248">
        <f t="shared" ca="1" si="14"/>
        <v>0</v>
      </c>
      <c r="L95" s="212" t="s">
        <v>679</v>
      </c>
      <c r="M95" s="212" t="s">
        <v>448</v>
      </c>
      <c r="N95" s="212" t="s">
        <v>470</v>
      </c>
      <c r="O95" s="213">
        <v>41419</v>
      </c>
      <c r="P95" s="212" t="s">
        <v>531</v>
      </c>
      <c r="Q95" s="214">
        <v>100</v>
      </c>
      <c r="R95" s="212" t="s">
        <v>445</v>
      </c>
      <c r="S95" s="212" t="s">
        <v>532</v>
      </c>
      <c r="T95" s="212" t="s">
        <v>445</v>
      </c>
      <c r="U95" s="212" t="s">
        <v>446</v>
      </c>
      <c r="V95" s="214" t="b">
        <v>1</v>
      </c>
      <c r="W95" s="214">
        <v>1989</v>
      </c>
      <c r="X95" s="214">
        <v>5</v>
      </c>
      <c r="Y95" s="214">
        <v>2</v>
      </c>
      <c r="Z95" s="214">
        <v>4</v>
      </c>
      <c r="AA95" s="212" t="s">
        <v>447</v>
      </c>
      <c r="AB95" s="212" t="s">
        <v>531</v>
      </c>
      <c r="AC95" s="212" t="s">
        <v>533</v>
      </c>
      <c r="AD95" s="214">
        <v>1.387392</v>
      </c>
      <c r="AE95" s="214">
        <v>36</v>
      </c>
      <c r="AF95" s="214">
        <v>3.7999999999999999E-2</v>
      </c>
      <c r="AG95" s="214">
        <v>-99</v>
      </c>
      <c r="AH95" s="212" t="s">
        <v>224</v>
      </c>
      <c r="AI95" s="212" t="s">
        <v>449</v>
      </c>
      <c r="AJ95" s="212" t="s">
        <v>631</v>
      </c>
      <c r="AK95" s="212" t="s">
        <v>531</v>
      </c>
      <c r="AL95" s="212" t="s">
        <v>632</v>
      </c>
      <c r="AM95" s="214" t="b">
        <v>0</v>
      </c>
      <c r="AN95" s="214" t="b">
        <v>0</v>
      </c>
      <c r="AO95" s="212" t="s">
        <v>633</v>
      </c>
      <c r="AP95" s="212" t="s">
        <v>531</v>
      </c>
      <c r="AQ95" s="214">
        <v>134.21816000000001</v>
      </c>
      <c r="AR95" s="214" t="b">
        <v>0</v>
      </c>
      <c r="AS95" s="212" t="s">
        <v>534</v>
      </c>
      <c r="AU95" s="222" t="s">
        <v>819</v>
      </c>
    </row>
    <row r="96" spans="1:47" x14ac:dyDescent="0.25">
      <c r="A96" s="245">
        <f t="shared" si="15"/>
        <v>96</v>
      </c>
      <c r="B96" s="246" t="str">
        <f t="shared" si="8"/>
        <v>Oil Field - Tank</v>
      </c>
      <c r="C96" s="246" t="str">
        <f ca="1">IF(B96="","",VLOOKUP(D96,'Species Data'!B:E,4,FALSE))</f>
        <v>dimetbut22</v>
      </c>
      <c r="D96" s="246">
        <f t="shared" ca="1" si="9"/>
        <v>122</v>
      </c>
      <c r="E96" s="246">
        <f t="shared" ca="1" si="10"/>
        <v>9.6600000000000005E-2</v>
      </c>
      <c r="F96" s="246" t="str">
        <f t="shared" ca="1" si="11"/>
        <v>2,2-dimethylbutane</v>
      </c>
      <c r="G96" s="246">
        <f t="shared" ca="1" si="12"/>
        <v>86.175359999999998</v>
      </c>
      <c r="H96" s="204">
        <f ca="1">IF(G96="","",IF(VLOOKUP(Tank!F96,'Species Data'!D:F,3,FALSE)=0,"X",IF(G96&lt;44.1,2,1)))</f>
        <v>1</v>
      </c>
      <c r="I96" s="204">
        <f t="shared" ca="1" si="13"/>
        <v>8.538748638653601E-2</v>
      </c>
      <c r="J96" s="247">
        <f ca="1">IF(I96="","",IF(COUNTIF($D$12:D96,D96)=1,IF(H96=1,I96*H96,IF(H96="X","X",0)),0))</f>
        <v>0</v>
      </c>
      <c r="K96" s="248">
        <f t="shared" ca="1" si="14"/>
        <v>0</v>
      </c>
      <c r="L96" s="212" t="s">
        <v>679</v>
      </c>
      <c r="M96" s="212" t="s">
        <v>448</v>
      </c>
      <c r="N96" s="212" t="s">
        <v>470</v>
      </c>
      <c r="O96" s="213">
        <v>41419</v>
      </c>
      <c r="P96" s="212" t="s">
        <v>531</v>
      </c>
      <c r="Q96" s="214">
        <v>100</v>
      </c>
      <c r="R96" s="212" t="s">
        <v>445</v>
      </c>
      <c r="S96" s="212" t="s">
        <v>532</v>
      </c>
      <c r="T96" s="212" t="s">
        <v>445</v>
      </c>
      <c r="U96" s="212" t="s">
        <v>446</v>
      </c>
      <c r="V96" s="214" t="b">
        <v>1</v>
      </c>
      <c r="W96" s="214">
        <v>1989</v>
      </c>
      <c r="X96" s="214">
        <v>5</v>
      </c>
      <c r="Y96" s="214">
        <v>2</v>
      </c>
      <c r="Z96" s="214">
        <v>4</v>
      </c>
      <c r="AA96" s="212" t="s">
        <v>447</v>
      </c>
      <c r="AB96" s="212" t="s">
        <v>531</v>
      </c>
      <c r="AC96" s="212" t="s">
        <v>533</v>
      </c>
      <c r="AD96" s="214">
        <v>1.387392</v>
      </c>
      <c r="AE96" s="214">
        <v>122</v>
      </c>
      <c r="AF96" s="214">
        <v>9.6600000000000005E-2</v>
      </c>
      <c r="AG96" s="214">
        <v>-99</v>
      </c>
      <c r="AH96" s="212" t="s">
        <v>224</v>
      </c>
      <c r="AI96" s="212" t="s">
        <v>449</v>
      </c>
      <c r="AJ96" s="212" t="s">
        <v>301</v>
      </c>
      <c r="AK96" s="212" t="s">
        <v>531</v>
      </c>
      <c r="AL96" s="212" t="s">
        <v>384</v>
      </c>
      <c r="AM96" s="214" t="b">
        <v>1</v>
      </c>
      <c r="AN96" s="214" t="b">
        <v>0</v>
      </c>
      <c r="AO96" s="212" t="s">
        <v>302</v>
      </c>
      <c r="AP96" s="212" t="s">
        <v>303</v>
      </c>
      <c r="AQ96" s="214">
        <v>86.175359999999998</v>
      </c>
      <c r="AR96" s="214" t="b">
        <v>0</v>
      </c>
      <c r="AS96" s="212" t="s">
        <v>534</v>
      </c>
      <c r="AU96" s="222" t="s">
        <v>819</v>
      </c>
    </row>
    <row r="97" spans="1:47" x14ac:dyDescent="0.25">
      <c r="A97" s="245">
        <f t="shared" si="15"/>
        <v>97</v>
      </c>
      <c r="B97" s="246" t="str">
        <f t="shared" si="8"/>
        <v>Oil Field - Tank</v>
      </c>
      <c r="C97" s="246" t="str">
        <f ca="1">IF(B97="","",VLOOKUP(D97,'Species Data'!B:E,4,FALSE))</f>
        <v>dimethpro</v>
      </c>
      <c r="D97" s="246">
        <f t="shared" ca="1" si="9"/>
        <v>127</v>
      </c>
      <c r="E97" s="246">
        <f t="shared" ca="1" si="10"/>
        <v>0.65090000000000003</v>
      </c>
      <c r="F97" s="246" t="str">
        <f t="shared" ca="1" si="11"/>
        <v>2,2-dimethylpropane</v>
      </c>
      <c r="G97" s="246">
        <f t="shared" ca="1" si="12"/>
        <v>72.148780000000002</v>
      </c>
      <c r="H97" s="204">
        <f ca="1">IF(G97="","",IF(VLOOKUP(Tank!F97,'Species Data'!D:F,3,FALSE)=0,"X",IF(G97&lt;44.1,2,1)))</f>
        <v>1</v>
      </c>
      <c r="I97" s="204">
        <f t="shared" ca="1" si="13"/>
        <v>9.7614270430329483E-2</v>
      </c>
      <c r="J97" s="247">
        <f ca="1">IF(I97="","",IF(COUNTIF($D$12:D97,D97)=1,IF(H97=1,I97*H97,IF(H97="X","X",0)),0))</f>
        <v>0</v>
      </c>
      <c r="K97" s="248">
        <f t="shared" ca="1" si="14"/>
        <v>0</v>
      </c>
      <c r="L97" s="212" t="s">
        <v>679</v>
      </c>
      <c r="M97" s="212" t="s">
        <v>448</v>
      </c>
      <c r="N97" s="212" t="s">
        <v>470</v>
      </c>
      <c r="O97" s="213">
        <v>41419</v>
      </c>
      <c r="P97" s="212" t="s">
        <v>531</v>
      </c>
      <c r="Q97" s="214">
        <v>100</v>
      </c>
      <c r="R97" s="212" t="s">
        <v>445</v>
      </c>
      <c r="S97" s="212" t="s">
        <v>532</v>
      </c>
      <c r="T97" s="212" t="s">
        <v>445</v>
      </c>
      <c r="U97" s="212" t="s">
        <v>446</v>
      </c>
      <c r="V97" s="214" t="b">
        <v>1</v>
      </c>
      <c r="W97" s="214">
        <v>1989</v>
      </c>
      <c r="X97" s="214">
        <v>5</v>
      </c>
      <c r="Y97" s="214">
        <v>2</v>
      </c>
      <c r="Z97" s="214">
        <v>4</v>
      </c>
      <c r="AA97" s="212" t="s">
        <v>447</v>
      </c>
      <c r="AB97" s="212" t="s">
        <v>531</v>
      </c>
      <c r="AC97" s="212" t="s">
        <v>533</v>
      </c>
      <c r="AD97" s="214">
        <v>1.387392</v>
      </c>
      <c r="AE97" s="214">
        <v>127</v>
      </c>
      <c r="AF97" s="214">
        <v>0.65090000000000003</v>
      </c>
      <c r="AG97" s="214">
        <v>-99</v>
      </c>
      <c r="AH97" s="212" t="s">
        <v>224</v>
      </c>
      <c r="AI97" s="212" t="s">
        <v>449</v>
      </c>
      <c r="AJ97" s="212" t="s">
        <v>441</v>
      </c>
      <c r="AK97" s="212" t="s">
        <v>531</v>
      </c>
      <c r="AL97" s="212" t="s">
        <v>462</v>
      </c>
      <c r="AM97" s="214" t="b">
        <v>0</v>
      </c>
      <c r="AN97" s="214" t="b">
        <v>0</v>
      </c>
      <c r="AO97" s="212" t="s">
        <v>442</v>
      </c>
      <c r="AP97" s="212" t="s">
        <v>531</v>
      </c>
      <c r="AQ97" s="214">
        <v>72.148780000000002</v>
      </c>
      <c r="AR97" s="214" t="b">
        <v>0</v>
      </c>
      <c r="AS97" s="212" t="s">
        <v>534</v>
      </c>
      <c r="AU97" s="222" t="s">
        <v>819</v>
      </c>
    </row>
    <row r="98" spans="1:47" x14ac:dyDescent="0.25">
      <c r="A98" s="245">
        <f t="shared" si="15"/>
        <v>98</v>
      </c>
      <c r="B98" s="246" t="str">
        <f t="shared" si="8"/>
        <v>Oil Field - Tank</v>
      </c>
      <c r="C98" s="246" t="str">
        <f ca="1">IF(B98="","",VLOOKUP(D98,'Species Data'!B:E,4,FALSE))</f>
        <v>trimentpen3</v>
      </c>
      <c r="D98" s="246">
        <f t="shared" ca="1" si="9"/>
        <v>130</v>
      </c>
      <c r="E98" s="246">
        <f t="shared" ca="1" si="10"/>
        <v>1.6299999999999999E-2</v>
      </c>
      <c r="F98" s="246" t="str">
        <f t="shared" ca="1" si="11"/>
        <v>2,3,4-trimethylpentane</v>
      </c>
      <c r="G98" s="246">
        <f t="shared" ca="1" si="12"/>
        <v>114.22852</v>
      </c>
      <c r="H98" s="204">
        <f ca="1">IF(G98="","",IF(VLOOKUP(Tank!F98,'Species Data'!D:F,3,FALSE)=0,"X",IF(G98&lt;44.1,2,1)))</f>
        <v>1</v>
      </c>
      <c r="I98" s="204">
        <f t="shared" ca="1" si="13"/>
        <v>0.22004211240427912</v>
      </c>
      <c r="J98" s="247">
        <f ca="1">IF(I98="","",IF(COUNTIF($D$12:D98,D98)=1,IF(H98=1,I98*H98,IF(H98="X","X",0)),0))</f>
        <v>0</v>
      </c>
      <c r="K98" s="248">
        <f t="shared" ca="1" si="14"/>
        <v>0</v>
      </c>
      <c r="L98" s="212" t="s">
        <v>679</v>
      </c>
      <c r="M98" s="212" t="s">
        <v>448</v>
      </c>
      <c r="N98" s="212" t="s">
        <v>470</v>
      </c>
      <c r="O98" s="213">
        <v>41419</v>
      </c>
      <c r="P98" s="212" t="s">
        <v>531</v>
      </c>
      <c r="Q98" s="214">
        <v>100</v>
      </c>
      <c r="R98" s="212" t="s">
        <v>445</v>
      </c>
      <c r="S98" s="212" t="s">
        <v>532</v>
      </c>
      <c r="T98" s="212" t="s">
        <v>445</v>
      </c>
      <c r="U98" s="212" t="s">
        <v>446</v>
      </c>
      <c r="V98" s="214" t="b">
        <v>1</v>
      </c>
      <c r="W98" s="214">
        <v>1989</v>
      </c>
      <c r="X98" s="214">
        <v>5</v>
      </c>
      <c r="Y98" s="214">
        <v>2</v>
      </c>
      <c r="Z98" s="214">
        <v>4</v>
      </c>
      <c r="AA98" s="212" t="s">
        <v>447</v>
      </c>
      <c r="AB98" s="212" t="s">
        <v>531</v>
      </c>
      <c r="AC98" s="212" t="s">
        <v>533</v>
      </c>
      <c r="AD98" s="214">
        <v>1.387392</v>
      </c>
      <c r="AE98" s="214">
        <v>130</v>
      </c>
      <c r="AF98" s="214">
        <v>1.6299999999999999E-2</v>
      </c>
      <c r="AG98" s="214">
        <v>-99</v>
      </c>
      <c r="AH98" s="212" t="s">
        <v>224</v>
      </c>
      <c r="AI98" s="212" t="s">
        <v>449</v>
      </c>
      <c r="AJ98" s="212" t="s">
        <v>404</v>
      </c>
      <c r="AK98" s="212" t="s">
        <v>531</v>
      </c>
      <c r="AL98" s="212" t="s">
        <v>405</v>
      </c>
      <c r="AM98" s="214" t="b">
        <v>1</v>
      </c>
      <c r="AN98" s="214" t="b">
        <v>0</v>
      </c>
      <c r="AO98" s="212" t="s">
        <v>406</v>
      </c>
      <c r="AP98" s="212" t="s">
        <v>407</v>
      </c>
      <c r="AQ98" s="214">
        <v>114.22852</v>
      </c>
      <c r="AR98" s="214" t="b">
        <v>0</v>
      </c>
      <c r="AS98" s="212" t="s">
        <v>534</v>
      </c>
      <c r="AU98" s="222" t="s">
        <v>819</v>
      </c>
    </row>
    <row r="99" spans="1:47" x14ac:dyDescent="0.25">
      <c r="A99" s="245">
        <f t="shared" si="15"/>
        <v>99</v>
      </c>
      <c r="B99" s="246" t="str">
        <f t="shared" si="8"/>
        <v>Oil Field - Tank</v>
      </c>
      <c r="C99" s="246" t="str">
        <f ca="1">IF(B99="","",VLOOKUP(D99,'Species Data'!B:E,4,FALSE))</f>
        <v>dimethhex23</v>
      </c>
      <c r="D99" s="246">
        <f t="shared" ca="1" si="9"/>
        <v>138</v>
      </c>
      <c r="E99" s="246">
        <f t="shared" ca="1" si="10"/>
        <v>2.7699999999999999E-2</v>
      </c>
      <c r="F99" s="246" t="str">
        <f t="shared" ca="1" si="11"/>
        <v>2,3-dimethylhexane</v>
      </c>
      <c r="G99" s="246">
        <f t="shared" ca="1" si="12"/>
        <v>114.22852</v>
      </c>
      <c r="H99" s="204">
        <f ca="1">IF(G99="","",IF(VLOOKUP(Tank!F99,'Species Data'!D:F,3,FALSE)=0,"X",IF(G99&lt;44.1,2,1)))</f>
        <v>1</v>
      </c>
      <c r="I99" s="204">
        <f t="shared" ca="1" si="13"/>
        <v>2.958028397072613E-2</v>
      </c>
      <c r="J99" s="247">
        <f ca="1">IF(I99="","",IF(COUNTIF($D$12:D99,D99)=1,IF(H99=1,I99*H99,IF(H99="X","X",0)),0))</f>
        <v>0</v>
      </c>
      <c r="K99" s="248">
        <f t="shared" ca="1" si="14"/>
        <v>0</v>
      </c>
      <c r="L99" s="212" t="s">
        <v>679</v>
      </c>
      <c r="M99" s="212" t="s">
        <v>448</v>
      </c>
      <c r="N99" s="212" t="s">
        <v>470</v>
      </c>
      <c r="O99" s="213">
        <v>41419</v>
      </c>
      <c r="P99" s="212" t="s">
        <v>531</v>
      </c>
      <c r="Q99" s="214">
        <v>100</v>
      </c>
      <c r="R99" s="212" t="s">
        <v>445</v>
      </c>
      <c r="S99" s="212" t="s">
        <v>532</v>
      </c>
      <c r="T99" s="212" t="s">
        <v>445</v>
      </c>
      <c r="U99" s="212" t="s">
        <v>446</v>
      </c>
      <c r="V99" s="214" t="b">
        <v>1</v>
      </c>
      <c r="W99" s="214">
        <v>1989</v>
      </c>
      <c r="X99" s="214">
        <v>5</v>
      </c>
      <c r="Y99" s="214">
        <v>2</v>
      </c>
      <c r="Z99" s="214">
        <v>4</v>
      </c>
      <c r="AA99" s="212" t="s">
        <v>447</v>
      </c>
      <c r="AB99" s="212" t="s">
        <v>531</v>
      </c>
      <c r="AC99" s="212" t="s">
        <v>533</v>
      </c>
      <c r="AD99" s="214">
        <v>1.387392</v>
      </c>
      <c r="AE99" s="214">
        <v>138</v>
      </c>
      <c r="AF99" s="214">
        <v>2.7699999999999999E-2</v>
      </c>
      <c r="AG99" s="214">
        <v>-99</v>
      </c>
      <c r="AH99" s="212" t="s">
        <v>224</v>
      </c>
      <c r="AI99" s="212" t="s">
        <v>449</v>
      </c>
      <c r="AJ99" s="212" t="s">
        <v>443</v>
      </c>
      <c r="AK99" s="212" t="s">
        <v>531</v>
      </c>
      <c r="AL99" s="212" t="s">
        <v>463</v>
      </c>
      <c r="AM99" s="214" t="b">
        <v>0</v>
      </c>
      <c r="AN99" s="214" t="b">
        <v>0</v>
      </c>
      <c r="AO99" s="212" t="s">
        <v>444</v>
      </c>
      <c r="AP99" s="212" t="s">
        <v>531</v>
      </c>
      <c r="AQ99" s="214">
        <v>114.22852</v>
      </c>
      <c r="AR99" s="214" t="b">
        <v>0</v>
      </c>
      <c r="AS99" s="212" t="s">
        <v>534</v>
      </c>
      <c r="AU99" s="222" t="s">
        <v>819</v>
      </c>
    </row>
    <row r="100" spans="1:47" x14ac:dyDescent="0.25">
      <c r="A100" s="245">
        <f t="shared" si="15"/>
        <v>100</v>
      </c>
      <c r="B100" s="246" t="str">
        <f t="shared" si="8"/>
        <v>Oil Field - Tank</v>
      </c>
      <c r="C100" s="246" t="str">
        <f ca="1">IF(B100="","",VLOOKUP(D100,'Species Data'!B:E,4,FALSE))</f>
        <v>dimetpen3</v>
      </c>
      <c r="D100" s="246">
        <f t="shared" ca="1" si="9"/>
        <v>140</v>
      </c>
      <c r="E100" s="246">
        <f t="shared" ca="1" si="10"/>
        <v>0.22700000000000001</v>
      </c>
      <c r="F100" s="246" t="str">
        <f t="shared" ca="1" si="11"/>
        <v>2,3-dimethylpentane</v>
      </c>
      <c r="G100" s="246">
        <f t="shared" ca="1" si="12"/>
        <v>100.20194000000001</v>
      </c>
      <c r="H100" s="204">
        <f ca="1">IF(G100="","",IF(VLOOKUP(Tank!F100,'Species Data'!D:F,3,FALSE)=0,"X",IF(G100&lt;44.1,2,1)))</f>
        <v>1</v>
      </c>
      <c r="I100" s="204">
        <f t="shared" ca="1" si="13"/>
        <v>0.24488235087056845</v>
      </c>
      <c r="J100" s="247">
        <f ca="1">IF(I100="","",IF(COUNTIF($D$12:D100,D100)=1,IF(H100=1,I100*H100,IF(H100="X","X",0)),0))</f>
        <v>0</v>
      </c>
      <c r="K100" s="248">
        <f t="shared" ca="1" si="14"/>
        <v>0</v>
      </c>
      <c r="L100" s="212" t="s">
        <v>679</v>
      </c>
      <c r="M100" s="212" t="s">
        <v>448</v>
      </c>
      <c r="N100" s="212" t="s">
        <v>470</v>
      </c>
      <c r="O100" s="213">
        <v>41419</v>
      </c>
      <c r="P100" s="212" t="s">
        <v>531</v>
      </c>
      <c r="Q100" s="214">
        <v>100</v>
      </c>
      <c r="R100" s="212" t="s">
        <v>445</v>
      </c>
      <c r="S100" s="212" t="s">
        <v>532</v>
      </c>
      <c r="T100" s="212" t="s">
        <v>445</v>
      </c>
      <c r="U100" s="212" t="s">
        <v>446</v>
      </c>
      <c r="V100" s="214" t="b">
        <v>1</v>
      </c>
      <c r="W100" s="214">
        <v>1989</v>
      </c>
      <c r="X100" s="214">
        <v>5</v>
      </c>
      <c r="Y100" s="214">
        <v>2</v>
      </c>
      <c r="Z100" s="214">
        <v>4</v>
      </c>
      <c r="AA100" s="212" t="s">
        <v>447</v>
      </c>
      <c r="AB100" s="212" t="s">
        <v>531</v>
      </c>
      <c r="AC100" s="212" t="s">
        <v>533</v>
      </c>
      <c r="AD100" s="214">
        <v>1.387392</v>
      </c>
      <c r="AE100" s="214">
        <v>140</v>
      </c>
      <c r="AF100" s="214">
        <v>0.22700000000000001</v>
      </c>
      <c r="AG100" s="214">
        <v>-99</v>
      </c>
      <c r="AH100" s="212" t="s">
        <v>224</v>
      </c>
      <c r="AI100" s="212" t="s">
        <v>449</v>
      </c>
      <c r="AJ100" s="212" t="s">
        <v>307</v>
      </c>
      <c r="AK100" s="212" t="s">
        <v>531</v>
      </c>
      <c r="AL100" s="212" t="s">
        <v>385</v>
      </c>
      <c r="AM100" s="214" t="b">
        <v>1</v>
      </c>
      <c r="AN100" s="214" t="b">
        <v>0</v>
      </c>
      <c r="AO100" s="212" t="s">
        <v>308</v>
      </c>
      <c r="AP100" s="212" t="s">
        <v>309</v>
      </c>
      <c r="AQ100" s="214">
        <v>100.20194000000001</v>
      </c>
      <c r="AR100" s="214" t="b">
        <v>0</v>
      </c>
      <c r="AS100" s="212" t="s">
        <v>534</v>
      </c>
      <c r="AU100" s="222" t="s">
        <v>819</v>
      </c>
    </row>
    <row r="101" spans="1:47" ht="15" customHeight="1" x14ac:dyDescent="0.25">
      <c r="A101" s="245">
        <f t="shared" si="15"/>
        <v>101</v>
      </c>
      <c r="B101" s="246" t="str">
        <f t="shared" si="8"/>
        <v>Oil Field - Tank</v>
      </c>
      <c r="C101" s="246" t="str">
        <f ca="1">IF(B101="","",VLOOKUP(D101,'Species Data'!B:E,4,FALSE))</f>
        <v>dimetpen4</v>
      </c>
      <c r="D101" s="246">
        <f t="shared" ca="1" si="9"/>
        <v>152</v>
      </c>
      <c r="E101" s="246">
        <f t="shared" ca="1" si="10"/>
        <v>9.2299999999999993E-2</v>
      </c>
      <c r="F101" s="246" t="str">
        <f t="shared" ca="1" si="11"/>
        <v>2,4-dimethylpentane</v>
      </c>
      <c r="G101" s="246">
        <f t="shared" ca="1" si="12"/>
        <v>100.20194000000001</v>
      </c>
      <c r="H101" s="204">
        <f ca="1">IF(G101="","",IF(VLOOKUP(Tank!F101,'Species Data'!D:F,3,FALSE)=0,"X",IF(G101&lt;44.1,2,1)))</f>
        <v>1</v>
      </c>
      <c r="I101" s="204">
        <f t="shared" ca="1" si="13"/>
        <v>7.947409628465768E-2</v>
      </c>
      <c r="J101" s="247">
        <f ca="1">IF(I101="","",IF(COUNTIF($D$12:D101,D101)=1,IF(H101=1,I101*H101,IF(H101="X","X",0)),0))</f>
        <v>0</v>
      </c>
      <c r="K101" s="248">
        <f t="shared" ca="1" si="14"/>
        <v>0</v>
      </c>
      <c r="L101" s="212" t="s">
        <v>679</v>
      </c>
      <c r="M101" s="212" t="s">
        <v>448</v>
      </c>
      <c r="N101" s="212" t="s">
        <v>470</v>
      </c>
      <c r="O101" s="213">
        <v>41419</v>
      </c>
      <c r="P101" s="212" t="s">
        <v>531</v>
      </c>
      <c r="Q101" s="214">
        <v>100</v>
      </c>
      <c r="R101" s="212" t="s">
        <v>445</v>
      </c>
      <c r="S101" s="212" t="s">
        <v>532</v>
      </c>
      <c r="T101" s="212" t="s">
        <v>445</v>
      </c>
      <c r="U101" s="212" t="s">
        <v>446</v>
      </c>
      <c r="V101" s="214" t="b">
        <v>1</v>
      </c>
      <c r="W101" s="214">
        <v>1989</v>
      </c>
      <c r="X101" s="214">
        <v>5</v>
      </c>
      <c r="Y101" s="214">
        <v>2</v>
      </c>
      <c r="Z101" s="214">
        <v>4</v>
      </c>
      <c r="AA101" s="212" t="s">
        <v>447</v>
      </c>
      <c r="AB101" s="212" t="s">
        <v>531</v>
      </c>
      <c r="AC101" s="212" t="s">
        <v>533</v>
      </c>
      <c r="AD101" s="214">
        <v>1.387392</v>
      </c>
      <c r="AE101" s="214">
        <v>152</v>
      </c>
      <c r="AF101" s="214">
        <v>9.2299999999999993E-2</v>
      </c>
      <c r="AG101" s="214">
        <v>-99</v>
      </c>
      <c r="AH101" s="212" t="s">
        <v>224</v>
      </c>
      <c r="AI101" s="212" t="s">
        <v>449</v>
      </c>
      <c r="AJ101" s="212" t="s">
        <v>310</v>
      </c>
      <c r="AK101" s="212" t="s">
        <v>531</v>
      </c>
      <c r="AL101" s="212" t="s">
        <v>386</v>
      </c>
      <c r="AM101" s="214" t="b">
        <v>1</v>
      </c>
      <c r="AN101" s="214" t="b">
        <v>0</v>
      </c>
      <c r="AO101" s="212" t="s">
        <v>311</v>
      </c>
      <c r="AP101" s="212" t="s">
        <v>312</v>
      </c>
      <c r="AQ101" s="214">
        <v>100.20194000000001</v>
      </c>
      <c r="AR101" s="214" t="b">
        <v>0</v>
      </c>
      <c r="AS101" s="212" t="s">
        <v>534</v>
      </c>
      <c r="AU101" s="222" t="s">
        <v>819</v>
      </c>
    </row>
    <row r="102" spans="1:47" x14ac:dyDescent="0.25">
      <c r="A102" s="245">
        <f t="shared" si="15"/>
        <v>102</v>
      </c>
      <c r="B102" s="246" t="str">
        <f t="shared" si="8"/>
        <v>Oil Field - Tank</v>
      </c>
      <c r="C102" s="246" t="str">
        <f ca="1">IF(B102="","",VLOOKUP(D102,'Species Data'!B:E,4,FALSE))</f>
        <v>twomethex</v>
      </c>
      <c r="D102" s="246">
        <f t="shared" ca="1" si="9"/>
        <v>194</v>
      </c>
      <c r="E102" s="246">
        <f t="shared" ca="1" si="10"/>
        <v>0.49070000000000003</v>
      </c>
      <c r="F102" s="246" t="str">
        <f t="shared" ca="1" si="11"/>
        <v>2-methylhexane</v>
      </c>
      <c r="G102" s="246">
        <f t="shared" ca="1" si="12"/>
        <v>100.20194000000001</v>
      </c>
      <c r="H102" s="204">
        <f ca="1">IF(G102="","",IF(VLOOKUP(Tank!F102,'Species Data'!D:F,3,FALSE)=0,"X",IF(G102&lt;44.1,2,1)))</f>
        <v>1</v>
      </c>
      <c r="I102" s="204">
        <f t="shared" ca="1" si="13"/>
        <v>0.30248957056654424</v>
      </c>
      <c r="J102" s="247">
        <f ca="1">IF(I102="","",IF(COUNTIF($D$12:D102,D102)=1,IF(H102=1,I102*H102,IF(H102="X","X",0)),0))</f>
        <v>0</v>
      </c>
      <c r="K102" s="248">
        <f t="shared" ca="1" si="14"/>
        <v>0</v>
      </c>
      <c r="L102" s="212" t="s">
        <v>679</v>
      </c>
      <c r="M102" s="212" t="s">
        <v>448</v>
      </c>
      <c r="N102" s="212" t="s">
        <v>470</v>
      </c>
      <c r="O102" s="213">
        <v>41419</v>
      </c>
      <c r="P102" s="212" t="s">
        <v>531</v>
      </c>
      <c r="Q102" s="214">
        <v>100</v>
      </c>
      <c r="R102" s="212" t="s">
        <v>445</v>
      </c>
      <c r="S102" s="212" t="s">
        <v>532</v>
      </c>
      <c r="T102" s="212" t="s">
        <v>445</v>
      </c>
      <c r="U102" s="212" t="s">
        <v>446</v>
      </c>
      <c r="V102" s="214" t="b">
        <v>1</v>
      </c>
      <c r="W102" s="214">
        <v>1989</v>
      </c>
      <c r="X102" s="214">
        <v>5</v>
      </c>
      <c r="Y102" s="214">
        <v>2</v>
      </c>
      <c r="Z102" s="214">
        <v>4</v>
      </c>
      <c r="AA102" s="212" t="s">
        <v>447</v>
      </c>
      <c r="AB102" s="212" t="s">
        <v>531</v>
      </c>
      <c r="AC102" s="212" t="s">
        <v>533</v>
      </c>
      <c r="AD102" s="214">
        <v>1.387392</v>
      </c>
      <c r="AE102" s="214">
        <v>194</v>
      </c>
      <c r="AF102" s="214">
        <v>0.49070000000000003</v>
      </c>
      <c r="AG102" s="214">
        <v>-99</v>
      </c>
      <c r="AH102" s="212" t="s">
        <v>224</v>
      </c>
      <c r="AI102" s="212" t="s">
        <v>449</v>
      </c>
      <c r="AJ102" s="212" t="s">
        <v>316</v>
      </c>
      <c r="AK102" s="212" t="s">
        <v>531</v>
      </c>
      <c r="AL102" s="212" t="s">
        <v>388</v>
      </c>
      <c r="AM102" s="214" t="b">
        <v>1</v>
      </c>
      <c r="AN102" s="214" t="b">
        <v>0</v>
      </c>
      <c r="AO102" s="212" t="s">
        <v>317</v>
      </c>
      <c r="AP102" s="212" t="s">
        <v>318</v>
      </c>
      <c r="AQ102" s="214">
        <v>100.20194000000001</v>
      </c>
      <c r="AR102" s="214" t="b">
        <v>0</v>
      </c>
      <c r="AS102" s="212" t="s">
        <v>534</v>
      </c>
      <c r="AU102" s="222" t="s">
        <v>819</v>
      </c>
    </row>
    <row r="103" spans="1:47" x14ac:dyDescent="0.25">
      <c r="A103" s="245">
        <f t="shared" si="15"/>
        <v>103</v>
      </c>
      <c r="B103" s="246" t="str">
        <f t="shared" si="8"/>
        <v>Oil Field - Tank</v>
      </c>
      <c r="C103" s="246" t="str">
        <f ca="1">IF(B103="","",VLOOKUP(D103,'Species Data'!B:E,4,FALSE))</f>
        <v>twometpen</v>
      </c>
      <c r="D103" s="246">
        <f t="shared" ca="1" si="9"/>
        <v>199</v>
      </c>
      <c r="E103" s="246">
        <f t="shared" ca="1" si="10"/>
        <v>1.0162</v>
      </c>
      <c r="F103" s="246" t="str">
        <f t="shared" ca="1" si="11"/>
        <v>2-methylpentane (isohexane)</v>
      </c>
      <c r="G103" s="246">
        <f t="shared" ca="1" si="12"/>
        <v>86.175359999999998</v>
      </c>
      <c r="H103" s="204">
        <f ca="1">IF(G103="","",IF(VLOOKUP(Tank!F103,'Species Data'!D:F,3,FALSE)=0,"X",IF(G103&lt;44.1,2,1)))</f>
        <v>1</v>
      </c>
      <c r="I103" s="204">
        <f t="shared" ca="1" si="13"/>
        <v>0.93120227287515311</v>
      </c>
      <c r="J103" s="247">
        <f ca="1">IF(I103="","",IF(COUNTIF($D$12:D103,D103)=1,IF(H103=1,I103*H103,IF(H103="X","X",0)),0))</f>
        <v>0</v>
      </c>
      <c r="K103" s="248">
        <f t="shared" ca="1" si="14"/>
        <v>0</v>
      </c>
      <c r="L103" s="212" t="s">
        <v>679</v>
      </c>
      <c r="M103" s="212" t="s">
        <v>448</v>
      </c>
      <c r="N103" s="212" t="s">
        <v>470</v>
      </c>
      <c r="O103" s="213">
        <v>41419</v>
      </c>
      <c r="P103" s="212" t="s">
        <v>531</v>
      </c>
      <c r="Q103" s="214">
        <v>100</v>
      </c>
      <c r="R103" s="212" t="s">
        <v>445</v>
      </c>
      <c r="S103" s="212" t="s">
        <v>532</v>
      </c>
      <c r="T103" s="212" t="s">
        <v>445</v>
      </c>
      <c r="U103" s="212" t="s">
        <v>446</v>
      </c>
      <c r="V103" s="214" t="b">
        <v>1</v>
      </c>
      <c r="W103" s="214">
        <v>1989</v>
      </c>
      <c r="X103" s="214">
        <v>5</v>
      </c>
      <c r="Y103" s="214">
        <v>2</v>
      </c>
      <c r="Z103" s="214">
        <v>4</v>
      </c>
      <c r="AA103" s="212" t="s">
        <v>447</v>
      </c>
      <c r="AB103" s="212" t="s">
        <v>531</v>
      </c>
      <c r="AC103" s="212" t="s">
        <v>533</v>
      </c>
      <c r="AD103" s="214">
        <v>1.387392</v>
      </c>
      <c r="AE103" s="214">
        <v>199</v>
      </c>
      <c r="AF103" s="214">
        <v>1.0162</v>
      </c>
      <c r="AG103" s="214">
        <v>-99</v>
      </c>
      <c r="AH103" s="212" t="s">
        <v>224</v>
      </c>
      <c r="AI103" s="212" t="s">
        <v>449</v>
      </c>
      <c r="AJ103" s="212" t="s">
        <v>319</v>
      </c>
      <c r="AK103" s="212" t="s">
        <v>531</v>
      </c>
      <c r="AL103" s="212" t="s">
        <v>389</v>
      </c>
      <c r="AM103" s="214" t="b">
        <v>1</v>
      </c>
      <c r="AN103" s="214" t="b">
        <v>0</v>
      </c>
      <c r="AO103" s="212" t="s">
        <v>320</v>
      </c>
      <c r="AP103" s="212" t="s">
        <v>321</v>
      </c>
      <c r="AQ103" s="214">
        <v>86.175359999999998</v>
      </c>
      <c r="AR103" s="214" t="b">
        <v>0</v>
      </c>
      <c r="AS103" s="212" t="s">
        <v>534</v>
      </c>
      <c r="AU103" s="222" t="s">
        <v>819</v>
      </c>
    </row>
    <row r="104" spans="1:47" x14ac:dyDescent="0.25">
      <c r="A104" s="245">
        <f t="shared" si="15"/>
        <v>104</v>
      </c>
      <c r="B104" s="246" t="str">
        <f t="shared" si="8"/>
        <v>Oil Field - Tank</v>
      </c>
      <c r="C104" s="246" t="str">
        <f ca="1">IF(B104="","",VLOOKUP(D104,'Species Data'!B:E,4,FALSE))</f>
        <v>ethylhexane</v>
      </c>
      <c r="D104" s="246">
        <f t="shared" ca="1" si="9"/>
        <v>226</v>
      </c>
      <c r="E104" s="246">
        <f t="shared" ca="1" si="10"/>
        <v>0.12670000000000001</v>
      </c>
      <c r="F104" s="246" t="str">
        <f t="shared" ca="1" si="11"/>
        <v>3-ethylhexane</v>
      </c>
      <c r="G104" s="246">
        <f t="shared" ca="1" si="12"/>
        <v>114.22852</v>
      </c>
      <c r="H104" s="204" t="str">
        <f ca="1">IF(G104="","",IF(VLOOKUP(Tank!F104,'Species Data'!D:F,3,FALSE)=0,"X",IF(G104&lt;44.1,2,1)))</f>
        <v>X</v>
      </c>
      <c r="I104" s="204">
        <f t="shared" ca="1" si="13"/>
        <v>9.0107531698970997E-2</v>
      </c>
      <c r="J104" s="247" t="str">
        <f ca="1">IF(I104="","",IF(COUNTIF($D$12:D104,D104)=1,IF(H104=1,I104*H104,IF(H104="X","X",0)),0))</f>
        <v>X</v>
      </c>
      <c r="K104" s="248">
        <f t="shared" ca="1" si="14"/>
        <v>0</v>
      </c>
      <c r="L104" s="212" t="s">
        <v>679</v>
      </c>
      <c r="M104" s="212" t="s">
        <v>448</v>
      </c>
      <c r="N104" s="212" t="s">
        <v>470</v>
      </c>
      <c r="O104" s="213">
        <v>41419</v>
      </c>
      <c r="P104" s="212" t="s">
        <v>531</v>
      </c>
      <c r="Q104" s="214">
        <v>100</v>
      </c>
      <c r="R104" s="212" t="s">
        <v>445</v>
      </c>
      <c r="S104" s="212" t="s">
        <v>532</v>
      </c>
      <c r="T104" s="212" t="s">
        <v>445</v>
      </c>
      <c r="U104" s="212" t="s">
        <v>446</v>
      </c>
      <c r="V104" s="214" t="b">
        <v>1</v>
      </c>
      <c r="W104" s="214">
        <v>1989</v>
      </c>
      <c r="X104" s="214">
        <v>5</v>
      </c>
      <c r="Y104" s="214">
        <v>2</v>
      </c>
      <c r="Z104" s="214">
        <v>4</v>
      </c>
      <c r="AA104" s="212" t="s">
        <v>447</v>
      </c>
      <c r="AB104" s="212" t="s">
        <v>531</v>
      </c>
      <c r="AC104" s="212" t="s">
        <v>533</v>
      </c>
      <c r="AD104" s="214">
        <v>1.387392</v>
      </c>
      <c r="AE104" s="214">
        <v>226</v>
      </c>
      <c r="AF104" s="214">
        <v>0.12670000000000001</v>
      </c>
      <c r="AG104" s="214">
        <v>-99</v>
      </c>
      <c r="AH104" s="212" t="s">
        <v>224</v>
      </c>
      <c r="AI104" s="212" t="s">
        <v>449</v>
      </c>
      <c r="AJ104" s="212" t="s">
        <v>439</v>
      </c>
      <c r="AK104" s="212" t="s">
        <v>531</v>
      </c>
      <c r="AL104" s="212" t="s">
        <v>461</v>
      </c>
      <c r="AM104" s="214" t="b">
        <v>0</v>
      </c>
      <c r="AN104" s="214" t="b">
        <v>0</v>
      </c>
      <c r="AO104" s="212" t="s">
        <v>440</v>
      </c>
      <c r="AP104" s="212" t="s">
        <v>531</v>
      </c>
      <c r="AQ104" s="214">
        <v>114.22852</v>
      </c>
      <c r="AR104" s="214" t="b">
        <v>0</v>
      </c>
      <c r="AS104" s="212" t="s">
        <v>534</v>
      </c>
      <c r="AU104" s="222" t="s">
        <v>819</v>
      </c>
    </row>
    <row r="105" spans="1:47" ht="15" customHeight="1" x14ac:dyDescent="0.25">
      <c r="A105" s="245">
        <f t="shared" si="15"/>
        <v>105</v>
      </c>
      <c r="B105" s="246" t="str">
        <f t="shared" si="8"/>
        <v>Oil Field - Tank</v>
      </c>
      <c r="C105" s="246" t="str">
        <f ca="1">IF(B105="","",VLOOKUP(D105,'Species Data'!B:E,4,FALSE))</f>
        <v>benzene</v>
      </c>
      <c r="D105" s="246">
        <f t="shared" ca="1" si="9"/>
        <v>302</v>
      </c>
      <c r="E105" s="246">
        <f t="shared" ca="1" si="10"/>
        <v>0.46610000000000001</v>
      </c>
      <c r="F105" s="246" t="str">
        <f t="shared" ca="1" si="11"/>
        <v>Benzene</v>
      </c>
      <c r="G105" s="246">
        <f t="shared" ca="1" si="12"/>
        <v>78.111840000000001</v>
      </c>
      <c r="H105" s="204">
        <f ca="1">IF(G105="","",IF(VLOOKUP(Tank!F105,'Species Data'!D:F,3,FALSE)=0,"X",IF(G105&lt;44.1,2,1)))</f>
        <v>1</v>
      </c>
      <c r="I105" s="204">
        <f t="shared" ca="1" si="13"/>
        <v>0.24518902048126334</v>
      </c>
      <c r="J105" s="247">
        <f ca="1">IF(I105="","",IF(COUNTIF($D$12:D105,D105)=1,IF(H105=1,I105*H105,IF(H105="X","X",0)),0))</f>
        <v>0</v>
      </c>
      <c r="K105" s="248">
        <f t="shared" ca="1" si="14"/>
        <v>0</v>
      </c>
      <c r="L105" s="212" t="s">
        <v>679</v>
      </c>
      <c r="M105" s="212" t="s">
        <v>448</v>
      </c>
      <c r="N105" s="212" t="s">
        <v>470</v>
      </c>
      <c r="O105" s="213">
        <v>41419</v>
      </c>
      <c r="P105" s="212" t="s">
        <v>531</v>
      </c>
      <c r="Q105" s="214">
        <v>100</v>
      </c>
      <c r="R105" s="212" t="s">
        <v>445</v>
      </c>
      <c r="S105" s="212" t="s">
        <v>532</v>
      </c>
      <c r="T105" s="212" t="s">
        <v>445</v>
      </c>
      <c r="U105" s="212" t="s">
        <v>446</v>
      </c>
      <c r="V105" s="214" t="b">
        <v>1</v>
      </c>
      <c r="W105" s="214">
        <v>1989</v>
      </c>
      <c r="X105" s="214">
        <v>5</v>
      </c>
      <c r="Y105" s="214">
        <v>2</v>
      </c>
      <c r="Z105" s="214">
        <v>4</v>
      </c>
      <c r="AA105" s="212" t="s">
        <v>447</v>
      </c>
      <c r="AB105" s="212" t="s">
        <v>531</v>
      </c>
      <c r="AC105" s="212" t="s">
        <v>533</v>
      </c>
      <c r="AD105" s="214">
        <v>1.387392</v>
      </c>
      <c r="AE105" s="214">
        <v>302</v>
      </c>
      <c r="AF105" s="214">
        <v>0.46610000000000001</v>
      </c>
      <c r="AG105" s="214">
        <v>-99</v>
      </c>
      <c r="AH105" s="212" t="s">
        <v>224</v>
      </c>
      <c r="AI105" s="212" t="s">
        <v>449</v>
      </c>
      <c r="AJ105" s="212" t="s">
        <v>262</v>
      </c>
      <c r="AK105" s="212" t="s">
        <v>531</v>
      </c>
      <c r="AL105" s="212" t="s">
        <v>373</v>
      </c>
      <c r="AM105" s="214" t="b">
        <v>1</v>
      </c>
      <c r="AN105" s="214" t="b">
        <v>1</v>
      </c>
      <c r="AO105" s="212" t="s">
        <v>263</v>
      </c>
      <c r="AP105" s="212" t="s">
        <v>264</v>
      </c>
      <c r="AQ105" s="214">
        <v>78.111840000000001</v>
      </c>
      <c r="AR105" s="214" t="b">
        <v>0</v>
      </c>
      <c r="AS105" s="212" t="s">
        <v>534</v>
      </c>
      <c r="AU105" s="222" t="s">
        <v>819</v>
      </c>
    </row>
    <row r="106" spans="1:47" ht="15" customHeight="1" x14ac:dyDescent="0.25">
      <c r="A106" s="245">
        <f t="shared" si="15"/>
        <v>106</v>
      </c>
      <c r="B106" s="246" t="str">
        <f t="shared" si="8"/>
        <v>Oil Field - Tank</v>
      </c>
      <c r="C106" s="246" t="str">
        <f ca="1">IF(B106="","",VLOOKUP(D106,'Species Data'!B:E,4,FALSE))</f>
        <v>cyclohexane</v>
      </c>
      <c r="D106" s="246">
        <f t="shared" ca="1" si="9"/>
        <v>385</v>
      </c>
      <c r="E106" s="246">
        <f t="shared" ca="1" si="10"/>
        <v>1.77E-2</v>
      </c>
      <c r="F106" s="246" t="str">
        <f t="shared" ca="1" si="11"/>
        <v>Cyclohexane</v>
      </c>
      <c r="G106" s="246">
        <f t="shared" ca="1" si="12"/>
        <v>84.159480000000002</v>
      </c>
      <c r="H106" s="204">
        <f ca="1">IF(G106="","",IF(VLOOKUP(Tank!F106,'Species Data'!D:F,3,FALSE)=0,"X",IF(G106&lt;44.1,2,1)))</f>
        <v>1</v>
      </c>
      <c r="I106" s="204">
        <f t="shared" ca="1" si="13"/>
        <v>1.8406843372363042E-2</v>
      </c>
      <c r="J106" s="247">
        <f ca="1">IF(I106="","",IF(COUNTIF($D$12:D106,D106)=1,IF(H106=1,I106*H106,IF(H106="X","X",0)),0))</f>
        <v>0</v>
      </c>
      <c r="K106" s="248">
        <f t="shared" ca="1" si="14"/>
        <v>0</v>
      </c>
      <c r="L106" s="212" t="s">
        <v>679</v>
      </c>
      <c r="M106" s="212" t="s">
        <v>448</v>
      </c>
      <c r="N106" s="212" t="s">
        <v>470</v>
      </c>
      <c r="O106" s="213">
        <v>41419</v>
      </c>
      <c r="P106" s="212" t="s">
        <v>531</v>
      </c>
      <c r="Q106" s="214">
        <v>100</v>
      </c>
      <c r="R106" s="212" t="s">
        <v>445</v>
      </c>
      <c r="S106" s="212" t="s">
        <v>532</v>
      </c>
      <c r="T106" s="212" t="s">
        <v>445</v>
      </c>
      <c r="U106" s="212" t="s">
        <v>446</v>
      </c>
      <c r="V106" s="214" t="b">
        <v>1</v>
      </c>
      <c r="W106" s="214">
        <v>1989</v>
      </c>
      <c r="X106" s="214">
        <v>5</v>
      </c>
      <c r="Y106" s="214">
        <v>2</v>
      </c>
      <c r="Z106" s="214">
        <v>4</v>
      </c>
      <c r="AA106" s="212" t="s">
        <v>447</v>
      </c>
      <c r="AB106" s="212" t="s">
        <v>531</v>
      </c>
      <c r="AC106" s="212" t="s">
        <v>533</v>
      </c>
      <c r="AD106" s="214">
        <v>1.387392</v>
      </c>
      <c r="AE106" s="214">
        <v>385</v>
      </c>
      <c r="AF106" s="214">
        <v>1.77E-2</v>
      </c>
      <c r="AG106" s="214">
        <v>-99</v>
      </c>
      <c r="AH106" s="212" t="s">
        <v>224</v>
      </c>
      <c r="AI106" s="212" t="s">
        <v>449</v>
      </c>
      <c r="AJ106" s="212" t="s">
        <v>331</v>
      </c>
      <c r="AK106" s="212" t="s">
        <v>531</v>
      </c>
      <c r="AL106" s="212" t="s">
        <v>392</v>
      </c>
      <c r="AM106" s="214" t="b">
        <v>1</v>
      </c>
      <c r="AN106" s="214" t="b">
        <v>0</v>
      </c>
      <c r="AO106" s="212" t="s">
        <v>332</v>
      </c>
      <c r="AP106" s="212" t="s">
        <v>333</v>
      </c>
      <c r="AQ106" s="214">
        <v>84.159480000000002</v>
      </c>
      <c r="AR106" s="214" t="b">
        <v>0</v>
      </c>
      <c r="AS106" s="212" t="s">
        <v>534</v>
      </c>
      <c r="AU106" s="222" t="s">
        <v>819</v>
      </c>
    </row>
    <row r="107" spans="1:47" ht="15" customHeight="1" x14ac:dyDescent="0.25">
      <c r="A107" s="245">
        <f t="shared" si="15"/>
        <v>107</v>
      </c>
      <c r="B107" s="246" t="str">
        <f t="shared" si="8"/>
        <v>Oil Field - Tank</v>
      </c>
      <c r="C107" s="246" t="str">
        <f ca="1">IF(B107="","",VLOOKUP(D107,'Species Data'!B:E,4,FALSE))</f>
        <v>cyclopentane</v>
      </c>
      <c r="D107" s="246">
        <f t="shared" ca="1" si="9"/>
        <v>390</v>
      </c>
      <c r="E107" s="246">
        <f t="shared" ca="1" si="10"/>
        <v>0.15989999999999999</v>
      </c>
      <c r="F107" s="246" t="str">
        <f t="shared" ca="1" si="11"/>
        <v>Cyclopentane</v>
      </c>
      <c r="G107" s="246">
        <f t="shared" ca="1" si="12"/>
        <v>70.132900000000006</v>
      </c>
      <c r="H107" s="204">
        <f ca="1">IF(G107="","",IF(VLOOKUP(Tank!F107,'Species Data'!D:F,3,FALSE)=0,"X",IF(G107&lt;44.1,2,1)))</f>
        <v>1</v>
      </c>
      <c r="I107" s="204">
        <f t="shared" ca="1" si="13"/>
        <v>0.15432814821688956</v>
      </c>
      <c r="J107" s="247">
        <f ca="1">IF(I107="","",IF(COUNTIF($D$12:D107,D107)=1,IF(H107=1,I107*H107,IF(H107="X","X",0)),0))</f>
        <v>0</v>
      </c>
      <c r="K107" s="248">
        <f t="shared" ca="1" si="14"/>
        <v>0</v>
      </c>
      <c r="L107" s="212" t="s">
        <v>679</v>
      </c>
      <c r="M107" s="212" t="s">
        <v>448</v>
      </c>
      <c r="N107" s="212" t="s">
        <v>470</v>
      </c>
      <c r="O107" s="213">
        <v>41419</v>
      </c>
      <c r="P107" s="212" t="s">
        <v>531</v>
      </c>
      <c r="Q107" s="214">
        <v>100</v>
      </c>
      <c r="R107" s="212" t="s">
        <v>445</v>
      </c>
      <c r="S107" s="212" t="s">
        <v>532</v>
      </c>
      <c r="T107" s="212" t="s">
        <v>445</v>
      </c>
      <c r="U107" s="212" t="s">
        <v>446</v>
      </c>
      <c r="V107" s="214" t="b">
        <v>1</v>
      </c>
      <c r="W107" s="214">
        <v>1989</v>
      </c>
      <c r="X107" s="214">
        <v>5</v>
      </c>
      <c r="Y107" s="214">
        <v>2</v>
      </c>
      <c r="Z107" s="214">
        <v>4</v>
      </c>
      <c r="AA107" s="212" t="s">
        <v>447</v>
      </c>
      <c r="AB107" s="212" t="s">
        <v>531</v>
      </c>
      <c r="AC107" s="212" t="s">
        <v>533</v>
      </c>
      <c r="AD107" s="214">
        <v>1.387392</v>
      </c>
      <c r="AE107" s="214">
        <v>390</v>
      </c>
      <c r="AF107" s="214">
        <v>0.15989999999999999</v>
      </c>
      <c r="AG107" s="214">
        <v>-99</v>
      </c>
      <c r="AH107" s="212" t="s">
        <v>224</v>
      </c>
      <c r="AI107" s="212" t="s">
        <v>449</v>
      </c>
      <c r="AJ107" s="212" t="s">
        <v>334</v>
      </c>
      <c r="AK107" s="212" t="s">
        <v>531</v>
      </c>
      <c r="AL107" s="212" t="s">
        <v>393</v>
      </c>
      <c r="AM107" s="214" t="b">
        <v>1</v>
      </c>
      <c r="AN107" s="214" t="b">
        <v>0</v>
      </c>
      <c r="AO107" s="212" t="s">
        <v>335</v>
      </c>
      <c r="AP107" s="212" t="s">
        <v>336</v>
      </c>
      <c r="AQ107" s="214">
        <v>70.132900000000006</v>
      </c>
      <c r="AR107" s="214" t="b">
        <v>0</v>
      </c>
      <c r="AS107" s="212" t="s">
        <v>534</v>
      </c>
      <c r="AU107" s="222" t="s">
        <v>819</v>
      </c>
    </row>
    <row r="108" spans="1:47" ht="15" customHeight="1" x14ac:dyDescent="0.25">
      <c r="A108" s="245">
        <f t="shared" si="15"/>
        <v>108</v>
      </c>
      <c r="B108" s="246" t="str">
        <f t="shared" si="8"/>
        <v>Oil Field - Tank</v>
      </c>
      <c r="C108" s="246" t="str">
        <f ca="1">IF(B108="","",VLOOKUP(D108,'Species Data'!B:E,4,FALSE))</f>
        <v>ethane</v>
      </c>
      <c r="D108" s="246">
        <f t="shared" ca="1" si="9"/>
        <v>438</v>
      </c>
      <c r="E108" s="246">
        <f t="shared" ca="1" si="10"/>
        <v>8.4997000000000007</v>
      </c>
      <c r="F108" s="246" t="str">
        <f t="shared" ca="1" si="11"/>
        <v>Ethane</v>
      </c>
      <c r="G108" s="246">
        <f t="shared" ca="1" si="12"/>
        <v>30.069040000000005</v>
      </c>
      <c r="H108" s="204">
        <f ca="1">IF(G108="","",IF(VLOOKUP(Tank!F108,'Species Data'!D:F,3,FALSE)=0,"X",IF(G108&lt;44.1,2,1)))</f>
        <v>2</v>
      </c>
      <c r="I108" s="204">
        <f t="shared" ca="1" si="13"/>
        <v>5.717421553913586</v>
      </c>
      <c r="J108" s="247">
        <f ca="1">IF(I108="","",IF(COUNTIF($D$12:D108,D108)=1,IF(H108=1,I108*H108,IF(H108="X","X",0)),0))</f>
        <v>0</v>
      </c>
      <c r="K108" s="248">
        <f t="shared" ca="1" si="14"/>
        <v>0</v>
      </c>
      <c r="L108" s="212" t="s">
        <v>679</v>
      </c>
      <c r="M108" s="212" t="s">
        <v>448</v>
      </c>
      <c r="N108" s="212" t="s">
        <v>470</v>
      </c>
      <c r="O108" s="213">
        <v>41419</v>
      </c>
      <c r="P108" s="212" t="s">
        <v>531</v>
      </c>
      <c r="Q108" s="214">
        <v>100</v>
      </c>
      <c r="R108" s="212" t="s">
        <v>445</v>
      </c>
      <c r="S108" s="212" t="s">
        <v>532</v>
      </c>
      <c r="T108" s="212" t="s">
        <v>445</v>
      </c>
      <c r="U108" s="212" t="s">
        <v>446</v>
      </c>
      <c r="V108" s="214" t="b">
        <v>1</v>
      </c>
      <c r="W108" s="214">
        <v>1989</v>
      </c>
      <c r="X108" s="214">
        <v>5</v>
      </c>
      <c r="Y108" s="214">
        <v>2</v>
      </c>
      <c r="Z108" s="214">
        <v>4</v>
      </c>
      <c r="AA108" s="212" t="s">
        <v>447</v>
      </c>
      <c r="AB108" s="212" t="s">
        <v>531</v>
      </c>
      <c r="AC108" s="212" t="s">
        <v>533</v>
      </c>
      <c r="AD108" s="214">
        <v>1.387392</v>
      </c>
      <c r="AE108" s="214">
        <v>438</v>
      </c>
      <c r="AF108" s="214">
        <v>8.4997000000000007</v>
      </c>
      <c r="AG108" s="214">
        <v>-99</v>
      </c>
      <c r="AH108" s="212" t="s">
        <v>224</v>
      </c>
      <c r="AI108" s="212" t="s">
        <v>449</v>
      </c>
      <c r="AJ108" s="212" t="s">
        <v>265</v>
      </c>
      <c r="AK108" s="212" t="s">
        <v>531</v>
      </c>
      <c r="AL108" s="212" t="s">
        <v>374</v>
      </c>
      <c r="AM108" s="214" t="b">
        <v>1</v>
      </c>
      <c r="AN108" s="214" t="b">
        <v>0</v>
      </c>
      <c r="AO108" s="212" t="s">
        <v>266</v>
      </c>
      <c r="AP108" s="212" t="s">
        <v>267</v>
      </c>
      <c r="AQ108" s="214">
        <v>30.069040000000005</v>
      </c>
      <c r="AR108" s="214" t="b">
        <v>1</v>
      </c>
      <c r="AS108" s="212" t="s">
        <v>534</v>
      </c>
      <c r="AU108" s="222" t="s">
        <v>819</v>
      </c>
    </row>
    <row r="109" spans="1:47" x14ac:dyDescent="0.25">
      <c r="A109" s="245">
        <f t="shared" si="15"/>
        <v>109</v>
      </c>
      <c r="B109" s="246" t="str">
        <f t="shared" si="8"/>
        <v>Oil Field - Tank</v>
      </c>
      <c r="C109" s="246" t="str">
        <f ca="1">IF(B109="","",VLOOKUP(D109,'Species Data'!B:E,4,FALSE))</f>
        <v>ethyl_benz</v>
      </c>
      <c r="D109" s="246">
        <f t="shared" ca="1" si="9"/>
        <v>449</v>
      </c>
      <c r="E109" s="246">
        <f t="shared" ca="1" si="10"/>
        <v>9.7600000000000006E-2</v>
      </c>
      <c r="F109" s="246" t="str">
        <f t="shared" ca="1" si="11"/>
        <v>Ethylbenzene</v>
      </c>
      <c r="G109" s="246">
        <f t="shared" ca="1" si="12"/>
        <v>106.16500000000001</v>
      </c>
      <c r="H109" s="204">
        <f ca="1">IF(G109="","",IF(VLOOKUP(Tank!F109,'Species Data'!D:F,3,FALSE)=0,"X",IF(G109&lt;44.1,2,1)))</f>
        <v>1</v>
      </c>
      <c r="I109" s="204">
        <f t="shared" ca="1" si="13"/>
        <v>0.12062115796311647</v>
      </c>
      <c r="J109" s="247">
        <f ca="1">IF(I109="","",IF(COUNTIF($D$12:D109,D109)=1,IF(H109=1,I109*H109,IF(H109="X","X",0)),0))</f>
        <v>0</v>
      </c>
      <c r="K109" s="248">
        <f t="shared" ca="1" si="14"/>
        <v>0</v>
      </c>
      <c r="L109" s="212" t="s">
        <v>679</v>
      </c>
      <c r="M109" s="212" t="s">
        <v>448</v>
      </c>
      <c r="N109" s="212" t="s">
        <v>470</v>
      </c>
      <c r="O109" s="213">
        <v>41419</v>
      </c>
      <c r="P109" s="212" t="s">
        <v>531</v>
      </c>
      <c r="Q109" s="214">
        <v>100</v>
      </c>
      <c r="R109" s="212" t="s">
        <v>445</v>
      </c>
      <c r="S109" s="212" t="s">
        <v>532</v>
      </c>
      <c r="T109" s="212" t="s">
        <v>445</v>
      </c>
      <c r="U109" s="212" t="s">
        <v>446</v>
      </c>
      <c r="V109" s="214" t="b">
        <v>1</v>
      </c>
      <c r="W109" s="214">
        <v>1989</v>
      </c>
      <c r="X109" s="214">
        <v>5</v>
      </c>
      <c r="Y109" s="214">
        <v>2</v>
      </c>
      <c r="Z109" s="214">
        <v>4</v>
      </c>
      <c r="AA109" s="212" t="s">
        <v>447</v>
      </c>
      <c r="AB109" s="212" t="s">
        <v>531</v>
      </c>
      <c r="AC109" s="212" t="s">
        <v>533</v>
      </c>
      <c r="AD109" s="214">
        <v>1.387392</v>
      </c>
      <c r="AE109" s="214">
        <v>449</v>
      </c>
      <c r="AF109" s="214">
        <v>9.7600000000000006E-2</v>
      </c>
      <c r="AG109" s="214">
        <v>-99</v>
      </c>
      <c r="AH109" s="212" t="s">
        <v>224</v>
      </c>
      <c r="AI109" s="212" t="s">
        <v>449</v>
      </c>
      <c r="AJ109" s="212" t="s">
        <v>337</v>
      </c>
      <c r="AK109" s="212" t="s">
        <v>531</v>
      </c>
      <c r="AL109" s="212" t="s">
        <v>394</v>
      </c>
      <c r="AM109" s="214" t="b">
        <v>1</v>
      </c>
      <c r="AN109" s="214" t="b">
        <v>1</v>
      </c>
      <c r="AO109" s="212" t="s">
        <v>338</v>
      </c>
      <c r="AP109" s="212" t="s">
        <v>339</v>
      </c>
      <c r="AQ109" s="214">
        <v>106.16500000000001</v>
      </c>
      <c r="AR109" s="214" t="b">
        <v>0</v>
      </c>
      <c r="AS109" s="212" t="s">
        <v>534</v>
      </c>
      <c r="AU109" s="222" t="s">
        <v>819</v>
      </c>
    </row>
    <row r="110" spans="1:47" ht="15" customHeight="1" x14ac:dyDescent="0.25">
      <c r="A110" s="245">
        <f t="shared" si="15"/>
        <v>110</v>
      </c>
      <c r="B110" s="246" t="str">
        <f t="shared" si="8"/>
        <v>Oil Field - Tank</v>
      </c>
      <c r="C110" s="246" t="str">
        <f ca="1">IF(B110="","",VLOOKUP(D110,'Species Data'!B:E,4,FALSE))</f>
        <v>isobut</v>
      </c>
      <c r="D110" s="246">
        <f t="shared" ca="1" si="9"/>
        <v>491</v>
      </c>
      <c r="E110" s="246">
        <f t="shared" ca="1" si="10"/>
        <v>4.2801999999999998</v>
      </c>
      <c r="F110" s="246" t="str">
        <f t="shared" ca="1" si="11"/>
        <v>Isobutane</v>
      </c>
      <c r="G110" s="246">
        <f t="shared" ca="1" si="12"/>
        <v>58.122199999999992</v>
      </c>
      <c r="H110" s="204">
        <f ca="1">IF(G110="","",IF(VLOOKUP(Tank!F110,'Species Data'!D:F,3,FALSE)=0,"X",IF(G110&lt;44.1,2,1)))</f>
        <v>1</v>
      </c>
      <c r="I110" s="204">
        <f t="shared" ca="1" si="13"/>
        <v>3.2562712602040991</v>
      </c>
      <c r="J110" s="247">
        <f ca="1">IF(I110="","",IF(COUNTIF($D$12:D110,D110)=1,IF(H110=1,I110*H110,IF(H110="X","X",0)),0))</f>
        <v>0</v>
      </c>
      <c r="K110" s="248">
        <f t="shared" ca="1" si="14"/>
        <v>0</v>
      </c>
      <c r="L110" s="212" t="s">
        <v>679</v>
      </c>
      <c r="M110" s="212" t="s">
        <v>448</v>
      </c>
      <c r="N110" s="212" t="s">
        <v>470</v>
      </c>
      <c r="O110" s="213">
        <v>41419</v>
      </c>
      <c r="P110" s="212" t="s">
        <v>531</v>
      </c>
      <c r="Q110" s="214">
        <v>100</v>
      </c>
      <c r="R110" s="212" t="s">
        <v>445</v>
      </c>
      <c r="S110" s="212" t="s">
        <v>532</v>
      </c>
      <c r="T110" s="212" t="s">
        <v>445</v>
      </c>
      <c r="U110" s="212" t="s">
        <v>446</v>
      </c>
      <c r="V110" s="214" t="b">
        <v>1</v>
      </c>
      <c r="W110" s="214">
        <v>1989</v>
      </c>
      <c r="X110" s="214">
        <v>5</v>
      </c>
      <c r="Y110" s="214">
        <v>2</v>
      </c>
      <c r="Z110" s="214">
        <v>4</v>
      </c>
      <c r="AA110" s="212" t="s">
        <v>447</v>
      </c>
      <c r="AB110" s="212" t="s">
        <v>531</v>
      </c>
      <c r="AC110" s="212" t="s">
        <v>533</v>
      </c>
      <c r="AD110" s="214">
        <v>1.387392</v>
      </c>
      <c r="AE110" s="214">
        <v>491</v>
      </c>
      <c r="AF110" s="214">
        <v>4.2801999999999998</v>
      </c>
      <c r="AG110" s="214">
        <v>-99</v>
      </c>
      <c r="AH110" s="212" t="s">
        <v>224</v>
      </c>
      <c r="AI110" s="212" t="s">
        <v>449</v>
      </c>
      <c r="AJ110" s="212" t="s">
        <v>268</v>
      </c>
      <c r="AK110" s="212" t="s">
        <v>531</v>
      </c>
      <c r="AL110" s="212" t="s">
        <v>375</v>
      </c>
      <c r="AM110" s="214" t="b">
        <v>1</v>
      </c>
      <c r="AN110" s="214" t="b">
        <v>0</v>
      </c>
      <c r="AO110" s="212" t="s">
        <v>269</v>
      </c>
      <c r="AP110" s="212" t="s">
        <v>270</v>
      </c>
      <c r="AQ110" s="214">
        <v>58.122199999999992</v>
      </c>
      <c r="AR110" s="214" t="b">
        <v>0</v>
      </c>
      <c r="AS110" s="212" t="s">
        <v>534</v>
      </c>
      <c r="AU110" s="222" t="s">
        <v>819</v>
      </c>
    </row>
    <row r="111" spans="1:47" x14ac:dyDescent="0.25">
      <c r="A111" s="245">
        <f t="shared" si="15"/>
        <v>111</v>
      </c>
      <c r="B111" s="246" t="str">
        <f t="shared" si="8"/>
        <v>Oil Field - Tank</v>
      </c>
      <c r="C111" s="246" t="str">
        <f ca="1">IF(B111="","",VLOOKUP(D111,'Species Data'!B:E,4,FALSE))</f>
        <v>isopentane</v>
      </c>
      <c r="D111" s="246">
        <f t="shared" ca="1" si="9"/>
        <v>508</v>
      </c>
      <c r="E111" s="246">
        <f t="shared" ca="1" si="10"/>
        <v>1.6842999999999999</v>
      </c>
      <c r="F111" s="246" t="str">
        <f t="shared" ca="1" si="11"/>
        <v>Isopentane (2-Methylbutane)</v>
      </c>
      <c r="G111" s="246">
        <f t="shared" ca="1" si="12"/>
        <v>72.148780000000002</v>
      </c>
      <c r="H111" s="204">
        <f ca="1">IF(G111="","",IF(VLOOKUP(Tank!F111,'Species Data'!D:F,3,FALSE)=0,"X",IF(G111&lt;44.1,2,1)))</f>
        <v>1</v>
      </c>
      <c r="I111" s="204">
        <f t="shared" ca="1" si="13"/>
        <v>3.397999287459827</v>
      </c>
      <c r="J111" s="247">
        <f ca="1">IF(I111="","",IF(COUNTIF($D$12:D111,D111)=1,IF(H111=1,I111*H111,IF(H111="X","X",0)),0))</f>
        <v>0</v>
      </c>
      <c r="K111" s="248">
        <f t="shared" ca="1" si="14"/>
        <v>0</v>
      </c>
      <c r="L111" s="212" t="s">
        <v>679</v>
      </c>
      <c r="M111" s="212" t="s">
        <v>448</v>
      </c>
      <c r="N111" s="212" t="s">
        <v>470</v>
      </c>
      <c r="O111" s="213">
        <v>41419</v>
      </c>
      <c r="P111" s="212" t="s">
        <v>531</v>
      </c>
      <c r="Q111" s="214">
        <v>100</v>
      </c>
      <c r="R111" s="212" t="s">
        <v>445</v>
      </c>
      <c r="S111" s="212" t="s">
        <v>532</v>
      </c>
      <c r="T111" s="212" t="s">
        <v>445</v>
      </c>
      <c r="U111" s="212" t="s">
        <v>446</v>
      </c>
      <c r="V111" s="214" t="b">
        <v>1</v>
      </c>
      <c r="W111" s="214">
        <v>1989</v>
      </c>
      <c r="X111" s="214">
        <v>5</v>
      </c>
      <c r="Y111" s="214">
        <v>2</v>
      </c>
      <c r="Z111" s="214">
        <v>4</v>
      </c>
      <c r="AA111" s="212" t="s">
        <v>447</v>
      </c>
      <c r="AB111" s="212" t="s">
        <v>531</v>
      </c>
      <c r="AC111" s="212" t="s">
        <v>533</v>
      </c>
      <c r="AD111" s="214">
        <v>1.387392</v>
      </c>
      <c r="AE111" s="214">
        <v>508</v>
      </c>
      <c r="AF111" s="214">
        <v>1.6842999999999999</v>
      </c>
      <c r="AG111" s="214">
        <v>-99</v>
      </c>
      <c r="AH111" s="212" t="s">
        <v>224</v>
      </c>
      <c r="AI111" s="212" t="s">
        <v>449</v>
      </c>
      <c r="AJ111" s="212" t="s">
        <v>342</v>
      </c>
      <c r="AK111" s="212" t="s">
        <v>531</v>
      </c>
      <c r="AL111" s="212" t="s">
        <v>395</v>
      </c>
      <c r="AM111" s="214" t="b">
        <v>1</v>
      </c>
      <c r="AN111" s="214" t="b">
        <v>0</v>
      </c>
      <c r="AO111" s="212" t="s">
        <v>343</v>
      </c>
      <c r="AP111" s="212" t="s">
        <v>344</v>
      </c>
      <c r="AQ111" s="214">
        <v>72.148780000000002</v>
      </c>
      <c r="AR111" s="214" t="b">
        <v>0</v>
      </c>
      <c r="AS111" s="212" t="s">
        <v>534</v>
      </c>
      <c r="AU111" s="222" t="s">
        <v>819</v>
      </c>
    </row>
    <row r="112" spans="1:47" x14ac:dyDescent="0.25">
      <c r="A112" s="245">
        <f t="shared" si="15"/>
        <v>112</v>
      </c>
      <c r="B112" s="246" t="str">
        <f t="shared" si="8"/>
        <v>Oil Field - Tank</v>
      </c>
      <c r="C112" s="246" t="str">
        <f ca="1">IF(B112="","",VLOOKUP(D112,'Species Data'!B:E,4,FALSE))</f>
        <v>isopben</v>
      </c>
      <c r="D112" s="246">
        <f t="shared" ca="1" si="9"/>
        <v>514</v>
      </c>
      <c r="E112" s="246">
        <f t="shared" ca="1" si="10"/>
        <v>7.1000000000000004E-3</v>
      </c>
      <c r="F112" s="246" t="str">
        <f t="shared" ca="1" si="11"/>
        <v>Isopropylbenzene (cumene)</v>
      </c>
      <c r="G112" s="246">
        <f t="shared" ca="1" si="12"/>
        <v>120.19158</v>
      </c>
      <c r="H112" s="204">
        <f ca="1">IF(G112="","",IF(VLOOKUP(Tank!F112,'Species Data'!D:F,3,FALSE)=0,"X",IF(G112&lt;44.1,2,1)))</f>
        <v>1</v>
      </c>
      <c r="I112" s="204">
        <f t="shared" ca="1" si="13"/>
        <v>4.0067051310359253E-3</v>
      </c>
      <c r="J112" s="247">
        <f ca="1">IF(I112="","",IF(COUNTIF($D$12:D112,D112)=1,IF(H112=1,I112*H112,IF(H112="X","X",0)),0))</f>
        <v>0</v>
      </c>
      <c r="K112" s="248">
        <f t="shared" ca="1" si="14"/>
        <v>0</v>
      </c>
      <c r="L112" s="212" t="s">
        <v>679</v>
      </c>
      <c r="M112" s="212" t="s">
        <v>448</v>
      </c>
      <c r="N112" s="212" t="s">
        <v>470</v>
      </c>
      <c r="O112" s="213">
        <v>41419</v>
      </c>
      <c r="P112" s="212" t="s">
        <v>531</v>
      </c>
      <c r="Q112" s="214">
        <v>100</v>
      </c>
      <c r="R112" s="212" t="s">
        <v>445</v>
      </c>
      <c r="S112" s="212" t="s">
        <v>532</v>
      </c>
      <c r="T112" s="212" t="s">
        <v>445</v>
      </c>
      <c r="U112" s="212" t="s">
        <v>446</v>
      </c>
      <c r="V112" s="214" t="b">
        <v>1</v>
      </c>
      <c r="W112" s="214">
        <v>1989</v>
      </c>
      <c r="X112" s="214">
        <v>5</v>
      </c>
      <c r="Y112" s="214">
        <v>2</v>
      </c>
      <c r="Z112" s="214">
        <v>4</v>
      </c>
      <c r="AA112" s="212" t="s">
        <v>447</v>
      </c>
      <c r="AB112" s="212" t="s">
        <v>531</v>
      </c>
      <c r="AC112" s="212" t="s">
        <v>533</v>
      </c>
      <c r="AD112" s="214">
        <v>1.387392</v>
      </c>
      <c r="AE112" s="214">
        <v>514</v>
      </c>
      <c r="AF112" s="214">
        <v>7.1000000000000004E-3</v>
      </c>
      <c r="AG112" s="214">
        <v>-99</v>
      </c>
      <c r="AH112" s="212" t="s">
        <v>224</v>
      </c>
      <c r="AI112" s="212" t="s">
        <v>449</v>
      </c>
      <c r="AJ112" s="212" t="s">
        <v>362</v>
      </c>
      <c r="AK112" s="212" t="s">
        <v>531</v>
      </c>
      <c r="AL112" s="212" t="s">
        <v>399</v>
      </c>
      <c r="AM112" s="214" t="b">
        <v>1</v>
      </c>
      <c r="AN112" s="214" t="b">
        <v>1</v>
      </c>
      <c r="AO112" s="212" t="s">
        <v>363</v>
      </c>
      <c r="AP112" s="212" t="s">
        <v>364</v>
      </c>
      <c r="AQ112" s="214">
        <v>120.19158</v>
      </c>
      <c r="AR112" s="214" t="b">
        <v>0</v>
      </c>
      <c r="AS112" s="212" t="s">
        <v>534</v>
      </c>
      <c r="AU112" s="222" t="s">
        <v>819</v>
      </c>
    </row>
    <row r="113" spans="1:47" x14ac:dyDescent="0.25">
      <c r="A113" s="245">
        <f t="shared" si="15"/>
        <v>113</v>
      </c>
      <c r="B113" s="246" t="str">
        <f t="shared" si="8"/>
        <v>Oil Field - Tank</v>
      </c>
      <c r="C113" s="246" t="str">
        <f ca="1">IF(B113="","",VLOOKUP(D113,'Species Data'!B:E,4,FALSE))</f>
        <v>M_xylene</v>
      </c>
      <c r="D113" s="246">
        <f t="shared" ca="1" si="9"/>
        <v>524</v>
      </c>
      <c r="E113" s="246">
        <f t="shared" ca="1" si="10"/>
        <v>0.16589999999999999</v>
      </c>
      <c r="F113" s="246" t="str">
        <f t="shared" ca="1" si="11"/>
        <v>M-xylene</v>
      </c>
      <c r="G113" s="246">
        <f t="shared" ca="1" si="12"/>
        <v>106.16500000000001</v>
      </c>
      <c r="H113" s="204">
        <f ca="1">IF(G113="","",IF(VLOOKUP(Tank!F113,'Species Data'!D:F,3,FALSE)=0,"X",IF(G113&lt;44.1,2,1)))</f>
        <v>1</v>
      </c>
      <c r="I113" s="204">
        <f t="shared" ca="1" si="13"/>
        <v>7.6727403249737883E-2</v>
      </c>
      <c r="J113" s="247">
        <f ca="1">IF(I113="","",IF(COUNTIF($D$12:D113,D113)=1,IF(H113=1,I113*H113,IF(H113="X","X",0)),0))</f>
        <v>0</v>
      </c>
      <c r="K113" s="248">
        <f t="shared" ca="1" si="14"/>
        <v>0</v>
      </c>
      <c r="L113" s="212" t="s">
        <v>679</v>
      </c>
      <c r="M113" s="212" t="s">
        <v>448</v>
      </c>
      <c r="N113" s="212" t="s">
        <v>470</v>
      </c>
      <c r="O113" s="213">
        <v>41419</v>
      </c>
      <c r="P113" s="212" t="s">
        <v>531</v>
      </c>
      <c r="Q113" s="214">
        <v>100</v>
      </c>
      <c r="R113" s="212" t="s">
        <v>445</v>
      </c>
      <c r="S113" s="212" t="s">
        <v>532</v>
      </c>
      <c r="T113" s="212" t="s">
        <v>445</v>
      </c>
      <c r="U113" s="212" t="s">
        <v>446</v>
      </c>
      <c r="V113" s="214" t="b">
        <v>1</v>
      </c>
      <c r="W113" s="214">
        <v>1989</v>
      </c>
      <c r="X113" s="214">
        <v>5</v>
      </c>
      <c r="Y113" s="214">
        <v>2</v>
      </c>
      <c r="Z113" s="214">
        <v>4</v>
      </c>
      <c r="AA113" s="212" t="s">
        <v>447</v>
      </c>
      <c r="AB113" s="212" t="s">
        <v>531</v>
      </c>
      <c r="AC113" s="212" t="s">
        <v>533</v>
      </c>
      <c r="AD113" s="214">
        <v>1.387392</v>
      </c>
      <c r="AE113" s="214">
        <v>524</v>
      </c>
      <c r="AF113" s="214">
        <v>0.16589999999999999</v>
      </c>
      <c r="AG113" s="214">
        <v>-99</v>
      </c>
      <c r="AH113" s="212" t="s">
        <v>224</v>
      </c>
      <c r="AI113" s="212" t="s">
        <v>449</v>
      </c>
      <c r="AJ113" s="212" t="s">
        <v>436</v>
      </c>
      <c r="AK113" s="212" t="s">
        <v>531</v>
      </c>
      <c r="AL113" s="212" t="s">
        <v>460</v>
      </c>
      <c r="AM113" s="214" t="b">
        <v>0</v>
      </c>
      <c r="AN113" s="214" t="b">
        <v>1</v>
      </c>
      <c r="AO113" s="212" t="s">
        <v>437</v>
      </c>
      <c r="AP113" s="212" t="s">
        <v>438</v>
      </c>
      <c r="AQ113" s="214">
        <v>106.16500000000001</v>
      </c>
      <c r="AR113" s="214" t="b">
        <v>0</v>
      </c>
      <c r="AS113" s="212" t="s">
        <v>534</v>
      </c>
      <c r="AU113" s="222" t="s">
        <v>819</v>
      </c>
    </row>
    <row r="114" spans="1:47" ht="15" customHeight="1" x14ac:dyDescent="0.25">
      <c r="A114" s="245">
        <f t="shared" si="15"/>
        <v>114</v>
      </c>
      <c r="B114" s="246" t="str">
        <f t="shared" si="8"/>
        <v>Oil Field - Tank</v>
      </c>
      <c r="C114" s="246" t="str">
        <f ca="1">IF(B114="","",VLOOKUP(D114,'Species Data'!B:E,4,FALSE))</f>
        <v>methane</v>
      </c>
      <c r="D114" s="246">
        <f t="shared" ca="1" si="9"/>
        <v>529</v>
      </c>
      <c r="E114" s="246">
        <f t="shared" ca="1" si="10"/>
        <v>19.422599999999999</v>
      </c>
      <c r="F114" s="246" t="str">
        <f t="shared" ca="1" si="11"/>
        <v>Methane</v>
      </c>
      <c r="G114" s="246">
        <f t="shared" ca="1" si="12"/>
        <v>16.042459999999998</v>
      </c>
      <c r="H114" s="204">
        <f ca="1">IF(G114="","",IF(VLOOKUP(Tank!F114,'Species Data'!D:F,3,FALSE)=0,"X",IF(G114&lt;44.1,2,1)))</f>
        <v>2</v>
      </c>
      <c r="I114" s="204">
        <f t="shared" ca="1" si="13"/>
        <v>44.518760713436194</v>
      </c>
      <c r="J114" s="247">
        <f ca="1">IF(I114="","",IF(COUNTIF($D$12:D114,D114)=1,IF(H114=1,I114*H114,IF(H114="X","X",0)),0))</f>
        <v>0</v>
      </c>
      <c r="K114" s="248">
        <f t="shared" ca="1" si="14"/>
        <v>0</v>
      </c>
      <c r="L114" s="212" t="s">
        <v>679</v>
      </c>
      <c r="M114" s="212" t="s">
        <v>448</v>
      </c>
      <c r="N114" s="212" t="s">
        <v>470</v>
      </c>
      <c r="O114" s="213">
        <v>41419</v>
      </c>
      <c r="P114" s="212" t="s">
        <v>531</v>
      </c>
      <c r="Q114" s="214">
        <v>100</v>
      </c>
      <c r="R114" s="212" t="s">
        <v>445</v>
      </c>
      <c r="S114" s="212" t="s">
        <v>532</v>
      </c>
      <c r="T114" s="212" t="s">
        <v>445</v>
      </c>
      <c r="U114" s="212" t="s">
        <v>446</v>
      </c>
      <c r="V114" s="214" t="b">
        <v>1</v>
      </c>
      <c r="W114" s="214">
        <v>1989</v>
      </c>
      <c r="X114" s="214">
        <v>5</v>
      </c>
      <c r="Y114" s="214">
        <v>2</v>
      </c>
      <c r="Z114" s="214">
        <v>4</v>
      </c>
      <c r="AA114" s="212" t="s">
        <v>447</v>
      </c>
      <c r="AB114" s="212" t="s">
        <v>531</v>
      </c>
      <c r="AC114" s="212" t="s">
        <v>533</v>
      </c>
      <c r="AD114" s="214">
        <v>1.387392</v>
      </c>
      <c r="AE114" s="214">
        <v>529</v>
      </c>
      <c r="AF114" s="214">
        <v>19.422599999999999</v>
      </c>
      <c r="AG114" s="214">
        <v>-99</v>
      </c>
      <c r="AH114" s="212" t="s">
        <v>224</v>
      </c>
      <c r="AI114" s="212" t="s">
        <v>449</v>
      </c>
      <c r="AJ114" s="212" t="s">
        <v>271</v>
      </c>
      <c r="AK114" s="212" t="s">
        <v>531</v>
      </c>
      <c r="AL114" s="212" t="s">
        <v>376</v>
      </c>
      <c r="AM114" s="214" t="b">
        <v>0</v>
      </c>
      <c r="AN114" s="214" t="b">
        <v>0</v>
      </c>
      <c r="AO114" s="212" t="s">
        <v>272</v>
      </c>
      <c r="AP114" s="212" t="s">
        <v>531</v>
      </c>
      <c r="AQ114" s="214">
        <v>16.042459999999998</v>
      </c>
      <c r="AR114" s="214" t="b">
        <v>1</v>
      </c>
      <c r="AS114" s="212" t="s">
        <v>534</v>
      </c>
      <c r="AU114" s="222" t="s">
        <v>819</v>
      </c>
    </row>
    <row r="115" spans="1:47" x14ac:dyDescent="0.25">
      <c r="A115" s="245">
        <f t="shared" si="15"/>
        <v>115</v>
      </c>
      <c r="B115" s="246" t="str">
        <f t="shared" si="8"/>
        <v>Oil Field - Tank</v>
      </c>
      <c r="C115" s="246" t="str">
        <f ca="1">IF(B115="","",VLOOKUP(D115,'Species Data'!B:E,4,FALSE))</f>
        <v>methcychex</v>
      </c>
      <c r="D115" s="246">
        <f t="shared" ca="1" si="9"/>
        <v>550</v>
      </c>
      <c r="E115" s="246">
        <f t="shared" ca="1" si="10"/>
        <v>1.3160000000000001</v>
      </c>
      <c r="F115" s="246" t="str">
        <f t="shared" ca="1" si="11"/>
        <v>Methylcyclohexane</v>
      </c>
      <c r="G115" s="246">
        <f t="shared" ca="1" si="12"/>
        <v>98.186059999999998</v>
      </c>
      <c r="H115" s="204">
        <f ca="1">IF(G115="","",IF(VLOOKUP(Tank!F115,'Species Data'!D:F,3,FALSE)=0,"X",IF(G115&lt;44.1,2,1)))</f>
        <v>1</v>
      </c>
      <c r="I115" s="204">
        <f t="shared" ca="1" si="13"/>
        <v>0.52063166473064815</v>
      </c>
      <c r="J115" s="247">
        <f ca="1">IF(I115="","",IF(COUNTIF($D$12:D115,D115)=1,IF(H115=1,I115*H115,IF(H115="X","X",0)),0))</f>
        <v>0</v>
      </c>
      <c r="K115" s="248">
        <f t="shared" ca="1" si="14"/>
        <v>0</v>
      </c>
      <c r="L115" s="212" t="s">
        <v>679</v>
      </c>
      <c r="M115" s="212" t="s">
        <v>448</v>
      </c>
      <c r="N115" s="212" t="s">
        <v>470</v>
      </c>
      <c r="O115" s="213">
        <v>41419</v>
      </c>
      <c r="P115" s="212" t="s">
        <v>531</v>
      </c>
      <c r="Q115" s="214">
        <v>100</v>
      </c>
      <c r="R115" s="212" t="s">
        <v>445</v>
      </c>
      <c r="S115" s="212" t="s">
        <v>532</v>
      </c>
      <c r="T115" s="212" t="s">
        <v>445</v>
      </c>
      <c r="U115" s="212" t="s">
        <v>446</v>
      </c>
      <c r="V115" s="214" t="b">
        <v>1</v>
      </c>
      <c r="W115" s="214">
        <v>1989</v>
      </c>
      <c r="X115" s="214">
        <v>5</v>
      </c>
      <c r="Y115" s="214">
        <v>2</v>
      </c>
      <c r="Z115" s="214">
        <v>4</v>
      </c>
      <c r="AA115" s="212" t="s">
        <v>447</v>
      </c>
      <c r="AB115" s="212" t="s">
        <v>531</v>
      </c>
      <c r="AC115" s="212" t="s">
        <v>533</v>
      </c>
      <c r="AD115" s="214">
        <v>1.387392</v>
      </c>
      <c r="AE115" s="214">
        <v>550</v>
      </c>
      <c r="AF115" s="214">
        <v>1.3160000000000001</v>
      </c>
      <c r="AG115" s="214">
        <v>-99</v>
      </c>
      <c r="AH115" s="212" t="s">
        <v>224</v>
      </c>
      <c r="AI115" s="212" t="s">
        <v>449</v>
      </c>
      <c r="AJ115" s="212" t="s">
        <v>348</v>
      </c>
      <c r="AK115" s="212" t="s">
        <v>531</v>
      </c>
      <c r="AL115" s="212" t="s">
        <v>396</v>
      </c>
      <c r="AM115" s="214" t="b">
        <v>1</v>
      </c>
      <c r="AN115" s="214" t="b">
        <v>0</v>
      </c>
      <c r="AO115" s="212" t="s">
        <v>349</v>
      </c>
      <c r="AP115" s="212" t="s">
        <v>350</v>
      </c>
      <c r="AQ115" s="214">
        <v>98.186059999999998</v>
      </c>
      <c r="AR115" s="214" t="b">
        <v>0</v>
      </c>
      <c r="AS115" s="212" t="s">
        <v>534</v>
      </c>
      <c r="AU115" s="222" t="s">
        <v>819</v>
      </c>
    </row>
    <row r="116" spans="1:47" ht="15" customHeight="1" x14ac:dyDescent="0.25">
      <c r="A116" s="245">
        <f t="shared" si="15"/>
        <v>116</v>
      </c>
      <c r="B116" s="246" t="str">
        <f t="shared" si="8"/>
        <v>Oil Field - Tank</v>
      </c>
      <c r="C116" s="246" t="str">
        <f ca="1">IF(B116="","",VLOOKUP(D116,'Species Data'!B:E,4,FALSE))</f>
        <v>methcycpen</v>
      </c>
      <c r="D116" s="246">
        <f t="shared" ca="1" si="9"/>
        <v>551</v>
      </c>
      <c r="E116" s="246">
        <f t="shared" ca="1" si="10"/>
        <v>1.4019999999999999</v>
      </c>
      <c r="F116" s="246" t="str">
        <f t="shared" ca="1" si="11"/>
        <v>Methylcyclopentane</v>
      </c>
      <c r="G116" s="246">
        <f t="shared" ca="1" si="12"/>
        <v>84.159480000000002</v>
      </c>
      <c r="H116" s="204">
        <f ca="1">IF(G116="","",IF(VLOOKUP(Tank!F116,'Species Data'!D:F,3,FALSE)=0,"X",IF(G116&lt;44.1,2,1)))</f>
        <v>1</v>
      </c>
      <c r="I116" s="204">
        <f t="shared" ca="1" si="13"/>
        <v>1.4788275300776224</v>
      </c>
      <c r="J116" s="247">
        <f ca="1">IF(I116="","",IF(COUNTIF($D$12:D116,D116)=1,IF(H116=1,I116*H116,IF(H116="X","X",0)),0))</f>
        <v>0</v>
      </c>
      <c r="K116" s="248">
        <f t="shared" ca="1" si="14"/>
        <v>0</v>
      </c>
      <c r="L116" s="212" t="s">
        <v>679</v>
      </c>
      <c r="M116" s="212" t="s">
        <v>448</v>
      </c>
      <c r="N116" s="212" t="s">
        <v>470</v>
      </c>
      <c r="O116" s="213">
        <v>41419</v>
      </c>
      <c r="P116" s="212" t="s">
        <v>531</v>
      </c>
      <c r="Q116" s="214">
        <v>100</v>
      </c>
      <c r="R116" s="212" t="s">
        <v>445</v>
      </c>
      <c r="S116" s="212" t="s">
        <v>532</v>
      </c>
      <c r="T116" s="212" t="s">
        <v>445</v>
      </c>
      <c r="U116" s="212" t="s">
        <v>446</v>
      </c>
      <c r="V116" s="214" t="b">
        <v>1</v>
      </c>
      <c r="W116" s="214">
        <v>1989</v>
      </c>
      <c r="X116" s="214">
        <v>5</v>
      </c>
      <c r="Y116" s="214">
        <v>2</v>
      </c>
      <c r="Z116" s="214">
        <v>4</v>
      </c>
      <c r="AA116" s="212" t="s">
        <v>447</v>
      </c>
      <c r="AB116" s="212" t="s">
        <v>531</v>
      </c>
      <c r="AC116" s="212" t="s">
        <v>533</v>
      </c>
      <c r="AD116" s="214">
        <v>1.387392</v>
      </c>
      <c r="AE116" s="214">
        <v>551</v>
      </c>
      <c r="AF116" s="214">
        <v>1.4019999999999999</v>
      </c>
      <c r="AG116" s="214">
        <v>-99</v>
      </c>
      <c r="AH116" s="212" t="s">
        <v>224</v>
      </c>
      <c r="AI116" s="212" t="s">
        <v>449</v>
      </c>
      <c r="AJ116" s="212" t="s">
        <v>351</v>
      </c>
      <c r="AK116" s="212" t="s">
        <v>531</v>
      </c>
      <c r="AL116" s="212" t="s">
        <v>397</v>
      </c>
      <c r="AM116" s="214" t="b">
        <v>1</v>
      </c>
      <c r="AN116" s="214" t="b">
        <v>0</v>
      </c>
      <c r="AO116" s="212" t="s">
        <v>352</v>
      </c>
      <c r="AP116" s="212" t="s">
        <v>353</v>
      </c>
      <c r="AQ116" s="214">
        <v>84.159480000000002</v>
      </c>
      <c r="AR116" s="214" t="b">
        <v>0</v>
      </c>
      <c r="AS116" s="212" t="s">
        <v>534</v>
      </c>
      <c r="AU116" s="222" t="s">
        <v>819</v>
      </c>
    </row>
    <row r="117" spans="1:47" x14ac:dyDescent="0.25">
      <c r="A117" s="245">
        <f t="shared" si="15"/>
        <v>117</v>
      </c>
      <c r="B117" s="246" t="str">
        <f t="shared" si="8"/>
        <v>Oil Field - Tank</v>
      </c>
      <c r="C117" s="246" t="str">
        <f ca="1">IF(B117="","",VLOOKUP(D117,'Species Data'!B:E,4,FALSE))</f>
        <v>N_but</v>
      </c>
      <c r="D117" s="246">
        <f t="shared" ca="1" si="9"/>
        <v>592</v>
      </c>
      <c r="E117" s="246">
        <f t="shared" ca="1" si="10"/>
        <v>3.3683000000000001</v>
      </c>
      <c r="F117" s="246" t="str">
        <f t="shared" ca="1" si="11"/>
        <v>N-butane</v>
      </c>
      <c r="G117" s="246">
        <f t="shared" ca="1" si="12"/>
        <v>58.122199999999992</v>
      </c>
      <c r="H117" s="204">
        <f ca="1">IF(G117="","",IF(VLOOKUP(Tank!F117,'Species Data'!D:F,3,FALSE)=0,"X",IF(G117&lt;44.1,2,1)))</f>
        <v>1</v>
      </c>
      <c r="I117" s="204">
        <f t="shared" ca="1" si="13"/>
        <v>8.8589583793337763</v>
      </c>
      <c r="J117" s="247">
        <f ca="1">IF(I117="","",IF(COUNTIF($D$12:D117,D117)=1,IF(H117=1,I117*H117,IF(H117="X","X",0)),0))</f>
        <v>0</v>
      </c>
      <c r="K117" s="248">
        <f t="shared" ca="1" si="14"/>
        <v>0</v>
      </c>
      <c r="L117" s="212" t="s">
        <v>679</v>
      </c>
      <c r="M117" s="212" t="s">
        <v>448</v>
      </c>
      <c r="N117" s="212" t="s">
        <v>470</v>
      </c>
      <c r="O117" s="213">
        <v>41419</v>
      </c>
      <c r="P117" s="212" t="s">
        <v>531</v>
      </c>
      <c r="Q117" s="214">
        <v>100</v>
      </c>
      <c r="R117" s="212" t="s">
        <v>445</v>
      </c>
      <c r="S117" s="212" t="s">
        <v>532</v>
      </c>
      <c r="T117" s="212" t="s">
        <v>445</v>
      </c>
      <c r="U117" s="212" t="s">
        <v>446</v>
      </c>
      <c r="V117" s="214" t="b">
        <v>1</v>
      </c>
      <c r="W117" s="214">
        <v>1989</v>
      </c>
      <c r="X117" s="214">
        <v>5</v>
      </c>
      <c r="Y117" s="214">
        <v>2</v>
      </c>
      <c r="Z117" s="214">
        <v>4</v>
      </c>
      <c r="AA117" s="212" t="s">
        <v>447</v>
      </c>
      <c r="AB117" s="212" t="s">
        <v>531</v>
      </c>
      <c r="AC117" s="212" t="s">
        <v>533</v>
      </c>
      <c r="AD117" s="214">
        <v>1.387392</v>
      </c>
      <c r="AE117" s="214">
        <v>592</v>
      </c>
      <c r="AF117" s="214">
        <v>3.3683000000000001</v>
      </c>
      <c r="AG117" s="214">
        <v>-99</v>
      </c>
      <c r="AH117" s="212" t="s">
        <v>224</v>
      </c>
      <c r="AI117" s="212" t="s">
        <v>449</v>
      </c>
      <c r="AJ117" s="212" t="s">
        <v>273</v>
      </c>
      <c r="AK117" s="212" t="s">
        <v>531</v>
      </c>
      <c r="AL117" s="212" t="s">
        <v>377</v>
      </c>
      <c r="AM117" s="214" t="b">
        <v>1</v>
      </c>
      <c r="AN117" s="214" t="b">
        <v>0</v>
      </c>
      <c r="AO117" s="212" t="s">
        <v>274</v>
      </c>
      <c r="AP117" s="212" t="s">
        <v>275</v>
      </c>
      <c r="AQ117" s="214">
        <v>58.122199999999992</v>
      </c>
      <c r="AR117" s="214" t="b">
        <v>0</v>
      </c>
      <c r="AS117" s="212" t="s">
        <v>534</v>
      </c>
      <c r="AU117" s="222" t="s">
        <v>819</v>
      </c>
    </row>
    <row r="118" spans="1:47" x14ac:dyDescent="0.25">
      <c r="A118" s="245">
        <f t="shared" si="15"/>
        <v>118</v>
      </c>
      <c r="B118" s="246" t="str">
        <f t="shared" si="8"/>
        <v>Oil Field - Tank</v>
      </c>
      <c r="C118" s="246" t="str">
        <f ca="1">IF(B118="","",VLOOKUP(D118,'Species Data'!B:E,4,FALSE))</f>
        <v>N_dec</v>
      </c>
      <c r="D118" s="246">
        <f t="shared" ca="1" si="9"/>
        <v>598</v>
      </c>
      <c r="E118" s="246">
        <f t="shared" ca="1" si="10"/>
        <v>1.9400000000000001E-2</v>
      </c>
      <c r="F118" s="246" t="str">
        <f t="shared" ca="1" si="11"/>
        <v>N-decane</v>
      </c>
      <c r="G118" s="246">
        <f t="shared" ca="1" si="12"/>
        <v>142.28167999999999</v>
      </c>
      <c r="H118" s="204">
        <f ca="1">IF(G118="","",IF(VLOOKUP(Tank!F118,'Species Data'!D:F,3,FALSE)=0,"X",IF(G118&lt;44.1,2,1)))</f>
        <v>1</v>
      </c>
      <c r="I118" s="204">
        <f t="shared" ca="1" si="13"/>
        <v>1.7526834924281948E-2</v>
      </c>
      <c r="J118" s="247">
        <f ca="1">IF(I118="","",IF(COUNTIF($D$12:D118,D118)=1,IF(H118=1,I118*H118,IF(H118="X","X",0)),0))</f>
        <v>0</v>
      </c>
      <c r="K118" s="248">
        <f t="shared" ca="1" si="14"/>
        <v>0</v>
      </c>
      <c r="L118" s="212" t="s">
        <v>679</v>
      </c>
      <c r="M118" s="212" t="s">
        <v>448</v>
      </c>
      <c r="N118" s="212" t="s">
        <v>470</v>
      </c>
      <c r="O118" s="213">
        <v>41419</v>
      </c>
      <c r="P118" s="212" t="s">
        <v>531</v>
      </c>
      <c r="Q118" s="214">
        <v>100</v>
      </c>
      <c r="R118" s="212" t="s">
        <v>445</v>
      </c>
      <c r="S118" s="212" t="s">
        <v>532</v>
      </c>
      <c r="T118" s="212" t="s">
        <v>445</v>
      </c>
      <c r="U118" s="212" t="s">
        <v>446</v>
      </c>
      <c r="V118" s="214" t="b">
        <v>1</v>
      </c>
      <c r="W118" s="214">
        <v>1989</v>
      </c>
      <c r="X118" s="214">
        <v>5</v>
      </c>
      <c r="Y118" s="214">
        <v>2</v>
      </c>
      <c r="Z118" s="214">
        <v>4</v>
      </c>
      <c r="AA118" s="212" t="s">
        <v>447</v>
      </c>
      <c r="AB118" s="212" t="s">
        <v>531</v>
      </c>
      <c r="AC118" s="212" t="s">
        <v>533</v>
      </c>
      <c r="AD118" s="214">
        <v>1.387392</v>
      </c>
      <c r="AE118" s="214">
        <v>598</v>
      </c>
      <c r="AF118" s="214">
        <v>1.9400000000000001E-2</v>
      </c>
      <c r="AG118" s="214">
        <v>-99</v>
      </c>
      <c r="AH118" s="212" t="s">
        <v>224</v>
      </c>
      <c r="AI118" s="212" t="s">
        <v>449</v>
      </c>
      <c r="AJ118" s="212" t="s">
        <v>414</v>
      </c>
      <c r="AK118" s="212" t="s">
        <v>531</v>
      </c>
      <c r="AL118" s="212" t="s">
        <v>452</v>
      </c>
      <c r="AM118" s="214" t="b">
        <v>1</v>
      </c>
      <c r="AN118" s="214" t="b">
        <v>0</v>
      </c>
      <c r="AO118" s="212" t="s">
        <v>415</v>
      </c>
      <c r="AP118" s="212" t="s">
        <v>416</v>
      </c>
      <c r="AQ118" s="214">
        <v>142.28167999999999</v>
      </c>
      <c r="AR118" s="214" t="b">
        <v>0</v>
      </c>
      <c r="AS118" s="212" t="s">
        <v>534</v>
      </c>
      <c r="AU118" s="222" t="s">
        <v>819</v>
      </c>
    </row>
    <row r="119" spans="1:47" x14ac:dyDescent="0.25">
      <c r="A119" s="245">
        <f t="shared" si="15"/>
        <v>119</v>
      </c>
      <c r="B119" s="246" t="str">
        <f t="shared" si="8"/>
        <v>Oil Field - Tank</v>
      </c>
      <c r="C119" s="246" t="str">
        <f ca="1">IF(B119="","",VLOOKUP(D119,'Species Data'!B:E,4,FALSE))</f>
        <v>N_hep</v>
      </c>
      <c r="D119" s="246">
        <f t="shared" ca="1" si="9"/>
        <v>600</v>
      </c>
      <c r="E119" s="246">
        <f t="shared" ca="1" si="10"/>
        <v>1.0439000000000001</v>
      </c>
      <c r="F119" s="246" t="str">
        <f t="shared" ca="1" si="11"/>
        <v>N-heptane</v>
      </c>
      <c r="G119" s="246">
        <f t="shared" ca="1" si="12"/>
        <v>100.20194000000001</v>
      </c>
      <c r="H119" s="204">
        <f ca="1">IF(G119="","",IF(VLOOKUP(Tank!F119,'Species Data'!D:F,3,FALSE)=0,"X",IF(G119&lt;44.1,2,1)))</f>
        <v>1</v>
      </c>
      <c r="I119" s="204">
        <f t="shared" ca="1" si="13"/>
        <v>0.55093195561344066</v>
      </c>
      <c r="J119" s="247">
        <f ca="1">IF(I119="","",IF(COUNTIF($D$12:D119,D119)=1,IF(H119=1,I119*H119,IF(H119="X","X",0)),0))</f>
        <v>0</v>
      </c>
      <c r="K119" s="248">
        <f t="shared" ca="1" si="14"/>
        <v>0</v>
      </c>
      <c r="L119" s="212" t="s">
        <v>679</v>
      </c>
      <c r="M119" s="212" t="s">
        <v>448</v>
      </c>
      <c r="N119" s="212" t="s">
        <v>470</v>
      </c>
      <c r="O119" s="213">
        <v>41419</v>
      </c>
      <c r="P119" s="212" t="s">
        <v>531</v>
      </c>
      <c r="Q119" s="214">
        <v>100</v>
      </c>
      <c r="R119" s="212" t="s">
        <v>445</v>
      </c>
      <c r="S119" s="212" t="s">
        <v>532</v>
      </c>
      <c r="T119" s="212" t="s">
        <v>445</v>
      </c>
      <c r="U119" s="212" t="s">
        <v>446</v>
      </c>
      <c r="V119" s="214" t="b">
        <v>1</v>
      </c>
      <c r="W119" s="214">
        <v>1989</v>
      </c>
      <c r="X119" s="214">
        <v>5</v>
      </c>
      <c r="Y119" s="214">
        <v>2</v>
      </c>
      <c r="Z119" s="214">
        <v>4</v>
      </c>
      <c r="AA119" s="212" t="s">
        <v>447</v>
      </c>
      <c r="AB119" s="212" t="s">
        <v>531</v>
      </c>
      <c r="AC119" s="212" t="s">
        <v>533</v>
      </c>
      <c r="AD119" s="214">
        <v>1.387392</v>
      </c>
      <c r="AE119" s="214">
        <v>600</v>
      </c>
      <c r="AF119" s="214">
        <v>1.0439000000000001</v>
      </c>
      <c r="AG119" s="214">
        <v>-99</v>
      </c>
      <c r="AH119" s="212" t="s">
        <v>224</v>
      </c>
      <c r="AI119" s="212" t="s">
        <v>449</v>
      </c>
      <c r="AJ119" s="212" t="s">
        <v>276</v>
      </c>
      <c r="AK119" s="212" t="s">
        <v>531</v>
      </c>
      <c r="AL119" s="212" t="s">
        <v>378</v>
      </c>
      <c r="AM119" s="214" t="b">
        <v>1</v>
      </c>
      <c r="AN119" s="214" t="b">
        <v>0</v>
      </c>
      <c r="AO119" s="212" t="s">
        <v>277</v>
      </c>
      <c r="AP119" s="212" t="s">
        <v>278</v>
      </c>
      <c r="AQ119" s="214">
        <v>100.20194000000001</v>
      </c>
      <c r="AR119" s="214" t="b">
        <v>0</v>
      </c>
      <c r="AS119" s="212" t="s">
        <v>534</v>
      </c>
      <c r="AU119" s="222" t="s">
        <v>819</v>
      </c>
    </row>
    <row r="120" spans="1:47" x14ac:dyDescent="0.25">
      <c r="A120" s="245">
        <f t="shared" si="15"/>
        <v>120</v>
      </c>
      <c r="B120" s="246" t="str">
        <f t="shared" si="8"/>
        <v>Oil Field - Tank</v>
      </c>
      <c r="C120" s="246" t="str">
        <f ca="1">IF(B120="","",VLOOKUP(D120,'Species Data'!B:E,4,FALSE))</f>
        <v>N_hex</v>
      </c>
      <c r="D120" s="246">
        <f t="shared" ca="1" si="9"/>
        <v>601</v>
      </c>
      <c r="E120" s="246">
        <f t="shared" ca="1" si="10"/>
        <v>2.4788000000000001</v>
      </c>
      <c r="F120" s="246" t="str">
        <f t="shared" ca="1" si="11"/>
        <v>N-hexane</v>
      </c>
      <c r="G120" s="246">
        <f t="shared" ca="1" si="12"/>
        <v>86.175359999999998</v>
      </c>
      <c r="H120" s="204">
        <f ca="1">IF(G120="","",IF(VLOOKUP(Tank!F120,'Species Data'!D:F,3,FALSE)=0,"X",IF(G120&lt;44.1,2,1)))</f>
        <v>1</v>
      </c>
      <c r="I120" s="204">
        <f t="shared" ca="1" si="13"/>
        <v>1.4244870084086145</v>
      </c>
      <c r="J120" s="247">
        <f ca="1">IF(I120="","",IF(COUNTIF($D$12:D120,D120)=1,IF(H120=1,I120*H120,IF(H120="X","X",0)),0))</f>
        <v>0</v>
      </c>
      <c r="K120" s="248">
        <f t="shared" ca="1" si="14"/>
        <v>0</v>
      </c>
      <c r="L120" s="212" t="s">
        <v>679</v>
      </c>
      <c r="M120" s="212" t="s">
        <v>448</v>
      </c>
      <c r="N120" s="212" t="s">
        <v>470</v>
      </c>
      <c r="O120" s="213">
        <v>41419</v>
      </c>
      <c r="P120" s="212" t="s">
        <v>531</v>
      </c>
      <c r="Q120" s="214">
        <v>100</v>
      </c>
      <c r="R120" s="212" t="s">
        <v>445</v>
      </c>
      <c r="S120" s="212" t="s">
        <v>532</v>
      </c>
      <c r="T120" s="212" t="s">
        <v>445</v>
      </c>
      <c r="U120" s="212" t="s">
        <v>446</v>
      </c>
      <c r="V120" s="214" t="b">
        <v>1</v>
      </c>
      <c r="W120" s="214">
        <v>1989</v>
      </c>
      <c r="X120" s="214">
        <v>5</v>
      </c>
      <c r="Y120" s="214">
        <v>2</v>
      </c>
      <c r="Z120" s="214">
        <v>4</v>
      </c>
      <c r="AA120" s="212" t="s">
        <v>447</v>
      </c>
      <c r="AB120" s="212" t="s">
        <v>531</v>
      </c>
      <c r="AC120" s="212" t="s">
        <v>533</v>
      </c>
      <c r="AD120" s="214">
        <v>1.387392</v>
      </c>
      <c r="AE120" s="214">
        <v>601</v>
      </c>
      <c r="AF120" s="214">
        <v>2.4788000000000001</v>
      </c>
      <c r="AG120" s="214">
        <v>-99</v>
      </c>
      <c r="AH120" s="212" t="s">
        <v>224</v>
      </c>
      <c r="AI120" s="212" t="s">
        <v>449</v>
      </c>
      <c r="AJ120" s="212" t="s">
        <v>279</v>
      </c>
      <c r="AK120" s="212" t="s">
        <v>531</v>
      </c>
      <c r="AL120" s="212" t="s">
        <v>379</v>
      </c>
      <c r="AM120" s="214" t="b">
        <v>1</v>
      </c>
      <c r="AN120" s="214" t="b">
        <v>1</v>
      </c>
      <c r="AO120" s="212" t="s">
        <v>280</v>
      </c>
      <c r="AP120" s="212" t="s">
        <v>281</v>
      </c>
      <c r="AQ120" s="214">
        <v>86.175359999999998</v>
      </c>
      <c r="AR120" s="214" t="b">
        <v>0</v>
      </c>
      <c r="AS120" s="212" t="s">
        <v>534</v>
      </c>
      <c r="AU120" s="222" t="s">
        <v>819</v>
      </c>
    </row>
    <row r="121" spans="1:47" x14ac:dyDescent="0.25">
      <c r="A121" s="245">
        <f t="shared" si="15"/>
        <v>121</v>
      </c>
      <c r="B121" s="246" t="str">
        <f t="shared" si="8"/>
        <v>Oil Field - Tank</v>
      </c>
      <c r="C121" s="246" t="str">
        <f ca="1">IF(B121="","",VLOOKUP(D121,'Species Data'!B:E,4,FALSE))</f>
        <v>N_nonane</v>
      </c>
      <c r="D121" s="246">
        <f t="shared" ca="1" si="9"/>
        <v>603</v>
      </c>
      <c r="E121" s="246">
        <f t="shared" ca="1" si="10"/>
        <v>9.3100000000000002E-2</v>
      </c>
      <c r="F121" s="246" t="str">
        <f t="shared" ca="1" si="11"/>
        <v>N-nonane</v>
      </c>
      <c r="G121" s="246">
        <f t="shared" ca="1" si="12"/>
        <v>128.2551</v>
      </c>
      <c r="H121" s="204">
        <f ca="1">IF(G121="","",IF(VLOOKUP(Tank!F121,'Species Data'!D:F,3,FALSE)=0,"X",IF(G121&lt;44.1,2,1)))</f>
        <v>1</v>
      </c>
      <c r="I121" s="204">
        <f t="shared" ca="1" si="13"/>
        <v>6.0467247152239355E-2</v>
      </c>
      <c r="J121" s="247">
        <f ca="1">IF(I121="","",IF(COUNTIF($D$12:D121,D121)=1,IF(H121=1,I121*H121,IF(H121="X","X",0)),0))</f>
        <v>0</v>
      </c>
      <c r="K121" s="248">
        <f t="shared" ca="1" si="14"/>
        <v>0</v>
      </c>
      <c r="L121" s="212" t="s">
        <v>679</v>
      </c>
      <c r="M121" s="212" t="s">
        <v>448</v>
      </c>
      <c r="N121" s="212" t="s">
        <v>470</v>
      </c>
      <c r="O121" s="213">
        <v>41419</v>
      </c>
      <c r="P121" s="212" t="s">
        <v>531</v>
      </c>
      <c r="Q121" s="214">
        <v>100</v>
      </c>
      <c r="R121" s="212" t="s">
        <v>445</v>
      </c>
      <c r="S121" s="212" t="s">
        <v>532</v>
      </c>
      <c r="T121" s="212" t="s">
        <v>445</v>
      </c>
      <c r="U121" s="212" t="s">
        <v>446</v>
      </c>
      <c r="V121" s="214" t="b">
        <v>1</v>
      </c>
      <c r="W121" s="214">
        <v>1989</v>
      </c>
      <c r="X121" s="214">
        <v>5</v>
      </c>
      <c r="Y121" s="214">
        <v>2</v>
      </c>
      <c r="Z121" s="214">
        <v>4</v>
      </c>
      <c r="AA121" s="212" t="s">
        <v>447</v>
      </c>
      <c r="AB121" s="212" t="s">
        <v>531</v>
      </c>
      <c r="AC121" s="212" t="s">
        <v>533</v>
      </c>
      <c r="AD121" s="214">
        <v>1.387392</v>
      </c>
      <c r="AE121" s="214">
        <v>603</v>
      </c>
      <c r="AF121" s="214">
        <v>9.3100000000000002E-2</v>
      </c>
      <c r="AG121" s="214">
        <v>-99</v>
      </c>
      <c r="AH121" s="212" t="s">
        <v>224</v>
      </c>
      <c r="AI121" s="212" t="s">
        <v>449</v>
      </c>
      <c r="AJ121" s="212" t="s">
        <v>417</v>
      </c>
      <c r="AK121" s="212" t="s">
        <v>531</v>
      </c>
      <c r="AL121" s="212" t="s">
        <v>453</v>
      </c>
      <c r="AM121" s="214" t="b">
        <v>1</v>
      </c>
      <c r="AN121" s="214" t="b">
        <v>0</v>
      </c>
      <c r="AO121" s="212" t="s">
        <v>418</v>
      </c>
      <c r="AP121" s="212" t="s">
        <v>419</v>
      </c>
      <c r="AQ121" s="214">
        <v>128.2551</v>
      </c>
      <c r="AR121" s="214" t="b">
        <v>0</v>
      </c>
      <c r="AS121" s="212" t="s">
        <v>534</v>
      </c>
      <c r="AU121" s="222" t="s">
        <v>819</v>
      </c>
    </row>
    <row r="122" spans="1:47" x14ac:dyDescent="0.25">
      <c r="A122" s="245">
        <f t="shared" si="15"/>
        <v>122</v>
      </c>
      <c r="B122" s="246" t="str">
        <f t="shared" si="8"/>
        <v>Oil Field - Tank</v>
      </c>
      <c r="C122" s="246" t="str">
        <f ca="1">IF(B122="","",VLOOKUP(D122,'Species Data'!B:E,4,FALSE))</f>
        <v>N_octane</v>
      </c>
      <c r="D122" s="246">
        <f t="shared" ca="1" si="9"/>
        <v>604</v>
      </c>
      <c r="E122" s="246">
        <f t="shared" ca="1" si="10"/>
        <v>0.29010000000000002</v>
      </c>
      <c r="F122" s="246" t="str">
        <f t="shared" ca="1" si="11"/>
        <v>N-octane</v>
      </c>
      <c r="G122" s="246">
        <f t="shared" ca="1" si="12"/>
        <v>114.22852</v>
      </c>
      <c r="H122" s="204">
        <f ca="1">IF(G122="","",IF(VLOOKUP(Tank!F122,'Species Data'!D:F,3,FALSE)=0,"X",IF(G122&lt;44.1,2,1)))</f>
        <v>1</v>
      </c>
      <c r="I122" s="204">
        <f t="shared" ca="1" si="13"/>
        <v>0.21590207265989761</v>
      </c>
      <c r="J122" s="247">
        <f ca="1">IF(I122="","",IF(COUNTIF($D$12:D122,D122)=1,IF(H122=1,I122*H122,IF(H122="X","X",0)),0))</f>
        <v>0</v>
      </c>
      <c r="K122" s="248">
        <f t="shared" ca="1" si="14"/>
        <v>0</v>
      </c>
      <c r="L122" s="212" t="s">
        <v>679</v>
      </c>
      <c r="M122" s="212" t="s">
        <v>448</v>
      </c>
      <c r="N122" s="212" t="s">
        <v>470</v>
      </c>
      <c r="O122" s="213">
        <v>41419</v>
      </c>
      <c r="P122" s="212" t="s">
        <v>531</v>
      </c>
      <c r="Q122" s="214">
        <v>100</v>
      </c>
      <c r="R122" s="212" t="s">
        <v>445</v>
      </c>
      <c r="S122" s="212" t="s">
        <v>532</v>
      </c>
      <c r="T122" s="212" t="s">
        <v>445</v>
      </c>
      <c r="U122" s="212" t="s">
        <v>446</v>
      </c>
      <c r="V122" s="214" t="b">
        <v>1</v>
      </c>
      <c r="W122" s="214">
        <v>1989</v>
      </c>
      <c r="X122" s="214">
        <v>5</v>
      </c>
      <c r="Y122" s="214">
        <v>2</v>
      </c>
      <c r="Z122" s="214">
        <v>4</v>
      </c>
      <c r="AA122" s="212" t="s">
        <v>447</v>
      </c>
      <c r="AB122" s="212" t="s">
        <v>531</v>
      </c>
      <c r="AC122" s="212" t="s">
        <v>533</v>
      </c>
      <c r="AD122" s="214">
        <v>1.387392</v>
      </c>
      <c r="AE122" s="214">
        <v>604</v>
      </c>
      <c r="AF122" s="214">
        <v>0.29010000000000002</v>
      </c>
      <c r="AG122" s="214">
        <v>-99</v>
      </c>
      <c r="AH122" s="212" t="s">
        <v>224</v>
      </c>
      <c r="AI122" s="212" t="s">
        <v>449</v>
      </c>
      <c r="AJ122" s="212" t="s">
        <v>282</v>
      </c>
      <c r="AK122" s="212" t="s">
        <v>531</v>
      </c>
      <c r="AL122" s="212" t="s">
        <v>380</v>
      </c>
      <c r="AM122" s="214" t="b">
        <v>1</v>
      </c>
      <c r="AN122" s="214" t="b">
        <v>0</v>
      </c>
      <c r="AO122" s="212" t="s">
        <v>283</v>
      </c>
      <c r="AP122" s="212" t="s">
        <v>284</v>
      </c>
      <c r="AQ122" s="214">
        <v>114.22852</v>
      </c>
      <c r="AR122" s="214" t="b">
        <v>0</v>
      </c>
      <c r="AS122" s="212" t="s">
        <v>534</v>
      </c>
      <c r="AU122" s="222" t="s">
        <v>819</v>
      </c>
    </row>
    <row r="123" spans="1:47" x14ac:dyDescent="0.25">
      <c r="A123" s="245">
        <f t="shared" si="15"/>
        <v>123</v>
      </c>
      <c r="B123" s="246" t="str">
        <f t="shared" si="8"/>
        <v>Oil Field - Tank</v>
      </c>
      <c r="C123" s="246" t="str">
        <f ca="1">IF(B123="","",VLOOKUP(D123,'Species Data'!B:E,4,FALSE))</f>
        <v>N_pentane</v>
      </c>
      <c r="D123" s="246">
        <f t="shared" ca="1" si="9"/>
        <v>605</v>
      </c>
      <c r="E123" s="246">
        <f t="shared" ca="1" si="10"/>
        <v>1.5078</v>
      </c>
      <c r="F123" s="246" t="str">
        <f t="shared" ca="1" si="11"/>
        <v>N-pentane</v>
      </c>
      <c r="G123" s="246">
        <f t="shared" ca="1" si="12"/>
        <v>72.148780000000002</v>
      </c>
      <c r="H123" s="204">
        <f ca="1">IF(G123="","",IF(VLOOKUP(Tank!F123,'Species Data'!D:F,3,FALSE)=0,"X",IF(G123&lt;44.1,2,1)))</f>
        <v>1</v>
      </c>
      <c r="I123" s="204">
        <f t="shared" ca="1" si="13"/>
        <v>3.2465311666992012</v>
      </c>
      <c r="J123" s="247">
        <f ca="1">IF(I123="","",IF(COUNTIF($D$12:D123,D123)=1,IF(H123=1,I123*H123,IF(H123="X","X",0)),0))</f>
        <v>0</v>
      </c>
      <c r="K123" s="248">
        <f t="shared" ca="1" si="14"/>
        <v>0</v>
      </c>
      <c r="L123" s="212" t="s">
        <v>679</v>
      </c>
      <c r="M123" s="212" t="s">
        <v>448</v>
      </c>
      <c r="N123" s="212" t="s">
        <v>470</v>
      </c>
      <c r="O123" s="213">
        <v>41419</v>
      </c>
      <c r="P123" s="212" t="s">
        <v>531</v>
      </c>
      <c r="Q123" s="214">
        <v>100</v>
      </c>
      <c r="R123" s="212" t="s">
        <v>445</v>
      </c>
      <c r="S123" s="212" t="s">
        <v>532</v>
      </c>
      <c r="T123" s="212" t="s">
        <v>445</v>
      </c>
      <c r="U123" s="212" t="s">
        <v>446</v>
      </c>
      <c r="V123" s="214" t="b">
        <v>1</v>
      </c>
      <c r="W123" s="214">
        <v>1989</v>
      </c>
      <c r="X123" s="214">
        <v>5</v>
      </c>
      <c r="Y123" s="214">
        <v>2</v>
      </c>
      <c r="Z123" s="214">
        <v>4</v>
      </c>
      <c r="AA123" s="212" t="s">
        <v>447</v>
      </c>
      <c r="AB123" s="212" t="s">
        <v>531</v>
      </c>
      <c r="AC123" s="212" t="s">
        <v>533</v>
      </c>
      <c r="AD123" s="214">
        <v>1.387392</v>
      </c>
      <c r="AE123" s="214">
        <v>605</v>
      </c>
      <c r="AF123" s="214">
        <v>1.5078</v>
      </c>
      <c r="AG123" s="214">
        <v>-99</v>
      </c>
      <c r="AH123" s="212" t="s">
        <v>224</v>
      </c>
      <c r="AI123" s="212" t="s">
        <v>449</v>
      </c>
      <c r="AJ123" s="212" t="s">
        <v>285</v>
      </c>
      <c r="AK123" s="212" t="s">
        <v>531</v>
      </c>
      <c r="AL123" s="212" t="s">
        <v>381</v>
      </c>
      <c r="AM123" s="214" t="b">
        <v>1</v>
      </c>
      <c r="AN123" s="214" t="b">
        <v>0</v>
      </c>
      <c r="AO123" s="212" t="s">
        <v>286</v>
      </c>
      <c r="AP123" s="212" t="s">
        <v>287</v>
      </c>
      <c r="AQ123" s="214">
        <v>72.148780000000002</v>
      </c>
      <c r="AR123" s="214" t="b">
        <v>0</v>
      </c>
      <c r="AS123" s="212" t="s">
        <v>534</v>
      </c>
      <c r="AU123" s="222" t="s">
        <v>819</v>
      </c>
    </row>
    <row r="124" spans="1:47" x14ac:dyDescent="0.25">
      <c r="A124" s="245">
        <f t="shared" si="15"/>
        <v>124</v>
      </c>
      <c r="B124" s="246" t="str">
        <f t="shared" si="8"/>
        <v>Oil Field - Tank</v>
      </c>
      <c r="C124" s="246" t="str">
        <f ca="1">IF(B124="","",VLOOKUP(D124,'Species Data'!B:E,4,FALSE))</f>
        <v>N_proben</v>
      </c>
      <c r="D124" s="246">
        <f t="shared" ca="1" si="9"/>
        <v>608</v>
      </c>
      <c r="E124" s="246">
        <f t="shared" ca="1" si="10"/>
        <v>1.77E-2</v>
      </c>
      <c r="F124" s="246" t="str">
        <f t="shared" ca="1" si="11"/>
        <v>N-propylbenzene</v>
      </c>
      <c r="G124" s="246">
        <f t="shared" ca="1" si="12"/>
        <v>120.19158</v>
      </c>
      <c r="H124" s="204">
        <f ca="1">IF(G124="","",IF(VLOOKUP(Tank!F124,'Species Data'!D:F,3,FALSE)=0,"X",IF(G124&lt;44.1,2,1)))</f>
        <v>1</v>
      </c>
      <c r="I124" s="204">
        <f t="shared" ca="1" si="13"/>
        <v>2.0193527191194376E-2</v>
      </c>
      <c r="J124" s="247">
        <f ca="1">IF(I124="","",IF(COUNTIF($D$12:D124,D124)=1,IF(H124=1,I124*H124,IF(H124="X","X",0)),0))</f>
        <v>0</v>
      </c>
      <c r="K124" s="248">
        <f t="shared" ca="1" si="14"/>
        <v>0</v>
      </c>
      <c r="L124" s="212" t="s">
        <v>679</v>
      </c>
      <c r="M124" s="212" t="s">
        <v>448</v>
      </c>
      <c r="N124" s="212" t="s">
        <v>470</v>
      </c>
      <c r="O124" s="213">
        <v>41419</v>
      </c>
      <c r="P124" s="212" t="s">
        <v>531</v>
      </c>
      <c r="Q124" s="214">
        <v>100</v>
      </c>
      <c r="R124" s="212" t="s">
        <v>445</v>
      </c>
      <c r="S124" s="212" t="s">
        <v>532</v>
      </c>
      <c r="T124" s="212" t="s">
        <v>445</v>
      </c>
      <c r="U124" s="212" t="s">
        <v>446</v>
      </c>
      <c r="V124" s="214" t="b">
        <v>1</v>
      </c>
      <c r="W124" s="214">
        <v>1989</v>
      </c>
      <c r="X124" s="214">
        <v>5</v>
      </c>
      <c r="Y124" s="214">
        <v>2</v>
      </c>
      <c r="Z124" s="214">
        <v>4</v>
      </c>
      <c r="AA124" s="212" t="s">
        <v>447</v>
      </c>
      <c r="AB124" s="212" t="s">
        <v>531</v>
      </c>
      <c r="AC124" s="212" t="s">
        <v>533</v>
      </c>
      <c r="AD124" s="214">
        <v>1.387392</v>
      </c>
      <c r="AE124" s="214">
        <v>608</v>
      </c>
      <c r="AF124" s="214">
        <v>1.77E-2</v>
      </c>
      <c r="AG124" s="214">
        <v>-99</v>
      </c>
      <c r="AH124" s="212" t="s">
        <v>224</v>
      </c>
      <c r="AI124" s="212" t="s">
        <v>449</v>
      </c>
      <c r="AJ124" s="212" t="s">
        <v>420</v>
      </c>
      <c r="AK124" s="212" t="s">
        <v>531</v>
      </c>
      <c r="AL124" s="212" t="s">
        <v>454</v>
      </c>
      <c r="AM124" s="214" t="b">
        <v>1</v>
      </c>
      <c r="AN124" s="214" t="b">
        <v>0</v>
      </c>
      <c r="AO124" s="212" t="s">
        <v>421</v>
      </c>
      <c r="AP124" s="212" t="s">
        <v>422</v>
      </c>
      <c r="AQ124" s="214">
        <v>120.19158</v>
      </c>
      <c r="AR124" s="214" t="b">
        <v>0</v>
      </c>
      <c r="AS124" s="212" t="s">
        <v>534</v>
      </c>
      <c r="AU124" s="222" t="s">
        <v>819</v>
      </c>
    </row>
    <row r="125" spans="1:47" x14ac:dyDescent="0.25">
      <c r="A125" s="245">
        <f t="shared" si="15"/>
        <v>125</v>
      </c>
      <c r="B125" s="246" t="str">
        <f t="shared" si="8"/>
        <v>Oil Field - Tank</v>
      </c>
      <c r="C125" s="246" t="str">
        <f ca="1">IF(B125="","",VLOOKUP(D125,'Species Data'!B:E,4,FALSE))</f>
        <v>O_xylene</v>
      </c>
      <c r="D125" s="246">
        <f t="shared" ca="1" si="9"/>
        <v>620</v>
      </c>
      <c r="E125" s="246">
        <f t="shared" ca="1" si="10"/>
        <v>5.45E-2</v>
      </c>
      <c r="F125" s="246" t="str">
        <f t="shared" ca="1" si="11"/>
        <v>O-xylene</v>
      </c>
      <c r="G125" s="246">
        <f t="shared" ca="1" si="12"/>
        <v>106.16500000000001</v>
      </c>
      <c r="H125" s="204">
        <f ca="1">IF(G125="","",IF(VLOOKUP(Tank!F125,'Species Data'!D:F,3,FALSE)=0,"X",IF(G125&lt;44.1,2,1)))</f>
        <v>1</v>
      </c>
      <c r="I125" s="204">
        <f t="shared" ca="1" si="13"/>
        <v>5.0080480772615434E-2</v>
      </c>
      <c r="J125" s="247">
        <f ca="1">IF(I125="","",IF(COUNTIF($D$12:D125,D125)=1,IF(H125=1,I125*H125,IF(H125="X","X",0)),0))</f>
        <v>0</v>
      </c>
      <c r="K125" s="248">
        <f t="shared" ca="1" si="14"/>
        <v>0</v>
      </c>
      <c r="L125" s="212" t="s">
        <v>679</v>
      </c>
      <c r="M125" s="212" t="s">
        <v>448</v>
      </c>
      <c r="N125" s="212" t="s">
        <v>470</v>
      </c>
      <c r="O125" s="213">
        <v>41419</v>
      </c>
      <c r="P125" s="212" t="s">
        <v>531</v>
      </c>
      <c r="Q125" s="214">
        <v>100</v>
      </c>
      <c r="R125" s="212" t="s">
        <v>445</v>
      </c>
      <c r="S125" s="212" t="s">
        <v>532</v>
      </c>
      <c r="T125" s="212" t="s">
        <v>445</v>
      </c>
      <c r="U125" s="212" t="s">
        <v>446</v>
      </c>
      <c r="V125" s="214" t="b">
        <v>1</v>
      </c>
      <c r="W125" s="214">
        <v>1989</v>
      </c>
      <c r="X125" s="214">
        <v>5</v>
      </c>
      <c r="Y125" s="214">
        <v>2</v>
      </c>
      <c r="Z125" s="214">
        <v>4</v>
      </c>
      <c r="AA125" s="212" t="s">
        <v>447</v>
      </c>
      <c r="AB125" s="212" t="s">
        <v>531</v>
      </c>
      <c r="AC125" s="212" t="s">
        <v>533</v>
      </c>
      <c r="AD125" s="214">
        <v>1.387392</v>
      </c>
      <c r="AE125" s="214">
        <v>620</v>
      </c>
      <c r="AF125" s="214">
        <v>5.45E-2</v>
      </c>
      <c r="AG125" s="214">
        <v>-99</v>
      </c>
      <c r="AH125" s="212" t="s">
        <v>224</v>
      </c>
      <c r="AI125" s="212" t="s">
        <v>449</v>
      </c>
      <c r="AJ125" s="212" t="s">
        <v>354</v>
      </c>
      <c r="AK125" s="212" t="s">
        <v>531</v>
      </c>
      <c r="AL125" s="212" t="s">
        <v>398</v>
      </c>
      <c r="AM125" s="214" t="b">
        <v>1</v>
      </c>
      <c r="AN125" s="214" t="b">
        <v>1</v>
      </c>
      <c r="AO125" s="212" t="s">
        <v>355</v>
      </c>
      <c r="AP125" s="212" t="s">
        <v>356</v>
      </c>
      <c r="AQ125" s="214">
        <v>106.16500000000001</v>
      </c>
      <c r="AR125" s="214" t="b">
        <v>0</v>
      </c>
      <c r="AS125" s="212" t="s">
        <v>534</v>
      </c>
      <c r="AU125" s="222" t="s">
        <v>819</v>
      </c>
    </row>
    <row r="126" spans="1:47" x14ac:dyDescent="0.25">
      <c r="A126" s="245">
        <f t="shared" si="15"/>
        <v>126</v>
      </c>
      <c r="B126" s="246" t="str">
        <f t="shared" si="8"/>
        <v>Oil Field - Tank</v>
      </c>
      <c r="C126" s="246" t="str">
        <f ca="1">IF(B126="","",VLOOKUP(D126,'Species Data'!B:E,4,FALSE))</f>
        <v>P_xylene</v>
      </c>
      <c r="D126" s="246">
        <f t="shared" ca="1" si="9"/>
        <v>648</v>
      </c>
      <c r="E126" s="246">
        <f t="shared" ca="1" si="10"/>
        <v>5.1999999999999998E-2</v>
      </c>
      <c r="F126" s="246" t="str">
        <f t="shared" ca="1" si="11"/>
        <v>P-xylene</v>
      </c>
      <c r="G126" s="246">
        <f t="shared" ca="1" si="12"/>
        <v>106.16500000000001</v>
      </c>
      <c r="H126" s="204">
        <f ca="1">IF(G126="","",IF(VLOOKUP(Tank!F126,'Species Data'!D:F,3,FALSE)=0,"X",IF(G126&lt;44.1,2,1)))</f>
        <v>1</v>
      </c>
      <c r="I126" s="204">
        <f t="shared" ca="1" si="13"/>
        <v>8.2000787207557213E-2</v>
      </c>
      <c r="J126" s="247">
        <f ca="1">IF(I126="","",IF(COUNTIF($D$12:D126,D126)=1,IF(H126=1,I126*H126,IF(H126="X","X",0)),0))</f>
        <v>0</v>
      </c>
      <c r="K126" s="248">
        <f t="shared" ca="1" si="14"/>
        <v>0</v>
      </c>
      <c r="L126" s="212" t="s">
        <v>679</v>
      </c>
      <c r="M126" s="212" t="s">
        <v>448</v>
      </c>
      <c r="N126" s="212" t="s">
        <v>470</v>
      </c>
      <c r="O126" s="213">
        <v>41419</v>
      </c>
      <c r="P126" s="212" t="s">
        <v>531</v>
      </c>
      <c r="Q126" s="214">
        <v>100</v>
      </c>
      <c r="R126" s="212" t="s">
        <v>445</v>
      </c>
      <c r="S126" s="212" t="s">
        <v>532</v>
      </c>
      <c r="T126" s="212" t="s">
        <v>445</v>
      </c>
      <c r="U126" s="212" t="s">
        <v>446</v>
      </c>
      <c r="V126" s="214" t="b">
        <v>1</v>
      </c>
      <c r="W126" s="214">
        <v>1989</v>
      </c>
      <c r="X126" s="214">
        <v>5</v>
      </c>
      <c r="Y126" s="214">
        <v>2</v>
      </c>
      <c r="Z126" s="214">
        <v>4</v>
      </c>
      <c r="AA126" s="212" t="s">
        <v>447</v>
      </c>
      <c r="AB126" s="212" t="s">
        <v>531</v>
      </c>
      <c r="AC126" s="212" t="s">
        <v>533</v>
      </c>
      <c r="AD126" s="214">
        <v>1.387392</v>
      </c>
      <c r="AE126" s="214">
        <v>648</v>
      </c>
      <c r="AF126" s="214">
        <v>5.1999999999999998E-2</v>
      </c>
      <c r="AG126" s="214">
        <v>-99</v>
      </c>
      <c r="AH126" s="212" t="s">
        <v>224</v>
      </c>
      <c r="AI126" s="212" t="s">
        <v>449</v>
      </c>
      <c r="AJ126" s="212" t="s">
        <v>433</v>
      </c>
      <c r="AK126" s="212" t="s">
        <v>531</v>
      </c>
      <c r="AL126" s="212" t="s">
        <v>459</v>
      </c>
      <c r="AM126" s="214" t="b">
        <v>0</v>
      </c>
      <c r="AN126" s="214" t="b">
        <v>1</v>
      </c>
      <c r="AO126" s="212" t="s">
        <v>434</v>
      </c>
      <c r="AP126" s="212" t="s">
        <v>435</v>
      </c>
      <c r="AQ126" s="214">
        <v>106.16500000000001</v>
      </c>
      <c r="AR126" s="214" t="b">
        <v>0</v>
      </c>
      <c r="AS126" s="212" t="s">
        <v>534</v>
      </c>
      <c r="AU126" s="222" t="s">
        <v>819</v>
      </c>
    </row>
    <row r="127" spans="1:47" x14ac:dyDescent="0.25">
      <c r="A127" s="245">
        <f t="shared" si="15"/>
        <v>127</v>
      </c>
      <c r="B127" s="246" t="str">
        <f t="shared" si="8"/>
        <v>Oil Field - Tank</v>
      </c>
      <c r="C127" s="246" t="str">
        <f ca="1">IF(B127="","",VLOOKUP(D127,'Species Data'!B:E,4,FALSE))</f>
        <v>propane</v>
      </c>
      <c r="D127" s="246">
        <f t="shared" ca="1" si="9"/>
        <v>671</v>
      </c>
      <c r="E127" s="246">
        <f t="shared" ca="1" si="10"/>
        <v>15.3786</v>
      </c>
      <c r="F127" s="246" t="str">
        <f t="shared" ca="1" si="11"/>
        <v>Propane</v>
      </c>
      <c r="G127" s="246">
        <f t="shared" ca="1" si="12"/>
        <v>44.095619999999997</v>
      </c>
      <c r="H127" s="204">
        <f ca="1">IF(G127="","",IF(VLOOKUP(Tank!F127,'Species Data'!D:F,3,FALSE)=0,"X",IF(G127&lt;44.1,2,1)))</f>
        <v>2</v>
      </c>
      <c r="I127" s="204">
        <f t="shared" ca="1" si="13"/>
        <v>10.138737331878389</v>
      </c>
      <c r="J127" s="247">
        <f ca="1">IF(I127="","",IF(COUNTIF($D$12:D127,D127)=1,IF(H127=1,I127*H127,IF(H127="X","X",0)),0))</f>
        <v>0</v>
      </c>
      <c r="K127" s="248">
        <f t="shared" ca="1" si="14"/>
        <v>0</v>
      </c>
      <c r="L127" s="212" t="s">
        <v>679</v>
      </c>
      <c r="M127" s="212" t="s">
        <v>448</v>
      </c>
      <c r="N127" s="212" t="s">
        <v>470</v>
      </c>
      <c r="O127" s="213">
        <v>41419</v>
      </c>
      <c r="P127" s="212" t="s">
        <v>531</v>
      </c>
      <c r="Q127" s="214">
        <v>100</v>
      </c>
      <c r="R127" s="212" t="s">
        <v>445</v>
      </c>
      <c r="S127" s="212" t="s">
        <v>532</v>
      </c>
      <c r="T127" s="212" t="s">
        <v>445</v>
      </c>
      <c r="U127" s="212" t="s">
        <v>446</v>
      </c>
      <c r="V127" s="214" t="b">
        <v>1</v>
      </c>
      <c r="W127" s="214">
        <v>1989</v>
      </c>
      <c r="X127" s="214">
        <v>5</v>
      </c>
      <c r="Y127" s="214">
        <v>2</v>
      </c>
      <c r="Z127" s="214">
        <v>4</v>
      </c>
      <c r="AA127" s="212" t="s">
        <v>447</v>
      </c>
      <c r="AB127" s="212" t="s">
        <v>531</v>
      </c>
      <c r="AC127" s="212" t="s">
        <v>533</v>
      </c>
      <c r="AD127" s="214">
        <v>1.387392</v>
      </c>
      <c r="AE127" s="214">
        <v>671</v>
      </c>
      <c r="AF127" s="214">
        <v>15.3786</v>
      </c>
      <c r="AG127" s="214">
        <v>-99</v>
      </c>
      <c r="AH127" s="212" t="s">
        <v>224</v>
      </c>
      <c r="AI127" s="212" t="s">
        <v>449</v>
      </c>
      <c r="AJ127" s="212" t="s">
        <v>288</v>
      </c>
      <c r="AK127" s="212" t="s">
        <v>531</v>
      </c>
      <c r="AL127" s="212" t="s">
        <v>382</v>
      </c>
      <c r="AM127" s="214" t="b">
        <v>1</v>
      </c>
      <c r="AN127" s="214" t="b">
        <v>0</v>
      </c>
      <c r="AO127" s="212" t="s">
        <v>289</v>
      </c>
      <c r="AP127" s="212" t="s">
        <v>290</v>
      </c>
      <c r="AQ127" s="214">
        <v>44.095619999999997</v>
      </c>
      <c r="AR127" s="214" t="b">
        <v>0</v>
      </c>
      <c r="AS127" s="212" t="s">
        <v>534</v>
      </c>
      <c r="AU127" s="222" t="s">
        <v>819</v>
      </c>
    </row>
    <row r="128" spans="1:47" x14ac:dyDescent="0.25">
      <c r="A128" s="245">
        <f t="shared" si="15"/>
        <v>128</v>
      </c>
      <c r="B128" s="246" t="str">
        <f t="shared" si="8"/>
        <v>Oil Field - Tank</v>
      </c>
      <c r="C128" s="246" t="str">
        <f ca="1">IF(B128="","",VLOOKUP(D128,'Species Data'!B:E,4,FALSE))</f>
        <v>toluene</v>
      </c>
      <c r="D128" s="246">
        <f t="shared" ca="1" si="9"/>
        <v>717</v>
      </c>
      <c r="E128" s="246">
        <f t="shared" ca="1" si="10"/>
        <v>0.48870000000000002</v>
      </c>
      <c r="F128" s="246" t="str">
        <f t="shared" ca="1" si="11"/>
        <v>Toluene</v>
      </c>
      <c r="G128" s="246">
        <f t="shared" ca="1" si="12"/>
        <v>92.138419999999996</v>
      </c>
      <c r="H128" s="204">
        <f ca="1">IF(G128="","",IF(VLOOKUP(Tank!F128,'Species Data'!D:F,3,FALSE)=0,"X",IF(G128&lt;44.1,2,1)))</f>
        <v>1</v>
      </c>
      <c r="I128" s="204">
        <f t="shared" ca="1" si="13"/>
        <v>0.21631540996126902</v>
      </c>
      <c r="J128" s="247">
        <f ca="1">IF(I128="","",IF(COUNTIF($D$12:D128,D128)=1,IF(H128=1,I128*H128,IF(H128="X","X",0)),0))</f>
        <v>0</v>
      </c>
      <c r="K128" s="248">
        <f t="shared" ca="1" si="14"/>
        <v>0</v>
      </c>
      <c r="L128" s="212" t="s">
        <v>679</v>
      </c>
      <c r="M128" s="212" t="s">
        <v>448</v>
      </c>
      <c r="N128" s="212" t="s">
        <v>470</v>
      </c>
      <c r="O128" s="213">
        <v>41419</v>
      </c>
      <c r="P128" s="212" t="s">
        <v>531</v>
      </c>
      <c r="Q128" s="214">
        <v>100</v>
      </c>
      <c r="R128" s="212" t="s">
        <v>445</v>
      </c>
      <c r="S128" s="212" t="s">
        <v>532</v>
      </c>
      <c r="T128" s="212" t="s">
        <v>445</v>
      </c>
      <c r="U128" s="212" t="s">
        <v>446</v>
      </c>
      <c r="V128" s="214" t="b">
        <v>1</v>
      </c>
      <c r="W128" s="214">
        <v>1989</v>
      </c>
      <c r="X128" s="214">
        <v>5</v>
      </c>
      <c r="Y128" s="214">
        <v>2</v>
      </c>
      <c r="Z128" s="214">
        <v>4</v>
      </c>
      <c r="AA128" s="212" t="s">
        <v>447</v>
      </c>
      <c r="AB128" s="212" t="s">
        <v>531</v>
      </c>
      <c r="AC128" s="212" t="s">
        <v>533</v>
      </c>
      <c r="AD128" s="214">
        <v>1.387392</v>
      </c>
      <c r="AE128" s="214">
        <v>717</v>
      </c>
      <c r="AF128" s="214">
        <v>0.48870000000000002</v>
      </c>
      <c r="AG128" s="214">
        <v>-99</v>
      </c>
      <c r="AH128" s="212" t="s">
        <v>224</v>
      </c>
      <c r="AI128" s="212" t="s">
        <v>449</v>
      </c>
      <c r="AJ128" s="212" t="s">
        <v>294</v>
      </c>
      <c r="AK128" s="212" t="s">
        <v>531</v>
      </c>
      <c r="AL128" s="212" t="s">
        <v>383</v>
      </c>
      <c r="AM128" s="214" t="b">
        <v>1</v>
      </c>
      <c r="AN128" s="214" t="b">
        <v>1</v>
      </c>
      <c r="AO128" s="212" t="s">
        <v>295</v>
      </c>
      <c r="AP128" s="212" t="s">
        <v>296</v>
      </c>
      <c r="AQ128" s="214">
        <v>92.138419999999996</v>
      </c>
      <c r="AR128" s="214" t="b">
        <v>0</v>
      </c>
      <c r="AS128" s="212" t="s">
        <v>534</v>
      </c>
      <c r="AU128" s="222" t="s">
        <v>819</v>
      </c>
    </row>
    <row r="129" spans="1:47" x14ac:dyDescent="0.25">
      <c r="A129" s="245">
        <f t="shared" si="15"/>
        <v>129</v>
      </c>
      <c r="B129" s="246" t="str">
        <f t="shared" si="8"/>
        <v>Oil Field - Tank</v>
      </c>
      <c r="C129" s="246" t="str">
        <f ca="1">IF(B129="","",VLOOKUP(D129,'Species Data'!B:E,4,FALSE))</f>
        <v>c_4_comp</v>
      </c>
      <c r="D129" s="246">
        <f t="shared" ca="1" si="9"/>
        <v>1976</v>
      </c>
      <c r="E129" s="246">
        <f t="shared" ca="1" si="10"/>
        <v>13.7463</v>
      </c>
      <c r="F129" s="246" t="str">
        <f t="shared" ca="1" si="11"/>
        <v>C-4 Compounds</v>
      </c>
      <c r="G129" s="246">
        <f t="shared" ca="1" si="12"/>
        <v>56.106319999999997</v>
      </c>
      <c r="H129" s="204" t="str">
        <f ca="1">IF(G129="","",IF(VLOOKUP(Tank!F129,'Species Data'!D:F,3,FALSE)=0,"X",IF(G129&lt;44.1,2,1)))</f>
        <v>X</v>
      </c>
      <c r="I129" s="204">
        <f t="shared" ca="1" si="13"/>
        <v>1.3045925240882317</v>
      </c>
      <c r="J129" s="247">
        <f ca="1">IF(I129="","",IF(COUNTIF($D$12:D129,D129)=1,IF(H129=1,I129*H129,IF(H129="X","X",0)),0))</f>
        <v>0</v>
      </c>
      <c r="K129" s="248">
        <f t="shared" ca="1" si="14"/>
        <v>0</v>
      </c>
      <c r="L129" s="212" t="s">
        <v>679</v>
      </c>
      <c r="M129" s="212" t="s">
        <v>448</v>
      </c>
      <c r="N129" s="212" t="s">
        <v>470</v>
      </c>
      <c r="O129" s="213">
        <v>41419</v>
      </c>
      <c r="P129" s="212" t="s">
        <v>531</v>
      </c>
      <c r="Q129" s="214">
        <v>100</v>
      </c>
      <c r="R129" s="212" t="s">
        <v>445</v>
      </c>
      <c r="S129" s="212" t="s">
        <v>532</v>
      </c>
      <c r="T129" s="212" t="s">
        <v>445</v>
      </c>
      <c r="U129" s="212" t="s">
        <v>446</v>
      </c>
      <c r="V129" s="214" t="b">
        <v>1</v>
      </c>
      <c r="W129" s="214">
        <v>1989</v>
      </c>
      <c r="X129" s="214">
        <v>5</v>
      </c>
      <c r="Y129" s="214">
        <v>2</v>
      </c>
      <c r="Z129" s="214">
        <v>4</v>
      </c>
      <c r="AA129" s="212" t="s">
        <v>447</v>
      </c>
      <c r="AB129" s="212" t="s">
        <v>531</v>
      </c>
      <c r="AC129" s="212" t="s">
        <v>533</v>
      </c>
      <c r="AD129" s="214">
        <v>1.387392</v>
      </c>
      <c r="AE129" s="214">
        <v>1976</v>
      </c>
      <c r="AF129" s="214">
        <v>13.7463</v>
      </c>
      <c r="AG129" s="214">
        <v>-99</v>
      </c>
      <c r="AH129" s="212" t="s">
        <v>224</v>
      </c>
      <c r="AI129" s="212" t="s">
        <v>449</v>
      </c>
      <c r="AJ129" s="212" t="s">
        <v>224</v>
      </c>
      <c r="AK129" s="212" t="s">
        <v>531</v>
      </c>
      <c r="AL129" s="212" t="s">
        <v>465</v>
      </c>
      <c r="AM129" s="214" t="b">
        <v>0</v>
      </c>
      <c r="AN129" s="214" t="b">
        <v>0</v>
      </c>
      <c r="AO129" s="212" t="s">
        <v>551</v>
      </c>
      <c r="AP129" s="212" t="s">
        <v>552</v>
      </c>
      <c r="AQ129" s="214">
        <v>56.106319999999997</v>
      </c>
      <c r="AR129" s="214" t="b">
        <v>0</v>
      </c>
      <c r="AS129" s="212" t="s">
        <v>534</v>
      </c>
      <c r="AU129" s="222" t="s">
        <v>819</v>
      </c>
    </row>
    <row r="130" spans="1:47" ht="15" customHeight="1" x14ac:dyDescent="0.25">
      <c r="A130" s="245">
        <f t="shared" si="15"/>
        <v>130</v>
      </c>
      <c r="B130" s="246" t="str">
        <f t="shared" si="8"/>
        <v>Oil Field - Tank</v>
      </c>
      <c r="C130" s="246" t="str">
        <f ca="1">IF(B130="","",VLOOKUP(D130,'Species Data'!B:E,4,FALSE))</f>
        <v>c5_comp</v>
      </c>
      <c r="D130" s="246">
        <f t="shared" ca="1" si="9"/>
        <v>1986</v>
      </c>
      <c r="E130" s="246">
        <f t="shared" ca="1" si="10"/>
        <v>9.1197999999999997</v>
      </c>
      <c r="F130" s="246" t="str">
        <f t="shared" ca="1" si="11"/>
        <v>C-5 Compounds</v>
      </c>
      <c r="G130" s="246">
        <f t="shared" ca="1" si="12"/>
        <v>72.148780000000002</v>
      </c>
      <c r="H130" s="204" t="str">
        <f ca="1">IF(G130="","",IF(VLOOKUP(Tank!F130,'Species Data'!D:F,3,FALSE)=0,"X",IF(G130&lt;44.1,2,1)))</f>
        <v>X</v>
      </c>
      <c r="I130" s="204">
        <f t="shared" ca="1" si="13"/>
        <v>2.1162936497523712</v>
      </c>
      <c r="J130" s="247">
        <f ca="1">IF(I130="","",IF(COUNTIF($D$12:D130,D130)=1,IF(H130=1,I130*H130,IF(H130="X","X",0)),0))</f>
        <v>0</v>
      </c>
      <c r="K130" s="248">
        <f t="shared" ca="1" si="14"/>
        <v>0</v>
      </c>
      <c r="L130" s="212" t="s">
        <v>679</v>
      </c>
      <c r="M130" s="212" t="s">
        <v>448</v>
      </c>
      <c r="N130" s="212" t="s">
        <v>470</v>
      </c>
      <c r="O130" s="213">
        <v>41419</v>
      </c>
      <c r="P130" s="212" t="s">
        <v>531</v>
      </c>
      <c r="Q130" s="214">
        <v>100</v>
      </c>
      <c r="R130" s="212" t="s">
        <v>445</v>
      </c>
      <c r="S130" s="212" t="s">
        <v>532</v>
      </c>
      <c r="T130" s="212" t="s">
        <v>445</v>
      </c>
      <c r="U130" s="212" t="s">
        <v>446</v>
      </c>
      <c r="V130" s="214" t="b">
        <v>1</v>
      </c>
      <c r="W130" s="214">
        <v>1989</v>
      </c>
      <c r="X130" s="214">
        <v>5</v>
      </c>
      <c r="Y130" s="214">
        <v>2</v>
      </c>
      <c r="Z130" s="214">
        <v>4</v>
      </c>
      <c r="AA130" s="212" t="s">
        <v>447</v>
      </c>
      <c r="AB130" s="212" t="s">
        <v>531</v>
      </c>
      <c r="AC130" s="212" t="s">
        <v>533</v>
      </c>
      <c r="AD130" s="214">
        <v>1.387392</v>
      </c>
      <c r="AE130" s="214">
        <v>1986</v>
      </c>
      <c r="AF130" s="214">
        <v>9.1197999999999997</v>
      </c>
      <c r="AG130" s="214">
        <v>-99</v>
      </c>
      <c r="AH130" s="212" t="s">
        <v>224</v>
      </c>
      <c r="AI130" s="212" t="s">
        <v>449</v>
      </c>
      <c r="AJ130" s="212" t="s">
        <v>224</v>
      </c>
      <c r="AK130" s="212" t="s">
        <v>531</v>
      </c>
      <c r="AL130" s="212" t="s">
        <v>537</v>
      </c>
      <c r="AM130" s="214" t="b">
        <v>0</v>
      </c>
      <c r="AN130" s="214" t="b">
        <v>0</v>
      </c>
      <c r="AO130" s="212" t="s">
        <v>538</v>
      </c>
      <c r="AP130" s="212" t="s">
        <v>539</v>
      </c>
      <c r="AQ130" s="214">
        <v>72.148780000000002</v>
      </c>
      <c r="AR130" s="214" t="b">
        <v>0</v>
      </c>
      <c r="AS130" s="212" t="s">
        <v>534</v>
      </c>
      <c r="AU130" s="222" t="s">
        <v>819</v>
      </c>
    </row>
    <row r="131" spans="1:47" x14ac:dyDescent="0.25">
      <c r="A131" s="245">
        <f t="shared" si="15"/>
        <v>131</v>
      </c>
      <c r="B131" s="246" t="str">
        <f t="shared" si="8"/>
        <v>Oil Field - Tank</v>
      </c>
      <c r="C131" s="246" t="str">
        <f ca="1">IF(B131="","",VLOOKUP(D131,'Species Data'!B:E,4,FALSE))</f>
        <v>c6_comp</v>
      </c>
      <c r="D131" s="246">
        <f t="shared" ca="1" si="9"/>
        <v>1999</v>
      </c>
      <c r="E131" s="246">
        <f t="shared" ca="1" si="10"/>
        <v>6.4305000000000003</v>
      </c>
      <c r="F131" s="246" t="str">
        <f t="shared" ca="1" si="11"/>
        <v>C-6 Compounds</v>
      </c>
      <c r="G131" s="246">
        <f t="shared" ca="1" si="12"/>
        <v>86.175359999999998</v>
      </c>
      <c r="H131" s="204" t="str">
        <f ca="1">IF(G131="","",IF(VLOOKUP(Tank!F131,'Species Data'!D:F,3,FALSE)=0,"X",IF(G131&lt;44.1,2,1)))</f>
        <v>X</v>
      </c>
      <c r="I131" s="204">
        <f t="shared" ca="1" si="13"/>
        <v>3.9709781213899662</v>
      </c>
      <c r="J131" s="247">
        <f ca="1">IF(I131="","",IF(COUNTIF($D$12:D131,D131)=1,IF(H131=1,I131*H131,IF(H131="X","X",0)),0))</f>
        <v>0</v>
      </c>
      <c r="K131" s="248">
        <f t="shared" ca="1" si="14"/>
        <v>0</v>
      </c>
      <c r="L131" s="212" t="s">
        <v>679</v>
      </c>
      <c r="M131" s="212" t="s">
        <v>448</v>
      </c>
      <c r="N131" s="212" t="s">
        <v>470</v>
      </c>
      <c r="O131" s="213">
        <v>41419</v>
      </c>
      <c r="P131" s="212" t="s">
        <v>531</v>
      </c>
      <c r="Q131" s="214">
        <v>100</v>
      </c>
      <c r="R131" s="212" t="s">
        <v>445</v>
      </c>
      <c r="S131" s="212" t="s">
        <v>532</v>
      </c>
      <c r="T131" s="212" t="s">
        <v>445</v>
      </c>
      <c r="U131" s="212" t="s">
        <v>446</v>
      </c>
      <c r="V131" s="214" t="b">
        <v>1</v>
      </c>
      <c r="W131" s="214">
        <v>1989</v>
      </c>
      <c r="X131" s="214">
        <v>5</v>
      </c>
      <c r="Y131" s="214">
        <v>2</v>
      </c>
      <c r="Z131" s="214">
        <v>4</v>
      </c>
      <c r="AA131" s="212" t="s">
        <v>447</v>
      </c>
      <c r="AB131" s="212" t="s">
        <v>531</v>
      </c>
      <c r="AC131" s="212" t="s">
        <v>533</v>
      </c>
      <c r="AD131" s="214">
        <v>1.387392</v>
      </c>
      <c r="AE131" s="214">
        <v>1999</v>
      </c>
      <c r="AF131" s="214">
        <v>6.4305000000000003</v>
      </c>
      <c r="AG131" s="214">
        <v>-99</v>
      </c>
      <c r="AH131" s="212" t="s">
        <v>224</v>
      </c>
      <c r="AI131" s="212" t="s">
        <v>449</v>
      </c>
      <c r="AJ131" s="212" t="s">
        <v>224</v>
      </c>
      <c r="AK131" s="212" t="s">
        <v>531</v>
      </c>
      <c r="AL131" s="212" t="s">
        <v>540</v>
      </c>
      <c r="AM131" s="214" t="b">
        <v>0</v>
      </c>
      <c r="AN131" s="214" t="b">
        <v>0</v>
      </c>
      <c r="AO131" s="212" t="s">
        <v>541</v>
      </c>
      <c r="AP131" s="212" t="s">
        <v>542</v>
      </c>
      <c r="AQ131" s="214">
        <v>86.175359999999998</v>
      </c>
      <c r="AR131" s="214" t="b">
        <v>0</v>
      </c>
      <c r="AS131" s="212" t="s">
        <v>534</v>
      </c>
      <c r="AU131" s="222" t="s">
        <v>819</v>
      </c>
    </row>
    <row r="132" spans="1:47" x14ac:dyDescent="0.25">
      <c r="A132" s="245">
        <f t="shared" si="15"/>
        <v>132</v>
      </c>
      <c r="B132" s="246" t="str">
        <f t="shared" si="8"/>
        <v>Oil Field - Tank</v>
      </c>
      <c r="C132" s="246" t="str">
        <f ca="1">IF(B132="","",VLOOKUP(D132,'Species Data'!B:E,4,FALSE))</f>
        <v>c7_comp</v>
      </c>
      <c r="D132" s="246">
        <f t="shared" ca="1" si="9"/>
        <v>2005</v>
      </c>
      <c r="E132" s="246">
        <f t="shared" ca="1" si="10"/>
        <v>4.3197999999999999</v>
      </c>
      <c r="F132" s="246" t="str">
        <f t="shared" ca="1" si="11"/>
        <v>C-7 Compounds</v>
      </c>
      <c r="G132" s="246">
        <f t="shared" ca="1" si="12"/>
        <v>100.20194000000001</v>
      </c>
      <c r="H132" s="204" t="str">
        <f ca="1">IF(G132="","",IF(VLOOKUP(Tank!F132,'Species Data'!D:F,3,FALSE)=0,"X",IF(G132&lt;44.1,2,1)))</f>
        <v>X</v>
      </c>
      <c r="I132" s="204">
        <f t="shared" ca="1" si="13"/>
        <v>2.5253842436887401</v>
      </c>
      <c r="J132" s="247">
        <f ca="1">IF(I132="","",IF(COUNTIF($D$12:D132,D132)=1,IF(H132=1,I132*H132,IF(H132="X","X",0)),0))</f>
        <v>0</v>
      </c>
      <c r="K132" s="248">
        <f t="shared" ca="1" si="14"/>
        <v>0</v>
      </c>
      <c r="L132" s="212" t="s">
        <v>679</v>
      </c>
      <c r="M132" s="212" t="s">
        <v>448</v>
      </c>
      <c r="N132" s="212" t="s">
        <v>470</v>
      </c>
      <c r="O132" s="213">
        <v>41419</v>
      </c>
      <c r="P132" s="212" t="s">
        <v>531</v>
      </c>
      <c r="Q132" s="214">
        <v>100</v>
      </c>
      <c r="R132" s="212" t="s">
        <v>445</v>
      </c>
      <c r="S132" s="212" t="s">
        <v>532</v>
      </c>
      <c r="T132" s="212" t="s">
        <v>445</v>
      </c>
      <c r="U132" s="212" t="s">
        <v>446</v>
      </c>
      <c r="V132" s="214" t="b">
        <v>1</v>
      </c>
      <c r="W132" s="214">
        <v>1989</v>
      </c>
      <c r="X132" s="214">
        <v>5</v>
      </c>
      <c r="Y132" s="214">
        <v>2</v>
      </c>
      <c r="Z132" s="214">
        <v>4</v>
      </c>
      <c r="AA132" s="212" t="s">
        <v>447</v>
      </c>
      <c r="AB132" s="212" t="s">
        <v>531</v>
      </c>
      <c r="AC132" s="212" t="s">
        <v>533</v>
      </c>
      <c r="AD132" s="214">
        <v>1.387392</v>
      </c>
      <c r="AE132" s="214">
        <v>2005</v>
      </c>
      <c r="AF132" s="214">
        <v>4.3197999999999999</v>
      </c>
      <c r="AG132" s="214">
        <v>-99</v>
      </c>
      <c r="AH132" s="212" t="s">
        <v>224</v>
      </c>
      <c r="AI132" s="212" t="s">
        <v>449</v>
      </c>
      <c r="AJ132" s="212" t="s">
        <v>224</v>
      </c>
      <c r="AK132" s="212" t="s">
        <v>531</v>
      </c>
      <c r="AL132" s="212" t="s">
        <v>543</v>
      </c>
      <c r="AM132" s="214" t="b">
        <v>0</v>
      </c>
      <c r="AN132" s="214" t="b">
        <v>0</v>
      </c>
      <c r="AO132" s="212" t="s">
        <v>544</v>
      </c>
      <c r="AP132" s="212" t="s">
        <v>545</v>
      </c>
      <c r="AQ132" s="214">
        <v>100.20194000000001</v>
      </c>
      <c r="AR132" s="214" t="b">
        <v>0</v>
      </c>
      <c r="AS132" s="212" t="s">
        <v>534</v>
      </c>
      <c r="AU132" s="222" t="s">
        <v>819</v>
      </c>
    </row>
    <row r="133" spans="1:47" x14ac:dyDescent="0.25">
      <c r="A133" s="245">
        <f t="shared" si="15"/>
        <v>133</v>
      </c>
      <c r="B133" s="246" t="str">
        <f t="shared" si="8"/>
        <v>Oil Field - Tank</v>
      </c>
      <c r="C133" s="246" t="str">
        <f ca="1">IF(B133="","",VLOOKUP(D133,'Species Data'!B:E,4,FALSE))</f>
        <v>c8_comp</v>
      </c>
      <c r="D133" s="246">
        <f t="shared" ca="1" si="9"/>
        <v>2011</v>
      </c>
      <c r="E133" s="246">
        <f t="shared" ca="1" si="10"/>
        <v>0.91800000000000004</v>
      </c>
      <c r="F133" s="246" t="str">
        <f t="shared" ca="1" si="11"/>
        <v>C-8 Compounds</v>
      </c>
      <c r="G133" s="246">
        <f t="shared" ca="1" si="12"/>
        <v>113.21160686946486</v>
      </c>
      <c r="H133" s="204" t="str">
        <f ca="1">IF(G133="","",IF(VLOOKUP(Tank!F133,'Species Data'!D:F,3,FALSE)=0,"X",IF(G133&lt;44.1,2,1)))</f>
        <v>X</v>
      </c>
      <c r="I133" s="204">
        <f t="shared" ca="1" si="13"/>
        <v>1.3164259710226556</v>
      </c>
      <c r="J133" s="247">
        <f ca="1">IF(I133="","",IF(COUNTIF($D$12:D133,D133)=1,IF(H133=1,I133*H133,IF(H133="X","X",0)),0))</f>
        <v>0</v>
      </c>
      <c r="K133" s="248">
        <f t="shared" ca="1" si="14"/>
        <v>0</v>
      </c>
      <c r="L133" s="212" t="s">
        <v>679</v>
      </c>
      <c r="M133" s="212" t="s">
        <v>448</v>
      </c>
      <c r="N133" s="212" t="s">
        <v>470</v>
      </c>
      <c r="O133" s="213">
        <v>41419</v>
      </c>
      <c r="P133" s="212" t="s">
        <v>531</v>
      </c>
      <c r="Q133" s="214">
        <v>100</v>
      </c>
      <c r="R133" s="212" t="s">
        <v>445</v>
      </c>
      <c r="S133" s="212" t="s">
        <v>532</v>
      </c>
      <c r="T133" s="212" t="s">
        <v>445</v>
      </c>
      <c r="U133" s="212" t="s">
        <v>446</v>
      </c>
      <c r="V133" s="214" t="b">
        <v>1</v>
      </c>
      <c r="W133" s="214">
        <v>1989</v>
      </c>
      <c r="X133" s="214">
        <v>5</v>
      </c>
      <c r="Y133" s="214">
        <v>2</v>
      </c>
      <c r="Z133" s="214">
        <v>4</v>
      </c>
      <c r="AA133" s="212" t="s">
        <v>447</v>
      </c>
      <c r="AB133" s="212" t="s">
        <v>531</v>
      </c>
      <c r="AC133" s="212" t="s">
        <v>533</v>
      </c>
      <c r="AD133" s="214">
        <v>1.387392</v>
      </c>
      <c r="AE133" s="214">
        <v>2011</v>
      </c>
      <c r="AF133" s="214">
        <v>0.91800000000000004</v>
      </c>
      <c r="AG133" s="214">
        <v>-99</v>
      </c>
      <c r="AH133" s="212" t="s">
        <v>224</v>
      </c>
      <c r="AI133" s="212" t="s">
        <v>449</v>
      </c>
      <c r="AJ133" s="212" t="s">
        <v>224</v>
      </c>
      <c r="AK133" s="212" t="s">
        <v>531</v>
      </c>
      <c r="AL133" s="212" t="s">
        <v>546</v>
      </c>
      <c r="AM133" s="214" t="b">
        <v>0</v>
      </c>
      <c r="AN133" s="214" t="b">
        <v>0</v>
      </c>
      <c r="AO133" s="212" t="s">
        <v>547</v>
      </c>
      <c r="AP133" s="212" t="s">
        <v>548</v>
      </c>
      <c r="AQ133" s="214">
        <v>113.21160686946486</v>
      </c>
      <c r="AR133" s="214" t="b">
        <v>0</v>
      </c>
      <c r="AS133" s="212" t="s">
        <v>534</v>
      </c>
      <c r="AU133" s="222" t="s">
        <v>819</v>
      </c>
    </row>
    <row r="134" spans="1:47" x14ac:dyDescent="0.25">
      <c r="A134" s="245">
        <f t="shared" si="15"/>
        <v>134</v>
      </c>
      <c r="B134" s="246" t="str">
        <f t="shared" si="8"/>
        <v>Oil Field - Tank</v>
      </c>
      <c r="C134" s="246" t="str">
        <f ca="1">IF(B134="","",VLOOKUP(D134,'Species Data'!B:E,4,FALSE))</f>
        <v>c9_comp</v>
      </c>
      <c r="D134" s="246">
        <f t="shared" ca="1" si="9"/>
        <v>2018</v>
      </c>
      <c r="E134" s="246">
        <f t="shared" ca="1" si="10"/>
        <v>0.3332</v>
      </c>
      <c r="F134" s="246" t="str">
        <f t="shared" ca="1" si="11"/>
        <v>C-9 Compounds</v>
      </c>
      <c r="G134" s="246">
        <f t="shared" ca="1" si="12"/>
        <v>127.23917598649743</v>
      </c>
      <c r="H134" s="204" t="str">
        <f ca="1">IF(G134="","",IF(VLOOKUP(Tank!F134,'Species Data'!D:F,3,FALSE)=0,"X",IF(G134&lt;44.1,2,1)))</f>
        <v>X</v>
      </c>
      <c r="I134" s="204">
        <f t="shared" ca="1" si="13"/>
        <v>0.54975194428533192</v>
      </c>
      <c r="J134" s="247">
        <f ca="1">IF(I134="","",IF(COUNTIF($D$12:D134,D134)=1,IF(H134=1,I134*H134,IF(H134="X","X",0)),0))</f>
        <v>0</v>
      </c>
      <c r="K134" s="248">
        <f t="shared" ca="1" si="14"/>
        <v>0</v>
      </c>
      <c r="L134" s="212" t="s">
        <v>679</v>
      </c>
      <c r="M134" s="212" t="s">
        <v>448</v>
      </c>
      <c r="N134" s="212" t="s">
        <v>470</v>
      </c>
      <c r="O134" s="213">
        <v>41419</v>
      </c>
      <c r="P134" s="212" t="s">
        <v>531</v>
      </c>
      <c r="Q134" s="214">
        <v>100</v>
      </c>
      <c r="R134" s="212" t="s">
        <v>445</v>
      </c>
      <c r="S134" s="212" t="s">
        <v>532</v>
      </c>
      <c r="T134" s="212" t="s">
        <v>445</v>
      </c>
      <c r="U134" s="212" t="s">
        <v>446</v>
      </c>
      <c r="V134" s="214" t="b">
        <v>1</v>
      </c>
      <c r="W134" s="214">
        <v>1989</v>
      </c>
      <c r="X134" s="214">
        <v>5</v>
      </c>
      <c r="Y134" s="214">
        <v>2</v>
      </c>
      <c r="Z134" s="214">
        <v>4</v>
      </c>
      <c r="AA134" s="212" t="s">
        <v>447</v>
      </c>
      <c r="AB134" s="212" t="s">
        <v>531</v>
      </c>
      <c r="AC134" s="212" t="s">
        <v>533</v>
      </c>
      <c r="AD134" s="214">
        <v>1.387392</v>
      </c>
      <c r="AE134" s="214">
        <v>2018</v>
      </c>
      <c r="AF134" s="214">
        <v>0.3332</v>
      </c>
      <c r="AG134" s="214">
        <v>-99</v>
      </c>
      <c r="AH134" s="212" t="s">
        <v>224</v>
      </c>
      <c r="AI134" s="212" t="s">
        <v>449</v>
      </c>
      <c r="AJ134" s="212" t="s">
        <v>224</v>
      </c>
      <c r="AK134" s="212" t="s">
        <v>531</v>
      </c>
      <c r="AL134" s="212" t="s">
        <v>464</v>
      </c>
      <c r="AM134" s="214" t="b">
        <v>0</v>
      </c>
      <c r="AN134" s="214" t="b">
        <v>0</v>
      </c>
      <c r="AO134" s="212" t="s">
        <v>549</v>
      </c>
      <c r="AP134" s="212" t="s">
        <v>550</v>
      </c>
      <c r="AQ134" s="214">
        <v>127.23917598649743</v>
      </c>
      <c r="AR134" s="214" t="b">
        <v>0</v>
      </c>
      <c r="AS134" s="212" t="s">
        <v>534</v>
      </c>
      <c r="AU134" s="222" t="s">
        <v>819</v>
      </c>
    </row>
    <row r="135" spans="1:47" x14ac:dyDescent="0.25">
      <c r="A135" s="245">
        <f t="shared" si="15"/>
        <v>135</v>
      </c>
      <c r="B135" s="246" t="str">
        <f t="shared" si="8"/>
        <v>Oil Field - Tank</v>
      </c>
      <c r="C135" s="246" t="str">
        <f ca="1">IF(B135="","",VLOOKUP(D135,'Species Data'!B:E,4,FALSE))</f>
        <v>dimetbut22</v>
      </c>
      <c r="D135" s="246">
        <f t="shared" ca="1" si="9"/>
        <v>122</v>
      </c>
      <c r="E135" s="246">
        <f t="shared" ca="1" si="10"/>
        <v>0.3145</v>
      </c>
      <c r="F135" s="246" t="str">
        <f t="shared" ca="1" si="11"/>
        <v>2,2-dimethylbutane</v>
      </c>
      <c r="G135" s="246">
        <f t="shared" ca="1" si="12"/>
        <v>86.175359999999998</v>
      </c>
      <c r="H135" s="204">
        <f ca="1">IF(G135="","",IF(VLOOKUP(Tank!F135,'Species Data'!D:F,3,FALSE)=0,"X",IF(G135&lt;44.1,2,1)))</f>
        <v>1</v>
      </c>
      <c r="I135" s="204">
        <f t="shared" ca="1" si="13"/>
        <v>8.538748638653601E-2</v>
      </c>
      <c r="J135" s="247">
        <f ca="1">IF(I135="","",IF(COUNTIF($D$12:D135,D135)=1,IF(H135=1,I135*H135,IF(H135="X","X",0)),0))</f>
        <v>0</v>
      </c>
      <c r="K135" s="248">
        <f t="shared" ca="1" si="14"/>
        <v>0</v>
      </c>
      <c r="L135" s="212" t="s">
        <v>679</v>
      </c>
      <c r="M135" s="212" t="s">
        <v>448</v>
      </c>
      <c r="N135" s="212" t="s">
        <v>470</v>
      </c>
      <c r="O135" s="213">
        <v>41419</v>
      </c>
      <c r="P135" s="212" t="s">
        <v>531</v>
      </c>
      <c r="Q135" s="214">
        <v>100</v>
      </c>
      <c r="R135" s="212" t="s">
        <v>445</v>
      </c>
      <c r="S135" s="212" t="s">
        <v>532</v>
      </c>
      <c r="T135" s="212" t="s">
        <v>445</v>
      </c>
      <c r="U135" s="212" t="s">
        <v>446</v>
      </c>
      <c r="V135" s="214" t="b">
        <v>1</v>
      </c>
      <c r="W135" s="214">
        <v>1989</v>
      </c>
      <c r="X135" s="214">
        <v>5</v>
      </c>
      <c r="Y135" s="214">
        <v>2</v>
      </c>
      <c r="Z135" s="214">
        <v>4</v>
      </c>
      <c r="AA135" s="212" t="s">
        <v>447</v>
      </c>
      <c r="AB135" s="212" t="s">
        <v>531</v>
      </c>
      <c r="AC135" s="212" t="s">
        <v>533</v>
      </c>
      <c r="AD135" s="214">
        <v>1.635831</v>
      </c>
      <c r="AE135" s="214">
        <v>122</v>
      </c>
      <c r="AF135" s="214">
        <v>0.3145</v>
      </c>
      <c r="AG135" s="214">
        <v>-99</v>
      </c>
      <c r="AH135" s="212" t="s">
        <v>224</v>
      </c>
      <c r="AI135" s="212" t="s">
        <v>449</v>
      </c>
      <c r="AJ135" s="212" t="s">
        <v>301</v>
      </c>
      <c r="AK135" s="212" t="s">
        <v>531</v>
      </c>
      <c r="AL135" s="212" t="s">
        <v>384</v>
      </c>
      <c r="AM135" s="214" t="b">
        <v>1</v>
      </c>
      <c r="AN135" s="214" t="b">
        <v>0</v>
      </c>
      <c r="AO135" s="212" t="s">
        <v>302</v>
      </c>
      <c r="AP135" s="212" t="s">
        <v>303</v>
      </c>
      <c r="AQ135" s="214">
        <v>86.175359999999998</v>
      </c>
      <c r="AR135" s="214" t="b">
        <v>0</v>
      </c>
      <c r="AS135" s="212" t="s">
        <v>534</v>
      </c>
      <c r="AU135" s="222" t="s">
        <v>819</v>
      </c>
    </row>
    <row r="136" spans="1:47" x14ac:dyDescent="0.25">
      <c r="A136" s="245">
        <f t="shared" si="15"/>
        <v>136</v>
      </c>
      <c r="B136" s="246" t="str">
        <f t="shared" si="8"/>
        <v>Oil Field - Tank</v>
      </c>
      <c r="C136" s="246" t="str">
        <f ca="1">IF(B136="","",VLOOKUP(D136,'Species Data'!B:E,4,FALSE))</f>
        <v>dimethpro</v>
      </c>
      <c r="D136" s="246">
        <f t="shared" ca="1" si="9"/>
        <v>127</v>
      </c>
      <c r="E136" s="246">
        <f t="shared" ca="1" si="10"/>
        <v>0.1633</v>
      </c>
      <c r="F136" s="246" t="str">
        <f t="shared" ca="1" si="11"/>
        <v>2,2-dimethylpropane</v>
      </c>
      <c r="G136" s="246">
        <f t="shared" ca="1" si="12"/>
        <v>72.148780000000002</v>
      </c>
      <c r="H136" s="204">
        <f ca="1">IF(G136="","",IF(VLOOKUP(Tank!F136,'Species Data'!D:F,3,FALSE)=0,"X",IF(G136&lt;44.1,2,1)))</f>
        <v>1</v>
      </c>
      <c r="I136" s="204">
        <f t="shared" ca="1" si="13"/>
        <v>9.7614270430329483E-2</v>
      </c>
      <c r="J136" s="247">
        <f ca="1">IF(I136="","",IF(COUNTIF($D$12:D136,D136)=1,IF(H136=1,I136*H136,IF(H136="X","X",0)),0))</f>
        <v>0</v>
      </c>
      <c r="K136" s="248">
        <f t="shared" ca="1" si="14"/>
        <v>0</v>
      </c>
      <c r="L136" s="212" t="s">
        <v>679</v>
      </c>
      <c r="M136" s="212" t="s">
        <v>448</v>
      </c>
      <c r="N136" s="212" t="s">
        <v>470</v>
      </c>
      <c r="O136" s="213">
        <v>41419</v>
      </c>
      <c r="P136" s="212" t="s">
        <v>531</v>
      </c>
      <c r="Q136" s="214">
        <v>100</v>
      </c>
      <c r="R136" s="212" t="s">
        <v>445</v>
      </c>
      <c r="S136" s="212" t="s">
        <v>532</v>
      </c>
      <c r="T136" s="212" t="s">
        <v>445</v>
      </c>
      <c r="U136" s="212" t="s">
        <v>446</v>
      </c>
      <c r="V136" s="214" t="b">
        <v>1</v>
      </c>
      <c r="W136" s="214">
        <v>1989</v>
      </c>
      <c r="X136" s="214">
        <v>5</v>
      </c>
      <c r="Y136" s="214">
        <v>2</v>
      </c>
      <c r="Z136" s="214">
        <v>4</v>
      </c>
      <c r="AA136" s="212" t="s">
        <v>447</v>
      </c>
      <c r="AB136" s="212" t="s">
        <v>531</v>
      </c>
      <c r="AC136" s="212" t="s">
        <v>533</v>
      </c>
      <c r="AD136" s="214">
        <v>1.635831</v>
      </c>
      <c r="AE136" s="214">
        <v>127</v>
      </c>
      <c r="AF136" s="214">
        <v>0.1633</v>
      </c>
      <c r="AG136" s="214">
        <v>-99</v>
      </c>
      <c r="AH136" s="212" t="s">
        <v>224</v>
      </c>
      <c r="AI136" s="212" t="s">
        <v>449</v>
      </c>
      <c r="AJ136" s="212" t="s">
        <v>441</v>
      </c>
      <c r="AK136" s="212" t="s">
        <v>531</v>
      </c>
      <c r="AL136" s="212" t="s">
        <v>462</v>
      </c>
      <c r="AM136" s="214" t="b">
        <v>0</v>
      </c>
      <c r="AN136" s="214" t="b">
        <v>0</v>
      </c>
      <c r="AO136" s="212" t="s">
        <v>442</v>
      </c>
      <c r="AP136" s="212" t="s">
        <v>531</v>
      </c>
      <c r="AQ136" s="214">
        <v>72.148780000000002</v>
      </c>
      <c r="AR136" s="214" t="b">
        <v>0</v>
      </c>
      <c r="AS136" s="212" t="s">
        <v>534</v>
      </c>
      <c r="AU136" s="222" t="s">
        <v>819</v>
      </c>
    </row>
    <row r="137" spans="1:47" x14ac:dyDescent="0.25">
      <c r="A137" s="245">
        <f t="shared" si="15"/>
        <v>137</v>
      </c>
      <c r="B137" s="246" t="str">
        <f t="shared" si="8"/>
        <v>Oil Field - Tank</v>
      </c>
      <c r="C137" s="246" t="str">
        <f ca="1">IF(B137="","",VLOOKUP(D137,'Species Data'!B:E,4,FALSE))</f>
        <v>trimentpen3</v>
      </c>
      <c r="D137" s="246">
        <f t="shared" ca="1" si="9"/>
        <v>130</v>
      </c>
      <c r="E137" s="246">
        <f t="shared" ca="1" si="10"/>
        <v>3.2000000000000001E-2</v>
      </c>
      <c r="F137" s="246" t="str">
        <f t="shared" ca="1" si="11"/>
        <v>2,3,4-trimethylpentane</v>
      </c>
      <c r="G137" s="246">
        <f t="shared" ca="1" si="12"/>
        <v>114.22852</v>
      </c>
      <c r="H137" s="204">
        <f ca="1">IF(G137="","",IF(VLOOKUP(Tank!F137,'Species Data'!D:F,3,FALSE)=0,"X",IF(G137&lt;44.1,2,1)))</f>
        <v>1</v>
      </c>
      <c r="I137" s="204">
        <f t="shared" ca="1" si="13"/>
        <v>0.22004211240427912</v>
      </c>
      <c r="J137" s="247">
        <f ca="1">IF(I137="","",IF(COUNTIF($D$12:D137,D137)=1,IF(H137=1,I137*H137,IF(H137="X","X",0)),0))</f>
        <v>0</v>
      </c>
      <c r="K137" s="248">
        <f t="shared" ca="1" si="14"/>
        <v>0</v>
      </c>
      <c r="L137" s="212" t="s">
        <v>679</v>
      </c>
      <c r="M137" s="212" t="s">
        <v>448</v>
      </c>
      <c r="N137" s="212" t="s">
        <v>470</v>
      </c>
      <c r="O137" s="213">
        <v>41419</v>
      </c>
      <c r="P137" s="212" t="s">
        <v>531</v>
      </c>
      <c r="Q137" s="214">
        <v>100</v>
      </c>
      <c r="R137" s="212" t="s">
        <v>445</v>
      </c>
      <c r="S137" s="212" t="s">
        <v>532</v>
      </c>
      <c r="T137" s="212" t="s">
        <v>445</v>
      </c>
      <c r="U137" s="212" t="s">
        <v>446</v>
      </c>
      <c r="V137" s="214" t="b">
        <v>1</v>
      </c>
      <c r="W137" s="214">
        <v>1989</v>
      </c>
      <c r="X137" s="214">
        <v>5</v>
      </c>
      <c r="Y137" s="214">
        <v>2</v>
      </c>
      <c r="Z137" s="214">
        <v>4</v>
      </c>
      <c r="AA137" s="212" t="s">
        <v>447</v>
      </c>
      <c r="AB137" s="212" t="s">
        <v>531</v>
      </c>
      <c r="AC137" s="212" t="s">
        <v>533</v>
      </c>
      <c r="AD137" s="214">
        <v>1.635831</v>
      </c>
      <c r="AE137" s="214">
        <v>130</v>
      </c>
      <c r="AF137" s="214">
        <v>3.2000000000000001E-2</v>
      </c>
      <c r="AG137" s="214">
        <v>-99</v>
      </c>
      <c r="AH137" s="212" t="s">
        <v>224</v>
      </c>
      <c r="AI137" s="212" t="s">
        <v>449</v>
      </c>
      <c r="AJ137" s="212" t="s">
        <v>404</v>
      </c>
      <c r="AK137" s="212" t="s">
        <v>531</v>
      </c>
      <c r="AL137" s="212" t="s">
        <v>405</v>
      </c>
      <c r="AM137" s="214" t="b">
        <v>1</v>
      </c>
      <c r="AN137" s="214" t="b">
        <v>0</v>
      </c>
      <c r="AO137" s="212" t="s">
        <v>406</v>
      </c>
      <c r="AP137" s="212" t="s">
        <v>407</v>
      </c>
      <c r="AQ137" s="214">
        <v>114.22852</v>
      </c>
      <c r="AR137" s="214" t="b">
        <v>0</v>
      </c>
      <c r="AS137" s="212" t="s">
        <v>534</v>
      </c>
      <c r="AU137" s="222" t="s">
        <v>819</v>
      </c>
    </row>
    <row r="138" spans="1:47" x14ac:dyDescent="0.25">
      <c r="A138" s="245">
        <f t="shared" si="15"/>
        <v>138</v>
      </c>
      <c r="B138" s="246" t="str">
        <f t="shared" si="8"/>
        <v>Oil Field - Tank</v>
      </c>
      <c r="C138" s="246" t="str">
        <f ca="1">IF(B138="","",VLOOKUP(D138,'Species Data'!B:E,4,FALSE))</f>
        <v>dimethhex23</v>
      </c>
      <c r="D138" s="246">
        <f t="shared" ca="1" si="9"/>
        <v>138</v>
      </c>
      <c r="E138" s="246">
        <f t="shared" ca="1" si="10"/>
        <v>5.4800000000000001E-2</v>
      </c>
      <c r="F138" s="246" t="str">
        <f t="shared" ca="1" si="11"/>
        <v>2,3-dimethylhexane</v>
      </c>
      <c r="G138" s="246">
        <f t="shared" ca="1" si="12"/>
        <v>114.22852</v>
      </c>
      <c r="H138" s="204">
        <f ca="1">IF(G138="","",IF(VLOOKUP(Tank!F138,'Species Data'!D:F,3,FALSE)=0,"X",IF(G138&lt;44.1,2,1)))</f>
        <v>1</v>
      </c>
      <c r="I138" s="204">
        <f t="shared" ca="1" si="13"/>
        <v>2.958028397072613E-2</v>
      </c>
      <c r="J138" s="247">
        <f ca="1">IF(I138="","",IF(COUNTIF($D$12:D138,D138)=1,IF(H138=1,I138*H138,IF(H138="X","X",0)),0))</f>
        <v>0</v>
      </c>
      <c r="K138" s="248">
        <f t="shared" ca="1" si="14"/>
        <v>0</v>
      </c>
      <c r="L138" s="212" t="s">
        <v>679</v>
      </c>
      <c r="M138" s="212" t="s">
        <v>448</v>
      </c>
      <c r="N138" s="212" t="s">
        <v>470</v>
      </c>
      <c r="O138" s="213">
        <v>41419</v>
      </c>
      <c r="P138" s="212" t="s">
        <v>531</v>
      </c>
      <c r="Q138" s="214">
        <v>100</v>
      </c>
      <c r="R138" s="212" t="s">
        <v>445</v>
      </c>
      <c r="S138" s="212" t="s">
        <v>532</v>
      </c>
      <c r="T138" s="212" t="s">
        <v>445</v>
      </c>
      <c r="U138" s="212" t="s">
        <v>446</v>
      </c>
      <c r="V138" s="214" t="b">
        <v>1</v>
      </c>
      <c r="W138" s="214">
        <v>1989</v>
      </c>
      <c r="X138" s="214">
        <v>5</v>
      </c>
      <c r="Y138" s="214">
        <v>2</v>
      </c>
      <c r="Z138" s="214">
        <v>4</v>
      </c>
      <c r="AA138" s="212" t="s">
        <v>447</v>
      </c>
      <c r="AB138" s="212" t="s">
        <v>531</v>
      </c>
      <c r="AC138" s="212" t="s">
        <v>533</v>
      </c>
      <c r="AD138" s="214">
        <v>1.635831</v>
      </c>
      <c r="AE138" s="214">
        <v>138</v>
      </c>
      <c r="AF138" s="214">
        <v>5.4800000000000001E-2</v>
      </c>
      <c r="AG138" s="214">
        <v>-99</v>
      </c>
      <c r="AH138" s="212" t="s">
        <v>224</v>
      </c>
      <c r="AI138" s="212" t="s">
        <v>449</v>
      </c>
      <c r="AJ138" s="212" t="s">
        <v>443</v>
      </c>
      <c r="AK138" s="212" t="s">
        <v>531</v>
      </c>
      <c r="AL138" s="212" t="s">
        <v>463</v>
      </c>
      <c r="AM138" s="214" t="b">
        <v>0</v>
      </c>
      <c r="AN138" s="214" t="b">
        <v>0</v>
      </c>
      <c r="AO138" s="212" t="s">
        <v>444</v>
      </c>
      <c r="AP138" s="212" t="s">
        <v>531</v>
      </c>
      <c r="AQ138" s="214">
        <v>114.22852</v>
      </c>
      <c r="AR138" s="214" t="b">
        <v>0</v>
      </c>
      <c r="AS138" s="212" t="s">
        <v>534</v>
      </c>
      <c r="AU138" s="222" t="s">
        <v>819</v>
      </c>
    </row>
    <row r="139" spans="1:47" ht="15" customHeight="1" x14ac:dyDescent="0.25">
      <c r="A139" s="245">
        <f t="shared" si="15"/>
        <v>139</v>
      </c>
      <c r="B139" s="246" t="str">
        <f t="shared" si="8"/>
        <v>Oil Field - Tank</v>
      </c>
      <c r="C139" s="246" t="str">
        <f ca="1">IF(B139="","",VLOOKUP(D139,'Species Data'!B:E,4,FALSE))</f>
        <v>dimetpen3</v>
      </c>
      <c r="D139" s="246">
        <f t="shared" ca="1" si="9"/>
        <v>140</v>
      </c>
      <c r="E139" s="246">
        <f t="shared" ca="1" si="10"/>
        <v>0.4335</v>
      </c>
      <c r="F139" s="246" t="str">
        <f t="shared" ca="1" si="11"/>
        <v>2,3-dimethylpentane</v>
      </c>
      <c r="G139" s="246">
        <f t="shared" ca="1" si="12"/>
        <v>100.20194000000001</v>
      </c>
      <c r="H139" s="204">
        <f ca="1">IF(G139="","",IF(VLOOKUP(Tank!F139,'Species Data'!D:F,3,FALSE)=0,"X",IF(G139&lt;44.1,2,1)))</f>
        <v>1</v>
      </c>
      <c r="I139" s="204">
        <f t="shared" ca="1" si="13"/>
        <v>0.24488235087056845</v>
      </c>
      <c r="J139" s="247">
        <f ca="1">IF(I139="","",IF(COUNTIF($D$12:D139,D139)=1,IF(H139=1,I139*H139,IF(H139="X","X",0)),0))</f>
        <v>0</v>
      </c>
      <c r="K139" s="248">
        <f t="shared" ca="1" si="14"/>
        <v>0</v>
      </c>
      <c r="L139" s="212" t="s">
        <v>679</v>
      </c>
      <c r="M139" s="212" t="s">
        <v>448</v>
      </c>
      <c r="N139" s="212" t="s">
        <v>470</v>
      </c>
      <c r="O139" s="213">
        <v>41419</v>
      </c>
      <c r="P139" s="212" t="s">
        <v>531</v>
      </c>
      <c r="Q139" s="214">
        <v>100</v>
      </c>
      <c r="R139" s="212" t="s">
        <v>445</v>
      </c>
      <c r="S139" s="212" t="s">
        <v>532</v>
      </c>
      <c r="T139" s="212" t="s">
        <v>445</v>
      </c>
      <c r="U139" s="212" t="s">
        <v>446</v>
      </c>
      <c r="V139" s="214" t="b">
        <v>1</v>
      </c>
      <c r="W139" s="214">
        <v>1989</v>
      </c>
      <c r="X139" s="214">
        <v>5</v>
      </c>
      <c r="Y139" s="214">
        <v>2</v>
      </c>
      <c r="Z139" s="214">
        <v>4</v>
      </c>
      <c r="AA139" s="212" t="s">
        <v>447</v>
      </c>
      <c r="AB139" s="212" t="s">
        <v>531</v>
      </c>
      <c r="AC139" s="212" t="s">
        <v>533</v>
      </c>
      <c r="AD139" s="214">
        <v>1.635831</v>
      </c>
      <c r="AE139" s="214">
        <v>140</v>
      </c>
      <c r="AF139" s="214">
        <v>0.4335</v>
      </c>
      <c r="AG139" s="214">
        <v>-99</v>
      </c>
      <c r="AH139" s="212" t="s">
        <v>224</v>
      </c>
      <c r="AI139" s="212" t="s">
        <v>449</v>
      </c>
      <c r="AJ139" s="212" t="s">
        <v>307</v>
      </c>
      <c r="AK139" s="212" t="s">
        <v>531</v>
      </c>
      <c r="AL139" s="212" t="s">
        <v>385</v>
      </c>
      <c r="AM139" s="214" t="b">
        <v>1</v>
      </c>
      <c r="AN139" s="214" t="b">
        <v>0</v>
      </c>
      <c r="AO139" s="212" t="s">
        <v>308</v>
      </c>
      <c r="AP139" s="212" t="s">
        <v>309</v>
      </c>
      <c r="AQ139" s="214">
        <v>100.20194000000001</v>
      </c>
      <c r="AR139" s="214" t="b">
        <v>0</v>
      </c>
      <c r="AS139" s="212" t="s">
        <v>534</v>
      </c>
      <c r="AU139" s="222" t="s">
        <v>819</v>
      </c>
    </row>
    <row r="140" spans="1:47" x14ac:dyDescent="0.25">
      <c r="A140" s="245">
        <f t="shared" si="15"/>
        <v>140</v>
      </c>
      <c r="B140" s="246" t="str">
        <f t="shared" ref="B140:B203" si="16">IF(ROW(A140)-(ROW($A$12))&lt;$B$10,$B$9,"")</f>
        <v>Oil Field - Tank</v>
      </c>
      <c r="C140" s="246" t="str">
        <f ca="1">IF(B140="","",VLOOKUP(D140,'Species Data'!B:E,4,FALSE))</f>
        <v>dimethhex24</v>
      </c>
      <c r="D140" s="246">
        <f t="shared" ca="1" si="9"/>
        <v>149</v>
      </c>
      <c r="E140" s="246">
        <f t="shared" ca="1" si="10"/>
        <v>8.5099999999999995E-2</v>
      </c>
      <c r="F140" s="246" t="str">
        <f t="shared" ca="1" si="11"/>
        <v>2,4-dimethylhexane</v>
      </c>
      <c r="G140" s="246">
        <f t="shared" ca="1" si="12"/>
        <v>114.22852</v>
      </c>
      <c r="H140" s="204">
        <f ca="1">IF(G140="","",IF(VLOOKUP(Tank!F140,'Species Data'!D:F,3,FALSE)=0,"X",IF(G140&lt;44.1,2,1)))</f>
        <v>1</v>
      </c>
      <c r="I140" s="204">
        <f t="shared" ca="1" si="13"/>
        <v>6.6793974555489091E-2</v>
      </c>
      <c r="J140" s="247">
        <f ca="1">IF(I140="","",IF(COUNTIF($D$12:D140,D140)=1,IF(H140=1,I140*H140,IF(H140="X","X",0)),0))</f>
        <v>0</v>
      </c>
      <c r="K140" s="248">
        <f t="shared" ca="1" si="14"/>
        <v>0</v>
      </c>
      <c r="L140" s="212" t="s">
        <v>679</v>
      </c>
      <c r="M140" s="212" t="s">
        <v>448</v>
      </c>
      <c r="N140" s="212" t="s">
        <v>470</v>
      </c>
      <c r="O140" s="213">
        <v>41419</v>
      </c>
      <c r="P140" s="212" t="s">
        <v>531</v>
      </c>
      <c r="Q140" s="214">
        <v>100</v>
      </c>
      <c r="R140" s="212" t="s">
        <v>445</v>
      </c>
      <c r="S140" s="212" t="s">
        <v>532</v>
      </c>
      <c r="T140" s="212" t="s">
        <v>445</v>
      </c>
      <c r="U140" s="212" t="s">
        <v>446</v>
      </c>
      <c r="V140" s="214" t="b">
        <v>1</v>
      </c>
      <c r="W140" s="214">
        <v>1989</v>
      </c>
      <c r="X140" s="214">
        <v>5</v>
      </c>
      <c r="Y140" s="214">
        <v>2</v>
      </c>
      <c r="Z140" s="214">
        <v>4</v>
      </c>
      <c r="AA140" s="212" t="s">
        <v>447</v>
      </c>
      <c r="AB140" s="212" t="s">
        <v>531</v>
      </c>
      <c r="AC140" s="212" t="s">
        <v>533</v>
      </c>
      <c r="AD140" s="214">
        <v>1.635831</v>
      </c>
      <c r="AE140" s="214">
        <v>149</v>
      </c>
      <c r="AF140" s="214">
        <v>8.5099999999999995E-2</v>
      </c>
      <c r="AG140" s="214">
        <v>-99</v>
      </c>
      <c r="AH140" s="212" t="s">
        <v>224</v>
      </c>
      <c r="AI140" s="212" t="s">
        <v>449</v>
      </c>
      <c r="AJ140" s="212" t="s">
        <v>427</v>
      </c>
      <c r="AK140" s="212" t="s">
        <v>531</v>
      </c>
      <c r="AL140" s="212" t="s">
        <v>457</v>
      </c>
      <c r="AM140" s="214" t="b">
        <v>0</v>
      </c>
      <c r="AN140" s="214" t="b">
        <v>0</v>
      </c>
      <c r="AO140" s="212" t="s">
        <v>428</v>
      </c>
      <c r="AP140" s="212" t="s">
        <v>429</v>
      </c>
      <c r="AQ140" s="214">
        <v>114.22852</v>
      </c>
      <c r="AR140" s="214" t="b">
        <v>0</v>
      </c>
      <c r="AS140" s="212" t="s">
        <v>534</v>
      </c>
      <c r="AU140" s="222" t="s">
        <v>819</v>
      </c>
    </row>
    <row r="141" spans="1:47" x14ac:dyDescent="0.25">
      <c r="A141" s="245">
        <f t="shared" si="15"/>
        <v>141</v>
      </c>
      <c r="B141" s="246" t="str">
        <f t="shared" si="16"/>
        <v>Oil Field - Tank</v>
      </c>
      <c r="C141" s="246" t="str">
        <f ca="1">IF(B141="","",VLOOKUP(D141,'Species Data'!B:E,4,FALSE))</f>
        <v>dimetpen4</v>
      </c>
      <c r="D141" s="246">
        <f t="shared" ref="D141:D204" ca="1" si="17">IF(B141="","",INDIRECT("AE"&amp;$A141))</f>
        <v>152</v>
      </c>
      <c r="E141" s="246">
        <f t="shared" ref="E141:E204" ca="1" si="18">IF(D141="","",INDIRECT("AF"&amp;$A141))</f>
        <v>0.19339999999999999</v>
      </c>
      <c r="F141" s="246" t="str">
        <f t="shared" ref="F141:F204" ca="1" si="19">IF(E141="","",INDIRECT("AO"&amp;$A141))</f>
        <v>2,4-dimethylpentane</v>
      </c>
      <c r="G141" s="246">
        <f t="shared" ref="G141:G204" ca="1" si="20">IF(F141="","",INDIRECT("AQ"&amp;$A141))</f>
        <v>100.20194000000001</v>
      </c>
      <c r="H141" s="204">
        <f ca="1">IF(G141="","",IF(VLOOKUP(Tank!F141,'Species Data'!D:F,3,FALSE)=0,"X",IF(G141&lt;44.1,2,1)))</f>
        <v>1</v>
      </c>
      <c r="I141" s="204">
        <f t="shared" ref="I141:I204" ca="1" si="21">IF(H141="","",SUMIF(D:D,D141,E:E)/($E$9/100))</f>
        <v>7.947409628465768E-2</v>
      </c>
      <c r="J141" s="247">
        <f ca="1">IF(I141="","",IF(COUNTIF($D$12:D141,D141)=1,IF(H141=1,I141*H141,IF(H141="X","X",0)),0))</f>
        <v>0</v>
      </c>
      <c r="K141" s="248">
        <f t="shared" ref="K141:K204" ca="1" si="22">IF(J141="","",IF(J141="X",0,J141/$J$9*100))</f>
        <v>0</v>
      </c>
      <c r="L141" s="212" t="s">
        <v>679</v>
      </c>
      <c r="M141" s="212" t="s">
        <v>448</v>
      </c>
      <c r="N141" s="212" t="s">
        <v>470</v>
      </c>
      <c r="O141" s="213">
        <v>41419</v>
      </c>
      <c r="P141" s="212" t="s">
        <v>531</v>
      </c>
      <c r="Q141" s="214">
        <v>100</v>
      </c>
      <c r="R141" s="212" t="s">
        <v>445</v>
      </c>
      <c r="S141" s="212" t="s">
        <v>532</v>
      </c>
      <c r="T141" s="212" t="s">
        <v>445</v>
      </c>
      <c r="U141" s="212" t="s">
        <v>446</v>
      </c>
      <c r="V141" s="214" t="b">
        <v>1</v>
      </c>
      <c r="W141" s="214">
        <v>1989</v>
      </c>
      <c r="X141" s="214">
        <v>5</v>
      </c>
      <c r="Y141" s="214">
        <v>2</v>
      </c>
      <c r="Z141" s="214">
        <v>4</v>
      </c>
      <c r="AA141" s="212" t="s">
        <v>447</v>
      </c>
      <c r="AB141" s="212" t="s">
        <v>531</v>
      </c>
      <c r="AC141" s="212" t="s">
        <v>533</v>
      </c>
      <c r="AD141" s="214">
        <v>1.635831</v>
      </c>
      <c r="AE141" s="214">
        <v>152</v>
      </c>
      <c r="AF141" s="214">
        <v>0.19339999999999999</v>
      </c>
      <c r="AG141" s="214">
        <v>-99</v>
      </c>
      <c r="AH141" s="212" t="s">
        <v>224</v>
      </c>
      <c r="AI141" s="212" t="s">
        <v>449</v>
      </c>
      <c r="AJ141" s="212" t="s">
        <v>310</v>
      </c>
      <c r="AK141" s="212" t="s">
        <v>531</v>
      </c>
      <c r="AL141" s="212" t="s">
        <v>386</v>
      </c>
      <c r="AM141" s="214" t="b">
        <v>1</v>
      </c>
      <c r="AN141" s="214" t="b">
        <v>0</v>
      </c>
      <c r="AO141" s="212" t="s">
        <v>311</v>
      </c>
      <c r="AP141" s="212" t="s">
        <v>312</v>
      </c>
      <c r="AQ141" s="214">
        <v>100.20194000000001</v>
      </c>
      <c r="AR141" s="214" t="b">
        <v>0</v>
      </c>
      <c r="AS141" s="212" t="s">
        <v>534</v>
      </c>
      <c r="AU141" s="222" t="s">
        <v>819</v>
      </c>
    </row>
    <row r="142" spans="1:47" x14ac:dyDescent="0.25">
      <c r="A142" s="245">
        <f t="shared" ref="A142:A205" si="23">IF(B142="","",A141+1)</f>
        <v>142</v>
      </c>
      <c r="B142" s="246" t="str">
        <f t="shared" si="16"/>
        <v>Oil Field - Tank</v>
      </c>
      <c r="C142" s="246" t="str">
        <f ca="1">IF(B142="","",VLOOKUP(D142,'Species Data'!B:E,4,FALSE))</f>
        <v>twomethex</v>
      </c>
      <c r="D142" s="246">
        <f t="shared" ca="1" si="17"/>
        <v>194</v>
      </c>
      <c r="E142" s="246">
        <f t="shared" ca="1" si="18"/>
        <v>0.16309999999999999</v>
      </c>
      <c r="F142" s="246" t="str">
        <f t="shared" ca="1" si="19"/>
        <v>2-methylhexane</v>
      </c>
      <c r="G142" s="246">
        <f t="shared" ca="1" si="20"/>
        <v>100.20194000000001</v>
      </c>
      <c r="H142" s="204">
        <f ca="1">IF(G142="","",IF(VLOOKUP(Tank!F142,'Species Data'!D:F,3,FALSE)=0,"X",IF(G142&lt;44.1,2,1)))</f>
        <v>1</v>
      </c>
      <c r="I142" s="204">
        <f t="shared" ca="1" si="21"/>
        <v>0.30248957056654424</v>
      </c>
      <c r="J142" s="247">
        <f ca="1">IF(I142="","",IF(COUNTIF($D$12:D142,D142)=1,IF(H142=1,I142*H142,IF(H142="X","X",0)),0))</f>
        <v>0</v>
      </c>
      <c r="K142" s="248">
        <f t="shared" ca="1" si="22"/>
        <v>0</v>
      </c>
      <c r="L142" s="212" t="s">
        <v>679</v>
      </c>
      <c r="M142" s="212" t="s">
        <v>448</v>
      </c>
      <c r="N142" s="212" t="s">
        <v>470</v>
      </c>
      <c r="O142" s="213">
        <v>41419</v>
      </c>
      <c r="P142" s="212" t="s">
        <v>531</v>
      </c>
      <c r="Q142" s="214">
        <v>100</v>
      </c>
      <c r="R142" s="212" t="s">
        <v>445</v>
      </c>
      <c r="S142" s="212" t="s">
        <v>532</v>
      </c>
      <c r="T142" s="212" t="s">
        <v>445</v>
      </c>
      <c r="U142" s="212" t="s">
        <v>446</v>
      </c>
      <c r="V142" s="214" t="b">
        <v>1</v>
      </c>
      <c r="W142" s="214">
        <v>1989</v>
      </c>
      <c r="X142" s="214">
        <v>5</v>
      </c>
      <c r="Y142" s="214">
        <v>2</v>
      </c>
      <c r="Z142" s="214">
        <v>4</v>
      </c>
      <c r="AA142" s="212" t="s">
        <v>447</v>
      </c>
      <c r="AB142" s="212" t="s">
        <v>531</v>
      </c>
      <c r="AC142" s="212" t="s">
        <v>533</v>
      </c>
      <c r="AD142" s="214">
        <v>1.635831</v>
      </c>
      <c r="AE142" s="214">
        <v>194</v>
      </c>
      <c r="AF142" s="214">
        <v>0.16309999999999999</v>
      </c>
      <c r="AG142" s="214">
        <v>-99</v>
      </c>
      <c r="AH142" s="212" t="s">
        <v>224</v>
      </c>
      <c r="AI142" s="212" t="s">
        <v>449</v>
      </c>
      <c r="AJ142" s="212" t="s">
        <v>316</v>
      </c>
      <c r="AK142" s="212" t="s">
        <v>531</v>
      </c>
      <c r="AL142" s="212" t="s">
        <v>388</v>
      </c>
      <c r="AM142" s="214" t="b">
        <v>1</v>
      </c>
      <c r="AN142" s="214" t="b">
        <v>0</v>
      </c>
      <c r="AO142" s="212" t="s">
        <v>317</v>
      </c>
      <c r="AP142" s="212" t="s">
        <v>318</v>
      </c>
      <c r="AQ142" s="214">
        <v>100.20194000000001</v>
      </c>
      <c r="AR142" s="214" t="b">
        <v>0</v>
      </c>
      <c r="AS142" s="212" t="s">
        <v>534</v>
      </c>
      <c r="AU142" s="222" t="s">
        <v>819</v>
      </c>
    </row>
    <row r="143" spans="1:47" ht="15" customHeight="1" x14ac:dyDescent="0.25">
      <c r="A143" s="245">
        <f t="shared" si="23"/>
        <v>143</v>
      </c>
      <c r="B143" s="246" t="str">
        <f t="shared" si="16"/>
        <v>Oil Field - Tank</v>
      </c>
      <c r="C143" s="246" t="str">
        <f ca="1">IF(B143="","",VLOOKUP(D143,'Species Data'!B:E,4,FALSE))</f>
        <v>twometpen</v>
      </c>
      <c r="D143" s="246">
        <f t="shared" ca="1" si="17"/>
        <v>199</v>
      </c>
      <c r="E143" s="246">
        <f t="shared" ca="1" si="18"/>
        <v>0.54649999999999999</v>
      </c>
      <c r="F143" s="246" t="str">
        <f t="shared" ca="1" si="19"/>
        <v>2-methylpentane (isohexane)</v>
      </c>
      <c r="G143" s="246">
        <f t="shared" ca="1" si="20"/>
        <v>86.175359999999998</v>
      </c>
      <c r="H143" s="204">
        <f ca="1">IF(G143="","",IF(VLOOKUP(Tank!F143,'Species Data'!D:F,3,FALSE)=0,"X",IF(G143&lt;44.1,2,1)))</f>
        <v>1</v>
      </c>
      <c r="I143" s="204">
        <f t="shared" ca="1" si="21"/>
        <v>0.93120227287515311</v>
      </c>
      <c r="J143" s="247">
        <f ca="1">IF(I143="","",IF(COUNTIF($D$12:D143,D143)=1,IF(H143=1,I143*H143,IF(H143="X","X",0)),0))</f>
        <v>0</v>
      </c>
      <c r="K143" s="248">
        <f t="shared" ca="1" si="22"/>
        <v>0</v>
      </c>
      <c r="L143" s="212" t="s">
        <v>679</v>
      </c>
      <c r="M143" s="212" t="s">
        <v>448</v>
      </c>
      <c r="N143" s="212" t="s">
        <v>470</v>
      </c>
      <c r="O143" s="213">
        <v>41419</v>
      </c>
      <c r="P143" s="212" t="s">
        <v>531</v>
      </c>
      <c r="Q143" s="214">
        <v>100</v>
      </c>
      <c r="R143" s="212" t="s">
        <v>445</v>
      </c>
      <c r="S143" s="212" t="s">
        <v>532</v>
      </c>
      <c r="T143" s="212" t="s">
        <v>445</v>
      </c>
      <c r="U143" s="212" t="s">
        <v>446</v>
      </c>
      <c r="V143" s="214" t="b">
        <v>1</v>
      </c>
      <c r="W143" s="214">
        <v>1989</v>
      </c>
      <c r="X143" s="214">
        <v>5</v>
      </c>
      <c r="Y143" s="214">
        <v>2</v>
      </c>
      <c r="Z143" s="214">
        <v>4</v>
      </c>
      <c r="AA143" s="212" t="s">
        <v>447</v>
      </c>
      <c r="AB143" s="212" t="s">
        <v>531</v>
      </c>
      <c r="AC143" s="212" t="s">
        <v>533</v>
      </c>
      <c r="AD143" s="214">
        <v>1.635831</v>
      </c>
      <c r="AE143" s="214">
        <v>199</v>
      </c>
      <c r="AF143" s="214">
        <v>0.54649999999999999</v>
      </c>
      <c r="AG143" s="214">
        <v>-99</v>
      </c>
      <c r="AH143" s="212" t="s">
        <v>224</v>
      </c>
      <c r="AI143" s="212" t="s">
        <v>449</v>
      </c>
      <c r="AJ143" s="212" t="s">
        <v>319</v>
      </c>
      <c r="AK143" s="212" t="s">
        <v>531</v>
      </c>
      <c r="AL143" s="212" t="s">
        <v>389</v>
      </c>
      <c r="AM143" s="214" t="b">
        <v>1</v>
      </c>
      <c r="AN143" s="214" t="b">
        <v>0</v>
      </c>
      <c r="AO143" s="212" t="s">
        <v>320</v>
      </c>
      <c r="AP143" s="212" t="s">
        <v>321</v>
      </c>
      <c r="AQ143" s="214">
        <v>86.175359999999998</v>
      </c>
      <c r="AR143" s="214" t="b">
        <v>0</v>
      </c>
      <c r="AS143" s="212" t="s">
        <v>534</v>
      </c>
      <c r="AU143" s="222" t="s">
        <v>819</v>
      </c>
    </row>
    <row r="144" spans="1:47" ht="15" customHeight="1" x14ac:dyDescent="0.25">
      <c r="A144" s="245">
        <f t="shared" si="23"/>
        <v>144</v>
      </c>
      <c r="B144" s="246" t="str">
        <f t="shared" si="16"/>
        <v>Oil Field - Tank</v>
      </c>
      <c r="C144" s="246" t="str">
        <f ca="1">IF(B144="","",VLOOKUP(D144,'Species Data'!B:E,4,FALSE))</f>
        <v>ethylhexane</v>
      </c>
      <c r="D144" s="246">
        <f t="shared" ca="1" si="17"/>
        <v>226</v>
      </c>
      <c r="E144" s="246">
        <f t="shared" ca="1" si="18"/>
        <v>3.7199999999999997E-2</v>
      </c>
      <c r="F144" s="246" t="str">
        <f t="shared" ca="1" si="19"/>
        <v>3-ethylhexane</v>
      </c>
      <c r="G144" s="246">
        <f t="shared" ca="1" si="20"/>
        <v>114.22852</v>
      </c>
      <c r="H144" s="204" t="str">
        <f ca="1">IF(G144="","",IF(VLOOKUP(Tank!F144,'Species Data'!D:F,3,FALSE)=0,"X",IF(G144&lt;44.1,2,1)))</f>
        <v>X</v>
      </c>
      <c r="I144" s="204">
        <f t="shared" ca="1" si="21"/>
        <v>9.0107531698970997E-2</v>
      </c>
      <c r="J144" s="247">
        <f ca="1">IF(I144="","",IF(COUNTIF($D$12:D144,D144)=1,IF(H144=1,I144*H144,IF(H144="X","X",0)),0))</f>
        <v>0</v>
      </c>
      <c r="K144" s="248">
        <f t="shared" ca="1" si="22"/>
        <v>0</v>
      </c>
      <c r="L144" s="212" t="s">
        <v>679</v>
      </c>
      <c r="M144" s="212" t="s">
        <v>448</v>
      </c>
      <c r="N144" s="212" t="s">
        <v>470</v>
      </c>
      <c r="O144" s="213">
        <v>41419</v>
      </c>
      <c r="P144" s="212" t="s">
        <v>531</v>
      </c>
      <c r="Q144" s="214">
        <v>100</v>
      </c>
      <c r="R144" s="212" t="s">
        <v>445</v>
      </c>
      <c r="S144" s="212" t="s">
        <v>532</v>
      </c>
      <c r="T144" s="212" t="s">
        <v>445</v>
      </c>
      <c r="U144" s="212" t="s">
        <v>446</v>
      </c>
      <c r="V144" s="214" t="b">
        <v>1</v>
      </c>
      <c r="W144" s="214">
        <v>1989</v>
      </c>
      <c r="X144" s="214">
        <v>5</v>
      </c>
      <c r="Y144" s="214">
        <v>2</v>
      </c>
      <c r="Z144" s="214">
        <v>4</v>
      </c>
      <c r="AA144" s="212" t="s">
        <v>447</v>
      </c>
      <c r="AB144" s="212" t="s">
        <v>531</v>
      </c>
      <c r="AC144" s="212" t="s">
        <v>533</v>
      </c>
      <c r="AD144" s="214">
        <v>1.635831</v>
      </c>
      <c r="AE144" s="214">
        <v>226</v>
      </c>
      <c r="AF144" s="214">
        <v>3.7199999999999997E-2</v>
      </c>
      <c r="AG144" s="214">
        <v>-99</v>
      </c>
      <c r="AH144" s="212" t="s">
        <v>224</v>
      </c>
      <c r="AI144" s="212" t="s">
        <v>449</v>
      </c>
      <c r="AJ144" s="212" t="s">
        <v>439</v>
      </c>
      <c r="AK144" s="212" t="s">
        <v>531</v>
      </c>
      <c r="AL144" s="212" t="s">
        <v>461</v>
      </c>
      <c r="AM144" s="214" t="b">
        <v>0</v>
      </c>
      <c r="AN144" s="214" t="b">
        <v>0</v>
      </c>
      <c r="AO144" s="212" t="s">
        <v>440</v>
      </c>
      <c r="AP144" s="212" t="s">
        <v>531</v>
      </c>
      <c r="AQ144" s="214">
        <v>114.22852</v>
      </c>
      <c r="AR144" s="214" t="b">
        <v>0</v>
      </c>
      <c r="AS144" s="212" t="s">
        <v>534</v>
      </c>
      <c r="AU144" s="222" t="s">
        <v>819</v>
      </c>
    </row>
    <row r="145" spans="1:47" ht="15" customHeight="1" x14ac:dyDescent="0.25">
      <c r="A145" s="245">
        <f t="shared" si="23"/>
        <v>145</v>
      </c>
      <c r="B145" s="246" t="str">
        <f t="shared" si="16"/>
        <v>Oil Field - Tank</v>
      </c>
      <c r="C145" s="246" t="str">
        <f ca="1">IF(B145="","",VLOOKUP(D145,'Species Data'!B:E,4,FALSE))</f>
        <v>threemethex</v>
      </c>
      <c r="D145" s="246">
        <f t="shared" ca="1" si="17"/>
        <v>245</v>
      </c>
      <c r="E145" s="246">
        <f t="shared" ca="1" si="18"/>
        <v>0.31969999999999998</v>
      </c>
      <c r="F145" s="246" t="str">
        <f t="shared" ca="1" si="19"/>
        <v>3-methylhexane</v>
      </c>
      <c r="G145" s="246">
        <f t="shared" ca="1" si="20"/>
        <v>100.20194000000001</v>
      </c>
      <c r="H145" s="204">
        <f ca="1">IF(G145="","",IF(VLOOKUP(Tank!F145,'Species Data'!D:F,3,FALSE)=0,"X",IF(G145&lt;44.1,2,1)))</f>
        <v>1</v>
      </c>
      <c r="I145" s="204">
        <f t="shared" ca="1" si="21"/>
        <v>0.33724323753508045</v>
      </c>
      <c r="J145" s="247">
        <f ca="1">IF(I145="","",IF(COUNTIF($D$12:D145,D145)=1,IF(H145=1,I145*H145,IF(H145="X","X",0)),0))</f>
        <v>0</v>
      </c>
      <c r="K145" s="248">
        <f t="shared" ca="1" si="22"/>
        <v>0</v>
      </c>
      <c r="L145" s="212" t="s">
        <v>679</v>
      </c>
      <c r="M145" s="212" t="s">
        <v>448</v>
      </c>
      <c r="N145" s="212" t="s">
        <v>470</v>
      </c>
      <c r="O145" s="213">
        <v>41419</v>
      </c>
      <c r="P145" s="212" t="s">
        <v>531</v>
      </c>
      <c r="Q145" s="214">
        <v>100</v>
      </c>
      <c r="R145" s="212" t="s">
        <v>445</v>
      </c>
      <c r="S145" s="212" t="s">
        <v>532</v>
      </c>
      <c r="T145" s="212" t="s">
        <v>445</v>
      </c>
      <c r="U145" s="212" t="s">
        <v>446</v>
      </c>
      <c r="V145" s="214" t="b">
        <v>1</v>
      </c>
      <c r="W145" s="214">
        <v>1989</v>
      </c>
      <c r="X145" s="214">
        <v>5</v>
      </c>
      <c r="Y145" s="214">
        <v>2</v>
      </c>
      <c r="Z145" s="214">
        <v>4</v>
      </c>
      <c r="AA145" s="212" t="s">
        <v>447</v>
      </c>
      <c r="AB145" s="212" t="s">
        <v>531</v>
      </c>
      <c r="AC145" s="212" t="s">
        <v>533</v>
      </c>
      <c r="AD145" s="214">
        <v>1.635831</v>
      </c>
      <c r="AE145" s="214">
        <v>245</v>
      </c>
      <c r="AF145" s="214">
        <v>0.31969999999999998</v>
      </c>
      <c r="AG145" s="214">
        <v>-99</v>
      </c>
      <c r="AH145" s="212" t="s">
        <v>224</v>
      </c>
      <c r="AI145" s="212" t="s">
        <v>449</v>
      </c>
      <c r="AJ145" s="212" t="s">
        <v>325</v>
      </c>
      <c r="AK145" s="212" t="s">
        <v>531</v>
      </c>
      <c r="AL145" s="212" t="s">
        <v>390</v>
      </c>
      <c r="AM145" s="214" t="b">
        <v>1</v>
      </c>
      <c r="AN145" s="214" t="b">
        <v>0</v>
      </c>
      <c r="AO145" s="212" t="s">
        <v>326</v>
      </c>
      <c r="AP145" s="212" t="s">
        <v>327</v>
      </c>
      <c r="AQ145" s="214">
        <v>100.20194000000001</v>
      </c>
      <c r="AR145" s="214" t="b">
        <v>0</v>
      </c>
      <c r="AS145" s="212" t="s">
        <v>534</v>
      </c>
      <c r="AU145" s="222" t="s">
        <v>819</v>
      </c>
    </row>
    <row r="146" spans="1:47" ht="15" customHeight="1" x14ac:dyDescent="0.25">
      <c r="A146" s="245">
        <f t="shared" si="23"/>
        <v>146</v>
      </c>
      <c r="B146" s="246" t="str">
        <f t="shared" si="16"/>
        <v>Oil Field - Tank</v>
      </c>
      <c r="C146" s="246" t="str">
        <f ca="1">IF(B146="","",VLOOKUP(D146,'Species Data'!B:E,4,FALSE))</f>
        <v>threemetpen</v>
      </c>
      <c r="D146" s="246">
        <f t="shared" ca="1" si="17"/>
        <v>248</v>
      </c>
      <c r="E146" s="246">
        <f t="shared" ca="1" si="18"/>
        <v>0.46360000000000001</v>
      </c>
      <c r="F146" s="246" t="str">
        <f t="shared" ca="1" si="19"/>
        <v>3-methylpentane</v>
      </c>
      <c r="G146" s="246">
        <f t="shared" ca="1" si="20"/>
        <v>86.175359999999998</v>
      </c>
      <c r="H146" s="204">
        <f ca="1">IF(G146="","",IF(VLOOKUP(Tank!F146,'Species Data'!D:F,3,FALSE)=0,"X",IF(G146&lt;44.1,2,1)))</f>
        <v>1</v>
      </c>
      <c r="I146" s="204">
        <f t="shared" ca="1" si="21"/>
        <v>0.72479362468546382</v>
      </c>
      <c r="J146" s="247">
        <f ca="1">IF(I146="","",IF(COUNTIF($D$12:D146,D146)=1,IF(H146=1,I146*H146,IF(H146="X","X",0)),0))</f>
        <v>0</v>
      </c>
      <c r="K146" s="248">
        <f t="shared" ca="1" si="22"/>
        <v>0</v>
      </c>
      <c r="L146" s="212" t="s">
        <v>679</v>
      </c>
      <c r="M146" s="212" t="s">
        <v>448</v>
      </c>
      <c r="N146" s="212" t="s">
        <v>470</v>
      </c>
      <c r="O146" s="213">
        <v>41419</v>
      </c>
      <c r="P146" s="212" t="s">
        <v>531</v>
      </c>
      <c r="Q146" s="214">
        <v>100</v>
      </c>
      <c r="R146" s="212" t="s">
        <v>445</v>
      </c>
      <c r="S146" s="212" t="s">
        <v>532</v>
      </c>
      <c r="T146" s="212" t="s">
        <v>445</v>
      </c>
      <c r="U146" s="212" t="s">
        <v>446</v>
      </c>
      <c r="V146" s="214" t="b">
        <v>1</v>
      </c>
      <c r="W146" s="214">
        <v>1989</v>
      </c>
      <c r="X146" s="214">
        <v>5</v>
      </c>
      <c r="Y146" s="214">
        <v>2</v>
      </c>
      <c r="Z146" s="214">
        <v>4</v>
      </c>
      <c r="AA146" s="212" t="s">
        <v>447</v>
      </c>
      <c r="AB146" s="212" t="s">
        <v>531</v>
      </c>
      <c r="AC146" s="212" t="s">
        <v>533</v>
      </c>
      <c r="AD146" s="214">
        <v>1.635831</v>
      </c>
      <c r="AE146" s="214">
        <v>248</v>
      </c>
      <c r="AF146" s="214">
        <v>0.46360000000000001</v>
      </c>
      <c r="AG146" s="214">
        <v>-99</v>
      </c>
      <c r="AH146" s="212" t="s">
        <v>224</v>
      </c>
      <c r="AI146" s="212" t="s">
        <v>449</v>
      </c>
      <c r="AJ146" s="212" t="s">
        <v>328</v>
      </c>
      <c r="AK146" s="212" t="s">
        <v>531</v>
      </c>
      <c r="AL146" s="212" t="s">
        <v>391</v>
      </c>
      <c r="AM146" s="214" t="b">
        <v>1</v>
      </c>
      <c r="AN146" s="214" t="b">
        <v>0</v>
      </c>
      <c r="AO146" s="212" t="s">
        <v>329</v>
      </c>
      <c r="AP146" s="212" t="s">
        <v>330</v>
      </c>
      <c r="AQ146" s="214">
        <v>86.175359999999998</v>
      </c>
      <c r="AR146" s="214" t="b">
        <v>0</v>
      </c>
      <c r="AS146" s="212" t="s">
        <v>534</v>
      </c>
      <c r="AU146" s="222" t="s">
        <v>819</v>
      </c>
    </row>
    <row r="147" spans="1:47" x14ac:dyDescent="0.25">
      <c r="A147" s="245">
        <f t="shared" si="23"/>
        <v>147</v>
      </c>
      <c r="B147" s="246" t="str">
        <f t="shared" si="16"/>
        <v>Oil Field - Tank</v>
      </c>
      <c r="C147" s="246" t="str">
        <f ca="1">IF(B147="","",VLOOKUP(D147,'Species Data'!B:E,4,FALSE))</f>
        <v>benzene</v>
      </c>
      <c r="D147" s="246">
        <f t="shared" ca="1" si="17"/>
        <v>302</v>
      </c>
      <c r="E147" s="246">
        <f t="shared" ca="1" si="18"/>
        <v>2.87E-2</v>
      </c>
      <c r="F147" s="246" t="str">
        <f t="shared" ca="1" si="19"/>
        <v>Benzene</v>
      </c>
      <c r="G147" s="246">
        <f t="shared" ca="1" si="20"/>
        <v>78.111840000000001</v>
      </c>
      <c r="H147" s="204">
        <f ca="1">IF(G147="","",IF(VLOOKUP(Tank!F147,'Species Data'!D:F,3,FALSE)=0,"X",IF(G147&lt;44.1,2,1)))</f>
        <v>1</v>
      </c>
      <c r="I147" s="204">
        <f t="shared" ca="1" si="21"/>
        <v>0.24518902048126334</v>
      </c>
      <c r="J147" s="247">
        <f ca="1">IF(I147="","",IF(COUNTIF($D$12:D147,D147)=1,IF(H147=1,I147*H147,IF(H147="X","X",0)),0))</f>
        <v>0</v>
      </c>
      <c r="K147" s="248">
        <f t="shared" ca="1" si="22"/>
        <v>0</v>
      </c>
      <c r="L147" s="212" t="s">
        <v>679</v>
      </c>
      <c r="M147" s="212" t="s">
        <v>448</v>
      </c>
      <c r="N147" s="212" t="s">
        <v>470</v>
      </c>
      <c r="O147" s="213">
        <v>41419</v>
      </c>
      <c r="P147" s="212" t="s">
        <v>531</v>
      </c>
      <c r="Q147" s="214">
        <v>100</v>
      </c>
      <c r="R147" s="212" t="s">
        <v>445</v>
      </c>
      <c r="S147" s="212" t="s">
        <v>532</v>
      </c>
      <c r="T147" s="212" t="s">
        <v>445</v>
      </c>
      <c r="U147" s="212" t="s">
        <v>446</v>
      </c>
      <c r="V147" s="214" t="b">
        <v>1</v>
      </c>
      <c r="W147" s="214">
        <v>1989</v>
      </c>
      <c r="X147" s="214">
        <v>5</v>
      </c>
      <c r="Y147" s="214">
        <v>2</v>
      </c>
      <c r="Z147" s="214">
        <v>4</v>
      </c>
      <c r="AA147" s="212" t="s">
        <v>447</v>
      </c>
      <c r="AB147" s="212" t="s">
        <v>531</v>
      </c>
      <c r="AC147" s="212" t="s">
        <v>533</v>
      </c>
      <c r="AD147" s="214">
        <v>1.635831</v>
      </c>
      <c r="AE147" s="214">
        <v>302</v>
      </c>
      <c r="AF147" s="214">
        <v>2.87E-2</v>
      </c>
      <c r="AG147" s="214">
        <v>-99</v>
      </c>
      <c r="AH147" s="212" t="s">
        <v>224</v>
      </c>
      <c r="AI147" s="212" t="s">
        <v>449</v>
      </c>
      <c r="AJ147" s="212" t="s">
        <v>262</v>
      </c>
      <c r="AK147" s="212" t="s">
        <v>531</v>
      </c>
      <c r="AL147" s="212" t="s">
        <v>373</v>
      </c>
      <c r="AM147" s="214" t="b">
        <v>1</v>
      </c>
      <c r="AN147" s="214" t="b">
        <v>1</v>
      </c>
      <c r="AO147" s="212" t="s">
        <v>263</v>
      </c>
      <c r="AP147" s="212" t="s">
        <v>264</v>
      </c>
      <c r="AQ147" s="214">
        <v>78.111840000000001</v>
      </c>
      <c r="AR147" s="214" t="b">
        <v>0</v>
      </c>
      <c r="AS147" s="212" t="s">
        <v>534</v>
      </c>
      <c r="AU147" s="222" t="s">
        <v>819</v>
      </c>
    </row>
    <row r="148" spans="1:47" ht="15" customHeight="1" x14ac:dyDescent="0.25">
      <c r="A148" s="245">
        <f t="shared" si="23"/>
        <v>148</v>
      </c>
      <c r="B148" s="246" t="str">
        <f t="shared" si="16"/>
        <v>Oil Field - Tank</v>
      </c>
      <c r="C148" s="246" t="str">
        <f ca="1">IF(B148="","",VLOOKUP(D148,'Species Data'!B:E,4,FALSE))</f>
        <v>cyclohexane</v>
      </c>
      <c r="D148" s="246">
        <f t="shared" ca="1" si="17"/>
        <v>385</v>
      </c>
      <c r="E148" s="246">
        <f t="shared" ca="1" si="18"/>
        <v>4.8599999999999997E-2</v>
      </c>
      <c r="F148" s="246" t="str">
        <f t="shared" ca="1" si="19"/>
        <v>Cyclohexane</v>
      </c>
      <c r="G148" s="246">
        <f t="shared" ca="1" si="20"/>
        <v>84.159480000000002</v>
      </c>
      <c r="H148" s="204">
        <f ca="1">IF(G148="","",IF(VLOOKUP(Tank!F148,'Species Data'!D:F,3,FALSE)=0,"X",IF(G148&lt;44.1,2,1)))</f>
        <v>1</v>
      </c>
      <c r="I148" s="204">
        <f t="shared" ca="1" si="21"/>
        <v>1.8406843372363042E-2</v>
      </c>
      <c r="J148" s="247">
        <f ca="1">IF(I148="","",IF(COUNTIF($D$12:D148,D148)=1,IF(H148=1,I148*H148,IF(H148="X","X",0)),0))</f>
        <v>0</v>
      </c>
      <c r="K148" s="248">
        <f t="shared" ca="1" si="22"/>
        <v>0</v>
      </c>
      <c r="L148" s="212" t="s">
        <v>679</v>
      </c>
      <c r="M148" s="212" t="s">
        <v>448</v>
      </c>
      <c r="N148" s="212" t="s">
        <v>470</v>
      </c>
      <c r="O148" s="213">
        <v>41419</v>
      </c>
      <c r="P148" s="212" t="s">
        <v>531</v>
      </c>
      <c r="Q148" s="214">
        <v>100</v>
      </c>
      <c r="R148" s="212" t="s">
        <v>445</v>
      </c>
      <c r="S148" s="212" t="s">
        <v>532</v>
      </c>
      <c r="T148" s="212" t="s">
        <v>445</v>
      </c>
      <c r="U148" s="212" t="s">
        <v>446</v>
      </c>
      <c r="V148" s="214" t="b">
        <v>1</v>
      </c>
      <c r="W148" s="214">
        <v>1989</v>
      </c>
      <c r="X148" s="214">
        <v>5</v>
      </c>
      <c r="Y148" s="214">
        <v>2</v>
      </c>
      <c r="Z148" s="214">
        <v>4</v>
      </c>
      <c r="AA148" s="212" t="s">
        <v>447</v>
      </c>
      <c r="AB148" s="212" t="s">
        <v>531</v>
      </c>
      <c r="AC148" s="212" t="s">
        <v>533</v>
      </c>
      <c r="AD148" s="214">
        <v>1.635831</v>
      </c>
      <c r="AE148" s="214">
        <v>385</v>
      </c>
      <c r="AF148" s="214">
        <v>4.8599999999999997E-2</v>
      </c>
      <c r="AG148" s="214">
        <v>-99</v>
      </c>
      <c r="AH148" s="212" t="s">
        <v>224</v>
      </c>
      <c r="AI148" s="212" t="s">
        <v>449</v>
      </c>
      <c r="AJ148" s="212" t="s">
        <v>331</v>
      </c>
      <c r="AK148" s="212" t="s">
        <v>531</v>
      </c>
      <c r="AL148" s="212" t="s">
        <v>392</v>
      </c>
      <c r="AM148" s="214" t="b">
        <v>1</v>
      </c>
      <c r="AN148" s="214" t="b">
        <v>0</v>
      </c>
      <c r="AO148" s="212" t="s">
        <v>332</v>
      </c>
      <c r="AP148" s="212" t="s">
        <v>333</v>
      </c>
      <c r="AQ148" s="214">
        <v>84.159480000000002</v>
      </c>
      <c r="AR148" s="214" t="b">
        <v>0</v>
      </c>
      <c r="AS148" s="212" t="s">
        <v>534</v>
      </c>
      <c r="AU148" s="222" t="s">
        <v>819</v>
      </c>
    </row>
    <row r="149" spans="1:47" x14ac:dyDescent="0.25">
      <c r="A149" s="245">
        <f t="shared" si="23"/>
        <v>149</v>
      </c>
      <c r="B149" s="246" t="str">
        <f t="shared" si="16"/>
        <v>Oil Field - Tank</v>
      </c>
      <c r="C149" s="246" t="str">
        <f ca="1">IF(B149="","",VLOOKUP(D149,'Species Data'!B:E,4,FALSE))</f>
        <v>cyclopentane</v>
      </c>
      <c r="D149" s="246">
        <f t="shared" ca="1" si="17"/>
        <v>390</v>
      </c>
      <c r="E149" s="246">
        <f t="shared" ca="1" si="18"/>
        <v>0.72970000000000002</v>
      </c>
      <c r="F149" s="246" t="str">
        <f t="shared" ca="1" si="19"/>
        <v>Cyclopentane</v>
      </c>
      <c r="G149" s="246">
        <f t="shared" ca="1" si="20"/>
        <v>70.132900000000006</v>
      </c>
      <c r="H149" s="204">
        <f ca="1">IF(G149="","",IF(VLOOKUP(Tank!F149,'Species Data'!D:F,3,FALSE)=0,"X",IF(G149&lt;44.1,2,1)))</f>
        <v>1</v>
      </c>
      <c r="I149" s="204">
        <f t="shared" ca="1" si="21"/>
        <v>0.15432814821688956</v>
      </c>
      <c r="J149" s="247">
        <f ca="1">IF(I149="","",IF(COUNTIF($D$12:D149,D149)=1,IF(H149=1,I149*H149,IF(H149="X","X",0)),0))</f>
        <v>0</v>
      </c>
      <c r="K149" s="248">
        <f t="shared" ca="1" si="22"/>
        <v>0</v>
      </c>
      <c r="L149" s="212" t="s">
        <v>679</v>
      </c>
      <c r="M149" s="212" t="s">
        <v>448</v>
      </c>
      <c r="N149" s="212" t="s">
        <v>470</v>
      </c>
      <c r="O149" s="213">
        <v>41419</v>
      </c>
      <c r="P149" s="212" t="s">
        <v>531</v>
      </c>
      <c r="Q149" s="214">
        <v>100</v>
      </c>
      <c r="R149" s="212" t="s">
        <v>445</v>
      </c>
      <c r="S149" s="212" t="s">
        <v>532</v>
      </c>
      <c r="T149" s="212" t="s">
        <v>445</v>
      </c>
      <c r="U149" s="212" t="s">
        <v>446</v>
      </c>
      <c r="V149" s="214" t="b">
        <v>1</v>
      </c>
      <c r="W149" s="214">
        <v>1989</v>
      </c>
      <c r="X149" s="214">
        <v>5</v>
      </c>
      <c r="Y149" s="214">
        <v>2</v>
      </c>
      <c r="Z149" s="214">
        <v>4</v>
      </c>
      <c r="AA149" s="212" t="s">
        <v>447</v>
      </c>
      <c r="AB149" s="212" t="s">
        <v>531</v>
      </c>
      <c r="AC149" s="212" t="s">
        <v>533</v>
      </c>
      <c r="AD149" s="214">
        <v>1.635831</v>
      </c>
      <c r="AE149" s="214">
        <v>390</v>
      </c>
      <c r="AF149" s="214">
        <v>0.72970000000000002</v>
      </c>
      <c r="AG149" s="214">
        <v>-99</v>
      </c>
      <c r="AH149" s="212" t="s">
        <v>224</v>
      </c>
      <c r="AI149" s="212" t="s">
        <v>449</v>
      </c>
      <c r="AJ149" s="212" t="s">
        <v>334</v>
      </c>
      <c r="AK149" s="212" t="s">
        <v>531</v>
      </c>
      <c r="AL149" s="212" t="s">
        <v>393</v>
      </c>
      <c r="AM149" s="214" t="b">
        <v>1</v>
      </c>
      <c r="AN149" s="214" t="b">
        <v>0</v>
      </c>
      <c r="AO149" s="212" t="s">
        <v>335</v>
      </c>
      <c r="AP149" s="212" t="s">
        <v>336</v>
      </c>
      <c r="AQ149" s="214">
        <v>70.132900000000006</v>
      </c>
      <c r="AR149" s="214" t="b">
        <v>0</v>
      </c>
      <c r="AS149" s="212" t="s">
        <v>534</v>
      </c>
      <c r="AU149" s="222" t="s">
        <v>819</v>
      </c>
    </row>
    <row r="150" spans="1:47" x14ac:dyDescent="0.25">
      <c r="A150" s="245">
        <f t="shared" si="23"/>
        <v>150</v>
      </c>
      <c r="B150" s="246" t="str">
        <f t="shared" si="16"/>
        <v>Oil Field - Tank</v>
      </c>
      <c r="C150" s="246" t="str">
        <f ca="1">IF(B150="","",VLOOKUP(D150,'Species Data'!B:E,4,FALSE))</f>
        <v>ethane</v>
      </c>
      <c r="D150" s="246">
        <f t="shared" ca="1" si="17"/>
        <v>438</v>
      </c>
      <c r="E150" s="246">
        <f t="shared" ca="1" si="18"/>
        <v>3.7103999999999999</v>
      </c>
      <c r="F150" s="246" t="str">
        <f t="shared" ca="1" si="19"/>
        <v>Ethane</v>
      </c>
      <c r="G150" s="246">
        <f t="shared" ca="1" si="20"/>
        <v>30.069040000000005</v>
      </c>
      <c r="H150" s="204">
        <f ca="1">IF(G150="","",IF(VLOOKUP(Tank!F150,'Species Data'!D:F,3,FALSE)=0,"X",IF(G150&lt;44.1,2,1)))</f>
        <v>2</v>
      </c>
      <c r="I150" s="204">
        <f t="shared" ca="1" si="21"/>
        <v>5.717421553913586</v>
      </c>
      <c r="J150" s="247">
        <f ca="1">IF(I150="","",IF(COUNTIF($D$12:D150,D150)=1,IF(H150=1,I150*H150,IF(H150="X","X",0)),0))</f>
        <v>0</v>
      </c>
      <c r="K150" s="248">
        <f t="shared" ca="1" si="22"/>
        <v>0</v>
      </c>
      <c r="L150" s="212" t="s">
        <v>679</v>
      </c>
      <c r="M150" s="212" t="s">
        <v>448</v>
      </c>
      <c r="N150" s="212" t="s">
        <v>470</v>
      </c>
      <c r="O150" s="213">
        <v>41419</v>
      </c>
      <c r="P150" s="212" t="s">
        <v>531</v>
      </c>
      <c r="Q150" s="214">
        <v>100</v>
      </c>
      <c r="R150" s="212" t="s">
        <v>445</v>
      </c>
      <c r="S150" s="212" t="s">
        <v>532</v>
      </c>
      <c r="T150" s="212" t="s">
        <v>445</v>
      </c>
      <c r="U150" s="212" t="s">
        <v>446</v>
      </c>
      <c r="V150" s="214" t="b">
        <v>1</v>
      </c>
      <c r="W150" s="214">
        <v>1989</v>
      </c>
      <c r="X150" s="214">
        <v>5</v>
      </c>
      <c r="Y150" s="214">
        <v>2</v>
      </c>
      <c r="Z150" s="214">
        <v>4</v>
      </c>
      <c r="AA150" s="212" t="s">
        <v>447</v>
      </c>
      <c r="AB150" s="212" t="s">
        <v>531</v>
      </c>
      <c r="AC150" s="212" t="s">
        <v>533</v>
      </c>
      <c r="AD150" s="214">
        <v>1.635831</v>
      </c>
      <c r="AE150" s="214">
        <v>438</v>
      </c>
      <c r="AF150" s="214">
        <v>3.7103999999999999</v>
      </c>
      <c r="AG150" s="214">
        <v>-99</v>
      </c>
      <c r="AH150" s="212" t="s">
        <v>224</v>
      </c>
      <c r="AI150" s="212" t="s">
        <v>449</v>
      </c>
      <c r="AJ150" s="212" t="s">
        <v>265</v>
      </c>
      <c r="AK150" s="212" t="s">
        <v>531</v>
      </c>
      <c r="AL150" s="212" t="s">
        <v>374</v>
      </c>
      <c r="AM150" s="214" t="b">
        <v>1</v>
      </c>
      <c r="AN150" s="214" t="b">
        <v>0</v>
      </c>
      <c r="AO150" s="212" t="s">
        <v>266</v>
      </c>
      <c r="AP150" s="212" t="s">
        <v>267</v>
      </c>
      <c r="AQ150" s="214">
        <v>30.069040000000005</v>
      </c>
      <c r="AR150" s="214" t="b">
        <v>1</v>
      </c>
      <c r="AS150" s="212" t="s">
        <v>534</v>
      </c>
      <c r="AU150" s="222" t="s">
        <v>819</v>
      </c>
    </row>
    <row r="151" spans="1:47" x14ac:dyDescent="0.25">
      <c r="A151" s="245">
        <f t="shared" si="23"/>
        <v>151</v>
      </c>
      <c r="B151" s="246" t="str">
        <f t="shared" si="16"/>
        <v>Oil Field - Tank</v>
      </c>
      <c r="C151" s="246" t="str">
        <f ca="1">IF(B151="","",VLOOKUP(D151,'Species Data'!B:E,4,FALSE))</f>
        <v>ethyl_benz</v>
      </c>
      <c r="D151" s="246">
        <f t="shared" ca="1" si="17"/>
        <v>449</v>
      </c>
      <c r="E151" s="246">
        <f t="shared" ca="1" si="18"/>
        <v>0.20799999999999999</v>
      </c>
      <c r="F151" s="246" t="str">
        <f t="shared" ca="1" si="19"/>
        <v>Ethylbenzene</v>
      </c>
      <c r="G151" s="246">
        <f t="shared" ca="1" si="20"/>
        <v>106.16500000000001</v>
      </c>
      <c r="H151" s="204">
        <f ca="1">IF(G151="","",IF(VLOOKUP(Tank!F151,'Species Data'!D:F,3,FALSE)=0,"X",IF(G151&lt;44.1,2,1)))</f>
        <v>1</v>
      </c>
      <c r="I151" s="204">
        <f t="shared" ca="1" si="21"/>
        <v>0.12062115796311647</v>
      </c>
      <c r="J151" s="247">
        <f ca="1">IF(I151="","",IF(COUNTIF($D$12:D151,D151)=1,IF(H151=1,I151*H151,IF(H151="X","X",0)),0))</f>
        <v>0</v>
      </c>
      <c r="K151" s="248">
        <f t="shared" ca="1" si="22"/>
        <v>0</v>
      </c>
      <c r="L151" s="212" t="s">
        <v>679</v>
      </c>
      <c r="M151" s="212" t="s">
        <v>448</v>
      </c>
      <c r="N151" s="212" t="s">
        <v>470</v>
      </c>
      <c r="O151" s="213">
        <v>41419</v>
      </c>
      <c r="P151" s="212" t="s">
        <v>531</v>
      </c>
      <c r="Q151" s="214">
        <v>100</v>
      </c>
      <c r="R151" s="212" t="s">
        <v>445</v>
      </c>
      <c r="S151" s="212" t="s">
        <v>532</v>
      </c>
      <c r="T151" s="212" t="s">
        <v>445</v>
      </c>
      <c r="U151" s="212" t="s">
        <v>446</v>
      </c>
      <c r="V151" s="214" t="b">
        <v>1</v>
      </c>
      <c r="W151" s="214">
        <v>1989</v>
      </c>
      <c r="X151" s="214">
        <v>5</v>
      </c>
      <c r="Y151" s="214">
        <v>2</v>
      </c>
      <c r="Z151" s="214">
        <v>4</v>
      </c>
      <c r="AA151" s="212" t="s">
        <v>447</v>
      </c>
      <c r="AB151" s="212" t="s">
        <v>531</v>
      </c>
      <c r="AC151" s="212" t="s">
        <v>533</v>
      </c>
      <c r="AD151" s="214">
        <v>1.635831</v>
      </c>
      <c r="AE151" s="214">
        <v>449</v>
      </c>
      <c r="AF151" s="214">
        <v>0.20799999999999999</v>
      </c>
      <c r="AG151" s="214">
        <v>-99</v>
      </c>
      <c r="AH151" s="212" t="s">
        <v>224</v>
      </c>
      <c r="AI151" s="212" t="s">
        <v>449</v>
      </c>
      <c r="AJ151" s="212" t="s">
        <v>337</v>
      </c>
      <c r="AK151" s="212" t="s">
        <v>531</v>
      </c>
      <c r="AL151" s="212" t="s">
        <v>394</v>
      </c>
      <c r="AM151" s="214" t="b">
        <v>1</v>
      </c>
      <c r="AN151" s="214" t="b">
        <v>1</v>
      </c>
      <c r="AO151" s="212" t="s">
        <v>338</v>
      </c>
      <c r="AP151" s="212" t="s">
        <v>339</v>
      </c>
      <c r="AQ151" s="214">
        <v>106.16500000000001</v>
      </c>
      <c r="AR151" s="214" t="b">
        <v>0</v>
      </c>
      <c r="AS151" s="212" t="s">
        <v>534</v>
      </c>
      <c r="AU151" s="222" t="s">
        <v>819</v>
      </c>
    </row>
    <row r="152" spans="1:47" ht="15" customHeight="1" x14ac:dyDescent="0.25">
      <c r="A152" s="245">
        <f t="shared" si="23"/>
        <v>152</v>
      </c>
      <c r="B152" s="246" t="str">
        <f t="shared" si="16"/>
        <v>Oil Field - Tank</v>
      </c>
      <c r="C152" s="246" t="str">
        <f ca="1">IF(B152="","",VLOOKUP(D152,'Species Data'!B:E,4,FALSE))</f>
        <v>isobut</v>
      </c>
      <c r="D152" s="246">
        <f t="shared" ca="1" si="17"/>
        <v>491</v>
      </c>
      <c r="E152" s="246">
        <f t="shared" ca="1" si="18"/>
        <v>3.2037</v>
      </c>
      <c r="F152" s="246" t="str">
        <f t="shared" ca="1" si="19"/>
        <v>Isobutane</v>
      </c>
      <c r="G152" s="246">
        <f t="shared" ca="1" si="20"/>
        <v>58.122199999999992</v>
      </c>
      <c r="H152" s="204">
        <f ca="1">IF(G152="","",IF(VLOOKUP(Tank!F152,'Species Data'!D:F,3,FALSE)=0,"X",IF(G152&lt;44.1,2,1)))</f>
        <v>1</v>
      </c>
      <c r="I152" s="204">
        <f t="shared" ca="1" si="21"/>
        <v>3.2562712602040991</v>
      </c>
      <c r="J152" s="247">
        <f ca="1">IF(I152="","",IF(COUNTIF($D$12:D152,D152)=1,IF(H152=1,I152*H152,IF(H152="X","X",0)),0))</f>
        <v>0</v>
      </c>
      <c r="K152" s="248">
        <f t="shared" ca="1" si="22"/>
        <v>0</v>
      </c>
      <c r="L152" s="212" t="s">
        <v>679</v>
      </c>
      <c r="M152" s="212" t="s">
        <v>448</v>
      </c>
      <c r="N152" s="212" t="s">
        <v>470</v>
      </c>
      <c r="O152" s="213">
        <v>41419</v>
      </c>
      <c r="P152" s="212" t="s">
        <v>531</v>
      </c>
      <c r="Q152" s="214">
        <v>100</v>
      </c>
      <c r="R152" s="212" t="s">
        <v>445</v>
      </c>
      <c r="S152" s="212" t="s">
        <v>532</v>
      </c>
      <c r="T152" s="212" t="s">
        <v>445</v>
      </c>
      <c r="U152" s="212" t="s">
        <v>446</v>
      </c>
      <c r="V152" s="214" t="b">
        <v>1</v>
      </c>
      <c r="W152" s="214">
        <v>1989</v>
      </c>
      <c r="X152" s="214">
        <v>5</v>
      </c>
      <c r="Y152" s="214">
        <v>2</v>
      </c>
      <c r="Z152" s="214">
        <v>4</v>
      </c>
      <c r="AA152" s="212" t="s">
        <v>447</v>
      </c>
      <c r="AB152" s="212" t="s">
        <v>531</v>
      </c>
      <c r="AC152" s="212" t="s">
        <v>533</v>
      </c>
      <c r="AD152" s="214">
        <v>1.635831</v>
      </c>
      <c r="AE152" s="214">
        <v>491</v>
      </c>
      <c r="AF152" s="214">
        <v>3.2037</v>
      </c>
      <c r="AG152" s="214">
        <v>-99</v>
      </c>
      <c r="AH152" s="212" t="s">
        <v>224</v>
      </c>
      <c r="AI152" s="212" t="s">
        <v>449</v>
      </c>
      <c r="AJ152" s="212" t="s">
        <v>268</v>
      </c>
      <c r="AK152" s="212" t="s">
        <v>531</v>
      </c>
      <c r="AL152" s="212" t="s">
        <v>375</v>
      </c>
      <c r="AM152" s="214" t="b">
        <v>1</v>
      </c>
      <c r="AN152" s="214" t="b">
        <v>0</v>
      </c>
      <c r="AO152" s="212" t="s">
        <v>269</v>
      </c>
      <c r="AP152" s="212" t="s">
        <v>270</v>
      </c>
      <c r="AQ152" s="214">
        <v>58.122199999999992</v>
      </c>
      <c r="AR152" s="214" t="b">
        <v>0</v>
      </c>
      <c r="AS152" s="212" t="s">
        <v>534</v>
      </c>
      <c r="AU152" s="222" t="s">
        <v>819</v>
      </c>
    </row>
    <row r="153" spans="1:47" x14ac:dyDescent="0.25">
      <c r="A153" s="245">
        <f t="shared" si="23"/>
        <v>153</v>
      </c>
      <c r="B153" s="246" t="str">
        <f t="shared" si="16"/>
        <v>Oil Field - Tank</v>
      </c>
      <c r="C153" s="246" t="str">
        <f ca="1">IF(B153="","",VLOOKUP(D153,'Species Data'!B:E,4,FALSE))</f>
        <v>isopentane</v>
      </c>
      <c r="D153" s="246">
        <f t="shared" ca="1" si="17"/>
        <v>508</v>
      </c>
      <c r="E153" s="246">
        <f t="shared" ca="1" si="18"/>
        <v>1.8192999999999999</v>
      </c>
      <c r="F153" s="246" t="str">
        <f t="shared" ca="1" si="19"/>
        <v>Isopentane (2-Methylbutane)</v>
      </c>
      <c r="G153" s="246">
        <f t="shared" ca="1" si="20"/>
        <v>72.148780000000002</v>
      </c>
      <c r="H153" s="204">
        <f ca="1">IF(G153="","",IF(VLOOKUP(Tank!F153,'Species Data'!D:F,3,FALSE)=0,"X",IF(G153&lt;44.1,2,1)))</f>
        <v>1</v>
      </c>
      <c r="I153" s="204">
        <f t="shared" ca="1" si="21"/>
        <v>3.397999287459827</v>
      </c>
      <c r="J153" s="247">
        <f ca="1">IF(I153="","",IF(COUNTIF($D$12:D153,D153)=1,IF(H153=1,I153*H153,IF(H153="X","X",0)),0))</f>
        <v>0</v>
      </c>
      <c r="K153" s="248">
        <f t="shared" ca="1" si="22"/>
        <v>0</v>
      </c>
      <c r="L153" s="212" t="s">
        <v>679</v>
      </c>
      <c r="M153" s="212" t="s">
        <v>448</v>
      </c>
      <c r="N153" s="212" t="s">
        <v>470</v>
      </c>
      <c r="O153" s="213">
        <v>41419</v>
      </c>
      <c r="P153" s="212" t="s">
        <v>531</v>
      </c>
      <c r="Q153" s="214">
        <v>100</v>
      </c>
      <c r="R153" s="212" t="s">
        <v>445</v>
      </c>
      <c r="S153" s="212" t="s">
        <v>532</v>
      </c>
      <c r="T153" s="212" t="s">
        <v>445</v>
      </c>
      <c r="U153" s="212" t="s">
        <v>446</v>
      </c>
      <c r="V153" s="214" t="b">
        <v>1</v>
      </c>
      <c r="W153" s="214">
        <v>1989</v>
      </c>
      <c r="X153" s="214">
        <v>5</v>
      </c>
      <c r="Y153" s="214">
        <v>2</v>
      </c>
      <c r="Z153" s="214">
        <v>4</v>
      </c>
      <c r="AA153" s="212" t="s">
        <v>447</v>
      </c>
      <c r="AB153" s="212" t="s">
        <v>531</v>
      </c>
      <c r="AC153" s="212" t="s">
        <v>533</v>
      </c>
      <c r="AD153" s="214">
        <v>1.635831</v>
      </c>
      <c r="AE153" s="214">
        <v>508</v>
      </c>
      <c r="AF153" s="214">
        <v>1.8192999999999999</v>
      </c>
      <c r="AG153" s="214">
        <v>-99</v>
      </c>
      <c r="AH153" s="212" t="s">
        <v>224</v>
      </c>
      <c r="AI153" s="212" t="s">
        <v>449</v>
      </c>
      <c r="AJ153" s="212" t="s">
        <v>342</v>
      </c>
      <c r="AK153" s="212" t="s">
        <v>531</v>
      </c>
      <c r="AL153" s="212" t="s">
        <v>395</v>
      </c>
      <c r="AM153" s="214" t="b">
        <v>1</v>
      </c>
      <c r="AN153" s="214" t="b">
        <v>0</v>
      </c>
      <c r="AO153" s="212" t="s">
        <v>343</v>
      </c>
      <c r="AP153" s="212" t="s">
        <v>344</v>
      </c>
      <c r="AQ153" s="214">
        <v>72.148780000000002</v>
      </c>
      <c r="AR153" s="214" t="b">
        <v>0</v>
      </c>
      <c r="AS153" s="212" t="s">
        <v>534</v>
      </c>
      <c r="AU153" s="222" t="s">
        <v>819</v>
      </c>
    </row>
    <row r="154" spans="1:47" ht="15" customHeight="1" x14ac:dyDescent="0.25">
      <c r="A154" s="245">
        <f t="shared" si="23"/>
        <v>154</v>
      </c>
      <c r="B154" s="246" t="str">
        <f t="shared" si="16"/>
        <v>Oil Field - Tank</v>
      </c>
      <c r="C154" s="246" t="str">
        <f ca="1">IF(B154="","",VLOOKUP(D154,'Species Data'!B:E,4,FALSE))</f>
        <v>M_xylene</v>
      </c>
      <c r="D154" s="246">
        <f t="shared" ca="1" si="17"/>
        <v>524</v>
      </c>
      <c r="E154" s="246">
        <f t="shared" ca="1" si="18"/>
        <v>5.7200000000000001E-2</v>
      </c>
      <c r="F154" s="246" t="str">
        <f t="shared" ca="1" si="19"/>
        <v>M-xylene</v>
      </c>
      <c r="G154" s="246">
        <f t="shared" ca="1" si="20"/>
        <v>106.16500000000001</v>
      </c>
      <c r="H154" s="204">
        <f ca="1">IF(G154="","",IF(VLOOKUP(Tank!F154,'Species Data'!D:F,3,FALSE)=0,"X",IF(G154&lt;44.1,2,1)))</f>
        <v>1</v>
      </c>
      <c r="I154" s="204">
        <f t="shared" ca="1" si="21"/>
        <v>7.6727403249737883E-2</v>
      </c>
      <c r="J154" s="247">
        <f ca="1">IF(I154="","",IF(COUNTIF($D$12:D154,D154)=1,IF(H154=1,I154*H154,IF(H154="X","X",0)),0))</f>
        <v>0</v>
      </c>
      <c r="K154" s="248">
        <f t="shared" ca="1" si="22"/>
        <v>0</v>
      </c>
      <c r="L154" s="212" t="s">
        <v>679</v>
      </c>
      <c r="M154" s="212" t="s">
        <v>448</v>
      </c>
      <c r="N154" s="212" t="s">
        <v>470</v>
      </c>
      <c r="O154" s="213">
        <v>41419</v>
      </c>
      <c r="P154" s="212" t="s">
        <v>531</v>
      </c>
      <c r="Q154" s="214">
        <v>100</v>
      </c>
      <c r="R154" s="212" t="s">
        <v>445</v>
      </c>
      <c r="S154" s="212" t="s">
        <v>532</v>
      </c>
      <c r="T154" s="212" t="s">
        <v>445</v>
      </c>
      <c r="U154" s="212" t="s">
        <v>446</v>
      </c>
      <c r="V154" s="214" t="b">
        <v>1</v>
      </c>
      <c r="W154" s="214">
        <v>1989</v>
      </c>
      <c r="X154" s="214">
        <v>5</v>
      </c>
      <c r="Y154" s="214">
        <v>2</v>
      </c>
      <c r="Z154" s="214">
        <v>4</v>
      </c>
      <c r="AA154" s="212" t="s">
        <v>447</v>
      </c>
      <c r="AB154" s="212" t="s">
        <v>531</v>
      </c>
      <c r="AC154" s="212" t="s">
        <v>533</v>
      </c>
      <c r="AD154" s="214">
        <v>1.635831</v>
      </c>
      <c r="AE154" s="214">
        <v>524</v>
      </c>
      <c r="AF154" s="214">
        <v>5.7200000000000001E-2</v>
      </c>
      <c r="AG154" s="214">
        <v>-99</v>
      </c>
      <c r="AH154" s="212" t="s">
        <v>224</v>
      </c>
      <c r="AI154" s="212" t="s">
        <v>449</v>
      </c>
      <c r="AJ154" s="212" t="s">
        <v>436</v>
      </c>
      <c r="AK154" s="212" t="s">
        <v>531</v>
      </c>
      <c r="AL154" s="212" t="s">
        <v>460</v>
      </c>
      <c r="AM154" s="214" t="b">
        <v>0</v>
      </c>
      <c r="AN154" s="214" t="b">
        <v>1</v>
      </c>
      <c r="AO154" s="212" t="s">
        <v>437</v>
      </c>
      <c r="AP154" s="212" t="s">
        <v>438</v>
      </c>
      <c r="AQ154" s="214">
        <v>106.16500000000001</v>
      </c>
      <c r="AR154" s="214" t="b">
        <v>0</v>
      </c>
      <c r="AS154" s="212" t="s">
        <v>534</v>
      </c>
      <c r="AU154" s="222" t="s">
        <v>819</v>
      </c>
    </row>
    <row r="155" spans="1:47" x14ac:dyDescent="0.25">
      <c r="A155" s="245">
        <f t="shared" si="23"/>
        <v>155</v>
      </c>
      <c r="B155" s="246" t="str">
        <f t="shared" si="16"/>
        <v>Oil Field - Tank</v>
      </c>
      <c r="C155" s="246" t="str">
        <f ca="1">IF(B155="","",VLOOKUP(D155,'Species Data'!B:E,4,FALSE))</f>
        <v>methane</v>
      </c>
      <c r="D155" s="246">
        <f t="shared" ca="1" si="17"/>
        <v>529</v>
      </c>
      <c r="E155" s="246">
        <f t="shared" ca="1" si="18"/>
        <v>35.1586</v>
      </c>
      <c r="F155" s="246" t="str">
        <f t="shared" ca="1" si="19"/>
        <v>Methane</v>
      </c>
      <c r="G155" s="246">
        <f t="shared" ca="1" si="20"/>
        <v>16.042459999999998</v>
      </c>
      <c r="H155" s="204">
        <f ca="1">IF(G155="","",IF(VLOOKUP(Tank!F155,'Species Data'!D:F,3,FALSE)=0,"X",IF(G155&lt;44.1,2,1)))</f>
        <v>2</v>
      </c>
      <c r="I155" s="204">
        <f t="shared" ca="1" si="21"/>
        <v>44.518760713436194</v>
      </c>
      <c r="J155" s="247">
        <f ca="1">IF(I155="","",IF(COUNTIF($D$12:D155,D155)=1,IF(H155=1,I155*H155,IF(H155="X","X",0)),0))</f>
        <v>0</v>
      </c>
      <c r="K155" s="248">
        <f t="shared" ca="1" si="22"/>
        <v>0</v>
      </c>
      <c r="L155" s="212" t="s">
        <v>679</v>
      </c>
      <c r="M155" s="212" t="s">
        <v>448</v>
      </c>
      <c r="N155" s="212" t="s">
        <v>470</v>
      </c>
      <c r="O155" s="213">
        <v>41419</v>
      </c>
      <c r="P155" s="212" t="s">
        <v>531</v>
      </c>
      <c r="Q155" s="214">
        <v>100</v>
      </c>
      <c r="R155" s="212" t="s">
        <v>445</v>
      </c>
      <c r="S155" s="212" t="s">
        <v>532</v>
      </c>
      <c r="T155" s="212" t="s">
        <v>445</v>
      </c>
      <c r="U155" s="212" t="s">
        <v>446</v>
      </c>
      <c r="V155" s="214" t="b">
        <v>1</v>
      </c>
      <c r="W155" s="214">
        <v>1989</v>
      </c>
      <c r="X155" s="214">
        <v>5</v>
      </c>
      <c r="Y155" s="214">
        <v>2</v>
      </c>
      <c r="Z155" s="214">
        <v>4</v>
      </c>
      <c r="AA155" s="212" t="s">
        <v>447</v>
      </c>
      <c r="AB155" s="212" t="s">
        <v>531</v>
      </c>
      <c r="AC155" s="212" t="s">
        <v>533</v>
      </c>
      <c r="AD155" s="214">
        <v>1.635831</v>
      </c>
      <c r="AE155" s="214">
        <v>529</v>
      </c>
      <c r="AF155" s="214">
        <v>35.1586</v>
      </c>
      <c r="AG155" s="214">
        <v>-99</v>
      </c>
      <c r="AH155" s="212" t="s">
        <v>224</v>
      </c>
      <c r="AI155" s="212" t="s">
        <v>449</v>
      </c>
      <c r="AJ155" s="212" t="s">
        <v>271</v>
      </c>
      <c r="AK155" s="212" t="s">
        <v>531</v>
      </c>
      <c r="AL155" s="212" t="s">
        <v>376</v>
      </c>
      <c r="AM155" s="214" t="b">
        <v>0</v>
      </c>
      <c r="AN155" s="214" t="b">
        <v>0</v>
      </c>
      <c r="AO155" s="212" t="s">
        <v>272</v>
      </c>
      <c r="AP155" s="212" t="s">
        <v>531</v>
      </c>
      <c r="AQ155" s="214">
        <v>16.042459999999998</v>
      </c>
      <c r="AR155" s="214" t="b">
        <v>1</v>
      </c>
      <c r="AS155" s="212" t="s">
        <v>534</v>
      </c>
      <c r="AU155" s="222" t="s">
        <v>819</v>
      </c>
    </row>
    <row r="156" spans="1:47" x14ac:dyDescent="0.25">
      <c r="A156" s="245">
        <f t="shared" si="23"/>
        <v>156</v>
      </c>
      <c r="B156" s="246" t="str">
        <f t="shared" si="16"/>
        <v>Oil Field - Tank</v>
      </c>
      <c r="C156" s="246" t="str">
        <f ca="1">IF(B156="","",VLOOKUP(D156,'Species Data'!B:E,4,FALSE))</f>
        <v>methcychex</v>
      </c>
      <c r="D156" s="246">
        <f t="shared" ca="1" si="17"/>
        <v>550</v>
      </c>
      <c r="E156" s="246">
        <f t="shared" ca="1" si="18"/>
        <v>2.2376999999999998</v>
      </c>
      <c r="F156" s="246" t="str">
        <f t="shared" ca="1" si="19"/>
        <v>Methylcyclohexane</v>
      </c>
      <c r="G156" s="246">
        <f t="shared" ca="1" si="20"/>
        <v>98.186059999999998</v>
      </c>
      <c r="H156" s="204">
        <f ca="1">IF(G156="","",IF(VLOOKUP(Tank!F156,'Species Data'!D:F,3,FALSE)=0,"X",IF(G156&lt;44.1,2,1)))</f>
        <v>1</v>
      </c>
      <c r="I156" s="204">
        <f t="shared" ca="1" si="21"/>
        <v>0.52063166473064815</v>
      </c>
      <c r="J156" s="247">
        <f ca="1">IF(I156="","",IF(COUNTIF($D$12:D156,D156)=1,IF(H156=1,I156*H156,IF(H156="X","X",0)),0))</f>
        <v>0</v>
      </c>
      <c r="K156" s="248">
        <f t="shared" ca="1" si="22"/>
        <v>0</v>
      </c>
      <c r="L156" s="212" t="s">
        <v>679</v>
      </c>
      <c r="M156" s="212" t="s">
        <v>448</v>
      </c>
      <c r="N156" s="212" t="s">
        <v>470</v>
      </c>
      <c r="O156" s="213">
        <v>41419</v>
      </c>
      <c r="P156" s="212" t="s">
        <v>531</v>
      </c>
      <c r="Q156" s="214">
        <v>100</v>
      </c>
      <c r="R156" s="212" t="s">
        <v>445</v>
      </c>
      <c r="S156" s="212" t="s">
        <v>532</v>
      </c>
      <c r="T156" s="212" t="s">
        <v>445</v>
      </c>
      <c r="U156" s="212" t="s">
        <v>446</v>
      </c>
      <c r="V156" s="214" t="b">
        <v>1</v>
      </c>
      <c r="W156" s="214">
        <v>1989</v>
      </c>
      <c r="X156" s="214">
        <v>5</v>
      </c>
      <c r="Y156" s="214">
        <v>2</v>
      </c>
      <c r="Z156" s="214">
        <v>4</v>
      </c>
      <c r="AA156" s="212" t="s">
        <v>447</v>
      </c>
      <c r="AB156" s="212" t="s">
        <v>531</v>
      </c>
      <c r="AC156" s="212" t="s">
        <v>533</v>
      </c>
      <c r="AD156" s="214">
        <v>1.635831</v>
      </c>
      <c r="AE156" s="214">
        <v>550</v>
      </c>
      <c r="AF156" s="214">
        <v>2.2376999999999998</v>
      </c>
      <c r="AG156" s="214">
        <v>-99</v>
      </c>
      <c r="AH156" s="212" t="s">
        <v>224</v>
      </c>
      <c r="AI156" s="212" t="s">
        <v>449</v>
      </c>
      <c r="AJ156" s="212" t="s">
        <v>348</v>
      </c>
      <c r="AK156" s="212" t="s">
        <v>531</v>
      </c>
      <c r="AL156" s="212" t="s">
        <v>396</v>
      </c>
      <c r="AM156" s="214" t="b">
        <v>1</v>
      </c>
      <c r="AN156" s="214" t="b">
        <v>0</v>
      </c>
      <c r="AO156" s="212" t="s">
        <v>349</v>
      </c>
      <c r="AP156" s="212" t="s">
        <v>350</v>
      </c>
      <c r="AQ156" s="214">
        <v>98.186059999999998</v>
      </c>
      <c r="AR156" s="214" t="b">
        <v>0</v>
      </c>
      <c r="AS156" s="212" t="s">
        <v>534</v>
      </c>
      <c r="AU156" s="222" t="s">
        <v>819</v>
      </c>
    </row>
    <row r="157" spans="1:47" x14ac:dyDescent="0.25">
      <c r="A157" s="245">
        <f t="shared" si="23"/>
        <v>157</v>
      </c>
      <c r="B157" s="246" t="str">
        <f t="shared" si="16"/>
        <v>Oil Field - Tank</v>
      </c>
      <c r="C157" s="246" t="str">
        <f ca="1">IF(B157="","",VLOOKUP(D157,'Species Data'!B:E,4,FALSE))</f>
        <v>methcycpen</v>
      </c>
      <c r="D157" s="246">
        <f t="shared" ca="1" si="17"/>
        <v>551</v>
      </c>
      <c r="E157" s="246">
        <f t="shared" ca="1" si="18"/>
        <v>3.0811000000000002</v>
      </c>
      <c r="F157" s="246" t="str">
        <f t="shared" ca="1" si="19"/>
        <v>Methylcyclopentane</v>
      </c>
      <c r="G157" s="246">
        <f t="shared" ca="1" si="20"/>
        <v>84.159480000000002</v>
      </c>
      <c r="H157" s="204">
        <f ca="1">IF(G157="","",IF(VLOOKUP(Tank!F157,'Species Data'!D:F,3,FALSE)=0,"X",IF(G157&lt;44.1,2,1)))</f>
        <v>1</v>
      </c>
      <c r="I157" s="204">
        <f t="shared" ca="1" si="21"/>
        <v>1.4788275300776224</v>
      </c>
      <c r="J157" s="247">
        <f ca="1">IF(I157="","",IF(COUNTIF($D$12:D157,D157)=1,IF(H157=1,I157*H157,IF(H157="X","X",0)),0))</f>
        <v>0</v>
      </c>
      <c r="K157" s="248">
        <f t="shared" ca="1" si="22"/>
        <v>0</v>
      </c>
      <c r="L157" s="212" t="s">
        <v>679</v>
      </c>
      <c r="M157" s="212" t="s">
        <v>448</v>
      </c>
      <c r="N157" s="212" t="s">
        <v>470</v>
      </c>
      <c r="O157" s="213">
        <v>41419</v>
      </c>
      <c r="P157" s="212" t="s">
        <v>531</v>
      </c>
      <c r="Q157" s="214">
        <v>100</v>
      </c>
      <c r="R157" s="212" t="s">
        <v>445</v>
      </c>
      <c r="S157" s="212" t="s">
        <v>532</v>
      </c>
      <c r="T157" s="212" t="s">
        <v>445</v>
      </c>
      <c r="U157" s="212" t="s">
        <v>446</v>
      </c>
      <c r="V157" s="214" t="b">
        <v>1</v>
      </c>
      <c r="W157" s="214">
        <v>1989</v>
      </c>
      <c r="X157" s="214">
        <v>5</v>
      </c>
      <c r="Y157" s="214">
        <v>2</v>
      </c>
      <c r="Z157" s="214">
        <v>4</v>
      </c>
      <c r="AA157" s="212" t="s">
        <v>447</v>
      </c>
      <c r="AB157" s="212" t="s">
        <v>531</v>
      </c>
      <c r="AC157" s="212" t="s">
        <v>533</v>
      </c>
      <c r="AD157" s="214">
        <v>1.635831</v>
      </c>
      <c r="AE157" s="214">
        <v>551</v>
      </c>
      <c r="AF157" s="214">
        <v>3.0811000000000002</v>
      </c>
      <c r="AG157" s="214">
        <v>-99</v>
      </c>
      <c r="AH157" s="212" t="s">
        <v>224</v>
      </c>
      <c r="AI157" s="212" t="s">
        <v>449</v>
      </c>
      <c r="AJ157" s="212" t="s">
        <v>351</v>
      </c>
      <c r="AK157" s="212" t="s">
        <v>531</v>
      </c>
      <c r="AL157" s="212" t="s">
        <v>397</v>
      </c>
      <c r="AM157" s="214" t="b">
        <v>1</v>
      </c>
      <c r="AN157" s="214" t="b">
        <v>0</v>
      </c>
      <c r="AO157" s="212" t="s">
        <v>352</v>
      </c>
      <c r="AP157" s="212" t="s">
        <v>353</v>
      </c>
      <c r="AQ157" s="214">
        <v>84.159480000000002</v>
      </c>
      <c r="AR157" s="214" t="b">
        <v>0</v>
      </c>
      <c r="AS157" s="212" t="s">
        <v>534</v>
      </c>
      <c r="AU157" s="222" t="s">
        <v>819</v>
      </c>
    </row>
    <row r="158" spans="1:47" x14ac:dyDescent="0.25">
      <c r="A158" s="245">
        <f t="shared" si="23"/>
        <v>158</v>
      </c>
      <c r="B158" s="246" t="str">
        <f t="shared" si="16"/>
        <v>Oil Field - Tank</v>
      </c>
      <c r="C158" s="246" t="str">
        <f ca="1">IF(B158="","",VLOOKUP(D158,'Species Data'!B:E,4,FALSE))</f>
        <v>N_but</v>
      </c>
      <c r="D158" s="246">
        <f t="shared" ca="1" si="17"/>
        <v>592</v>
      </c>
      <c r="E158" s="246">
        <f t="shared" ca="1" si="18"/>
        <v>15.208399999999999</v>
      </c>
      <c r="F158" s="246" t="str">
        <f t="shared" ca="1" si="19"/>
        <v>N-butane</v>
      </c>
      <c r="G158" s="246">
        <f t="shared" ca="1" si="20"/>
        <v>58.122199999999992</v>
      </c>
      <c r="H158" s="204">
        <f ca="1">IF(G158="","",IF(VLOOKUP(Tank!F158,'Species Data'!D:F,3,FALSE)=0,"X",IF(G158&lt;44.1,2,1)))</f>
        <v>1</v>
      </c>
      <c r="I158" s="204">
        <f t="shared" ca="1" si="21"/>
        <v>8.8589583793337763</v>
      </c>
      <c r="J158" s="247">
        <f ca="1">IF(I158="","",IF(COUNTIF($D$12:D158,D158)=1,IF(H158=1,I158*H158,IF(H158="X","X",0)),0))</f>
        <v>0</v>
      </c>
      <c r="K158" s="248">
        <f t="shared" ca="1" si="22"/>
        <v>0</v>
      </c>
      <c r="L158" s="212" t="s">
        <v>679</v>
      </c>
      <c r="M158" s="212" t="s">
        <v>448</v>
      </c>
      <c r="N158" s="212" t="s">
        <v>470</v>
      </c>
      <c r="O158" s="213">
        <v>41419</v>
      </c>
      <c r="P158" s="212" t="s">
        <v>531</v>
      </c>
      <c r="Q158" s="214">
        <v>100</v>
      </c>
      <c r="R158" s="212" t="s">
        <v>445</v>
      </c>
      <c r="S158" s="212" t="s">
        <v>532</v>
      </c>
      <c r="T158" s="212" t="s">
        <v>445</v>
      </c>
      <c r="U158" s="212" t="s">
        <v>446</v>
      </c>
      <c r="V158" s="214" t="b">
        <v>1</v>
      </c>
      <c r="W158" s="214">
        <v>1989</v>
      </c>
      <c r="X158" s="214">
        <v>5</v>
      </c>
      <c r="Y158" s="214">
        <v>2</v>
      </c>
      <c r="Z158" s="214">
        <v>4</v>
      </c>
      <c r="AA158" s="212" t="s">
        <v>447</v>
      </c>
      <c r="AB158" s="212" t="s">
        <v>531</v>
      </c>
      <c r="AC158" s="212" t="s">
        <v>533</v>
      </c>
      <c r="AD158" s="214">
        <v>1.635831</v>
      </c>
      <c r="AE158" s="214">
        <v>592</v>
      </c>
      <c r="AF158" s="214">
        <v>15.208399999999999</v>
      </c>
      <c r="AG158" s="214">
        <v>-99</v>
      </c>
      <c r="AH158" s="212" t="s">
        <v>224</v>
      </c>
      <c r="AI158" s="212" t="s">
        <v>449</v>
      </c>
      <c r="AJ158" s="212" t="s">
        <v>273</v>
      </c>
      <c r="AK158" s="212" t="s">
        <v>531</v>
      </c>
      <c r="AL158" s="212" t="s">
        <v>377</v>
      </c>
      <c r="AM158" s="214" t="b">
        <v>1</v>
      </c>
      <c r="AN158" s="214" t="b">
        <v>0</v>
      </c>
      <c r="AO158" s="212" t="s">
        <v>274</v>
      </c>
      <c r="AP158" s="212" t="s">
        <v>275</v>
      </c>
      <c r="AQ158" s="214">
        <v>58.122199999999992</v>
      </c>
      <c r="AR158" s="214" t="b">
        <v>0</v>
      </c>
      <c r="AS158" s="212" t="s">
        <v>534</v>
      </c>
      <c r="AU158" s="222" t="s">
        <v>819</v>
      </c>
    </row>
    <row r="159" spans="1:47" x14ac:dyDescent="0.25">
      <c r="A159" s="245">
        <f t="shared" si="23"/>
        <v>159</v>
      </c>
      <c r="B159" s="246" t="str">
        <f t="shared" si="16"/>
        <v>Oil Field - Tank</v>
      </c>
      <c r="C159" s="246" t="str">
        <f ca="1">IF(B159="","",VLOOKUP(D159,'Species Data'!B:E,4,FALSE))</f>
        <v>N_dec</v>
      </c>
      <c r="D159" s="246">
        <f t="shared" ca="1" si="17"/>
        <v>598</v>
      </c>
      <c r="E159" s="246">
        <f t="shared" ca="1" si="18"/>
        <v>4.5100000000000001E-2</v>
      </c>
      <c r="F159" s="246" t="str">
        <f t="shared" ca="1" si="19"/>
        <v>N-decane</v>
      </c>
      <c r="G159" s="246">
        <f t="shared" ca="1" si="20"/>
        <v>142.28167999999999</v>
      </c>
      <c r="H159" s="204">
        <f ca="1">IF(G159="","",IF(VLOOKUP(Tank!F159,'Species Data'!D:F,3,FALSE)=0,"X",IF(G159&lt;44.1,2,1)))</f>
        <v>1</v>
      </c>
      <c r="I159" s="204">
        <f t="shared" ca="1" si="21"/>
        <v>1.7526834924281948E-2</v>
      </c>
      <c r="J159" s="247">
        <f ca="1">IF(I159="","",IF(COUNTIF($D$12:D159,D159)=1,IF(H159=1,I159*H159,IF(H159="X","X",0)),0))</f>
        <v>0</v>
      </c>
      <c r="K159" s="248">
        <f t="shared" ca="1" si="22"/>
        <v>0</v>
      </c>
      <c r="L159" s="212" t="s">
        <v>679</v>
      </c>
      <c r="M159" s="212" t="s">
        <v>448</v>
      </c>
      <c r="N159" s="212" t="s">
        <v>470</v>
      </c>
      <c r="O159" s="213">
        <v>41419</v>
      </c>
      <c r="P159" s="212" t="s">
        <v>531</v>
      </c>
      <c r="Q159" s="214">
        <v>100</v>
      </c>
      <c r="R159" s="212" t="s">
        <v>445</v>
      </c>
      <c r="S159" s="212" t="s">
        <v>532</v>
      </c>
      <c r="T159" s="212" t="s">
        <v>445</v>
      </c>
      <c r="U159" s="212" t="s">
        <v>446</v>
      </c>
      <c r="V159" s="214" t="b">
        <v>1</v>
      </c>
      <c r="W159" s="214">
        <v>1989</v>
      </c>
      <c r="X159" s="214">
        <v>5</v>
      </c>
      <c r="Y159" s="214">
        <v>2</v>
      </c>
      <c r="Z159" s="214">
        <v>4</v>
      </c>
      <c r="AA159" s="212" t="s">
        <v>447</v>
      </c>
      <c r="AB159" s="212" t="s">
        <v>531</v>
      </c>
      <c r="AC159" s="212" t="s">
        <v>533</v>
      </c>
      <c r="AD159" s="214">
        <v>1.635831</v>
      </c>
      <c r="AE159" s="214">
        <v>598</v>
      </c>
      <c r="AF159" s="214">
        <v>4.5100000000000001E-2</v>
      </c>
      <c r="AG159" s="214">
        <v>-99</v>
      </c>
      <c r="AH159" s="212" t="s">
        <v>224</v>
      </c>
      <c r="AI159" s="212" t="s">
        <v>449</v>
      </c>
      <c r="AJ159" s="212" t="s">
        <v>414</v>
      </c>
      <c r="AK159" s="212" t="s">
        <v>531</v>
      </c>
      <c r="AL159" s="212" t="s">
        <v>452</v>
      </c>
      <c r="AM159" s="214" t="b">
        <v>1</v>
      </c>
      <c r="AN159" s="214" t="b">
        <v>0</v>
      </c>
      <c r="AO159" s="212" t="s">
        <v>415</v>
      </c>
      <c r="AP159" s="212" t="s">
        <v>416</v>
      </c>
      <c r="AQ159" s="214">
        <v>142.28167999999999</v>
      </c>
      <c r="AR159" s="214" t="b">
        <v>0</v>
      </c>
      <c r="AS159" s="212" t="s">
        <v>534</v>
      </c>
      <c r="AU159" s="222" t="s">
        <v>819</v>
      </c>
    </row>
    <row r="160" spans="1:47" x14ac:dyDescent="0.25">
      <c r="A160" s="245">
        <f t="shared" si="23"/>
        <v>160</v>
      </c>
      <c r="B160" s="246" t="str">
        <f t="shared" si="16"/>
        <v>Oil Field - Tank</v>
      </c>
      <c r="C160" s="246" t="str">
        <f ca="1">IF(B160="","",VLOOKUP(D160,'Species Data'!B:E,4,FALSE))</f>
        <v>N_hep</v>
      </c>
      <c r="D160" s="246">
        <f t="shared" ca="1" si="17"/>
        <v>600</v>
      </c>
      <c r="E160" s="246">
        <f t="shared" ca="1" si="18"/>
        <v>0.15620000000000001</v>
      </c>
      <c r="F160" s="246" t="str">
        <f t="shared" ca="1" si="19"/>
        <v>N-heptane</v>
      </c>
      <c r="G160" s="246">
        <f t="shared" ca="1" si="20"/>
        <v>100.20194000000001</v>
      </c>
      <c r="H160" s="204">
        <f ca="1">IF(G160="","",IF(VLOOKUP(Tank!F160,'Species Data'!D:F,3,FALSE)=0,"X",IF(G160&lt;44.1,2,1)))</f>
        <v>1</v>
      </c>
      <c r="I160" s="204">
        <f t="shared" ca="1" si="21"/>
        <v>0.55093195561344066</v>
      </c>
      <c r="J160" s="247">
        <f ca="1">IF(I160="","",IF(COUNTIF($D$12:D160,D160)=1,IF(H160=1,I160*H160,IF(H160="X","X",0)),0))</f>
        <v>0</v>
      </c>
      <c r="K160" s="248">
        <f t="shared" ca="1" si="22"/>
        <v>0</v>
      </c>
      <c r="L160" s="212" t="s">
        <v>679</v>
      </c>
      <c r="M160" s="212" t="s">
        <v>448</v>
      </c>
      <c r="N160" s="212" t="s">
        <v>470</v>
      </c>
      <c r="O160" s="213">
        <v>41419</v>
      </c>
      <c r="P160" s="212" t="s">
        <v>531</v>
      </c>
      <c r="Q160" s="214">
        <v>100</v>
      </c>
      <c r="R160" s="212" t="s">
        <v>445</v>
      </c>
      <c r="S160" s="212" t="s">
        <v>532</v>
      </c>
      <c r="T160" s="212" t="s">
        <v>445</v>
      </c>
      <c r="U160" s="212" t="s">
        <v>446</v>
      </c>
      <c r="V160" s="214" t="b">
        <v>1</v>
      </c>
      <c r="W160" s="214">
        <v>1989</v>
      </c>
      <c r="X160" s="214">
        <v>5</v>
      </c>
      <c r="Y160" s="214">
        <v>2</v>
      </c>
      <c r="Z160" s="214">
        <v>4</v>
      </c>
      <c r="AA160" s="212" t="s">
        <v>447</v>
      </c>
      <c r="AB160" s="212" t="s">
        <v>531</v>
      </c>
      <c r="AC160" s="212" t="s">
        <v>533</v>
      </c>
      <c r="AD160" s="214">
        <v>1.635831</v>
      </c>
      <c r="AE160" s="214">
        <v>600</v>
      </c>
      <c r="AF160" s="214">
        <v>0.15620000000000001</v>
      </c>
      <c r="AG160" s="214">
        <v>-99</v>
      </c>
      <c r="AH160" s="212" t="s">
        <v>224</v>
      </c>
      <c r="AI160" s="212" t="s">
        <v>449</v>
      </c>
      <c r="AJ160" s="212" t="s">
        <v>276</v>
      </c>
      <c r="AK160" s="212" t="s">
        <v>531</v>
      </c>
      <c r="AL160" s="212" t="s">
        <v>378</v>
      </c>
      <c r="AM160" s="214" t="b">
        <v>1</v>
      </c>
      <c r="AN160" s="214" t="b">
        <v>0</v>
      </c>
      <c r="AO160" s="212" t="s">
        <v>277</v>
      </c>
      <c r="AP160" s="212" t="s">
        <v>278</v>
      </c>
      <c r="AQ160" s="214">
        <v>100.20194000000001</v>
      </c>
      <c r="AR160" s="214" t="b">
        <v>0</v>
      </c>
      <c r="AS160" s="212" t="s">
        <v>534</v>
      </c>
      <c r="AU160" s="222" t="s">
        <v>819</v>
      </c>
    </row>
    <row r="161" spans="1:47" x14ac:dyDescent="0.25">
      <c r="A161" s="245">
        <f t="shared" si="23"/>
        <v>161</v>
      </c>
      <c r="B161" s="246" t="str">
        <f t="shared" si="16"/>
        <v>Oil Field - Tank</v>
      </c>
      <c r="C161" s="246" t="str">
        <f ca="1">IF(B161="","",VLOOKUP(D161,'Species Data'!B:E,4,FALSE))</f>
        <v>N_hex</v>
      </c>
      <c r="D161" s="246">
        <f t="shared" ca="1" si="17"/>
        <v>601</v>
      </c>
      <c r="E161" s="246">
        <f t="shared" ca="1" si="18"/>
        <v>0.88229999999999997</v>
      </c>
      <c r="F161" s="246" t="str">
        <f t="shared" ca="1" si="19"/>
        <v>N-hexane</v>
      </c>
      <c r="G161" s="246">
        <f t="shared" ca="1" si="20"/>
        <v>86.175359999999998</v>
      </c>
      <c r="H161" s="204">
        <f ca="1">IF(G161="","",IF(VLOOKUP(Tank!F161,'Species Data'!D:F,3,FALSE)=0,"X",IF(G161&lt;44.1,2,1)))</f>
        <v>1</v>
      </c>
      <c r="I161" s="204">
        <f t="shared" ca="1" si="21"/>
        <v>1.4244870084086145</v>
      </c>
      <c r="J161" s="247">
        <f ca="1">IF(I161="","",IF(COUNTIF($D$12:D161,D161)=1,IF(H161=1,I161*H161,IF(H161="X","X",0)),0))</f>
        <v>0</v>
      </c>
      <c r="K161" s="248">
        <f t="shared" ca="1" si="22"/>
        <v>0</v>
      </c>
      <c r="L161" s="212" t="s">
        <v>679</v>
      </c>
      <c r="M161" s="212" t="s">
        <v>448</v>
      </c>
      <c r="N161" s="212" t="s">
        <v>470</v>
      </c>
      <c r="O161" s="213">
        <v>41419</v>
      </c>
      <c r="P161" s="212" t="s">
        <v>531</v>
      </c>
      <c r="Q161" s="214">
        <v>100</v>
      </c>
      <c r="R161" s="212" t="s">
        <v>445</v>
      </c>
      <c r="S161" s="212" t="s">
        <v>532</v>
      </c>
      <c r="T161" s="212" t="s">
        <v>445</v>
      </c>
      <c r="U161" s="212" t="s">
        <v>446</v>
      </c>
      <c r="V161" s="214" t="b">
        <v>1</v>
      </c>
      <c r="W161" s="214">
        <v>1989</v>
      </c>
      <c r="X161" s="214">
        <v>5</v>
      </c>
      <c r="Y161" s="214">
        <v>2</v>
      </c>
      <c r="Z161" s="214">
        <v>4</v>
      </c>
      <c r="AA161" s="212" t="s">
        <v>447</v>
      </c>
      <c r="AB161" s="212" t="s">
        <v>531</v>
      </c>
      <c r="AC161" s="212" t="s">
        <v>533</v>
      </c>
      <c r="AD161" s="214">
        <v>1.635831</v>
      </c>
      <c r="AE161" s="214">
        <v>601</v>
      </c>
      <c r="AF161" s="214">
        <v>0.88229999999999997</v>
      </c>
      <c r="AG161" s="214">
        <v>-99</v>
      </c>
      <c r="AH161" s="212" t="s">
        <v>224</v>
      </c>
      <c r="AI161" s="212" t="s">
        <v>449</v>
      </c>
      <c r="AJ161" s="212" t="s">
        <v>279</v>
      </c>
      <c r="AK161" s="212" t="s">
        <v>531</v>
      </c>
      <c r="AL161" s="212" t="s">
        <v>379</v>
      </c>
      <c r="AM161" s="214" t="b">
        <v>1</v>
      </c>
      <c r="AN161" s="214" t="b">
        <v>1</v>
      </c>
      <c r="AO161" s="212" t="s">
        <v>280</v>
      </c>
      <c r="AP161" s="212" t="s">
        <v>281</v>
      </c>
      <c r="AQ161" s="214">
        <v>86.175359999999998</v>
      </c>
      <c r="AR161" s="214" t="b">
        <v>0</v>
      </c>
      <c r="AS161" s="212" t="s">
        <v>534</v>
      </c>
      <c r="AU161" s="222" t="s">
        <v>819</v>
      </c>
    </row>
    <row r="162" spans="1:47" x14ac:dyDescent="0.25">
      <c r="A162" s="245">
        <f t="shared" si="23"/>
        <v>162</v>
      </c>
      <c r="B162" s="246" t="str">
        <f t="shared" si="16"/>
        <v>Oil Field - Tank</v>
      </c>
      <c r="C162" s="246" t="str">
        <f ca="1">IF(B162="","",VLOOKUP(D162,'Species Data'!B:E,4,FALSE))</f>
        <v>N_nonane</v>
      </c>
      <c r="D162" s="246">
        <f t="shared" ca="1" si="17"/>
        <v>603</v>
      </c>
      <c r="E162" s="246">
        <f t="shared" ca="1" si="18"/>
        <v>4.0800000000000003E-2</v>
      </c>
      <c r="F162" s="246" t="str">
        <f t="shared" ca="1" si="19"/>
        <v>N-nonane</v>
      </c>
      <c r="G162" s="246">
        <f t="shared" ca="1" si="20"/>
        <v>128.2551</v>
      </c>
      <c r="H162" s="204">
        <f ca="1">IF(G162="","",IF(VLOOKUP(Tank!F162,'Species Data'!D:F,3,FALSE)=0,"X",IF(G162&lt;44.1,2,1)))</f>
        <v>1</v>
      </c>
      <c r="I162" s="204">
        <f t="shared" ca="1" si="21"/>
        <v>6.0467247152239355E-2</v>
      </c>
      <c r="J162" s="247">
        <f ca="1">IF(I162="","",IF(COUNTIF($D$12:D162,D162)=1,IF(H162=1,I162*H162,IF(H162="X","X",0)),0))</f>
        <v>0</v>
      </c>
      <c r="K162" s="248">
        <f t="shared" ca="1" si="22"/>
        <v>0</v>
      </c>
      <c r="L162" s="212" t="s">
        <v>679</v>
      </c>
      <c r="M162" s="212" t="s">
        <v>448</v>
      </c>
      <c r="N162" s="212" t="s">
        <v>470</v>
      </c>
      <c r="O162" s="213">
        <v>41419</v>
      </c>
      <c r="P162" s="212" t="s">
        <v>531</v>
      </c>
      <c r="Q162" s="214">
        <v>100</v>
      </c>
      <c r="R162" s="212" t="s">
        <v>445</v>
      </c>
      <c r="S162" s="212" t="s">
        <v>532</v>
      </c>
      <c r="T162" s="212" t="s">
        <v>445</v>
      </c>
      <c r="U162" s="212" t="s">
        <v>446</v>
      </c>
      <c r="V162" s="214" t="b">
        <v>1</v>
      </c>
      <c r="W162" s="214">
        <v>1989</v>
      </c>
      <c r="X162" s="214">
        <v>5</v>
      </c>
      <c r="Y162" s="214">
        <v>2</v>
      </c>
      <c r="Z162" s="214">
        <v>4</v>
      </c>
      <c r="AA162" s="212" t="s">
        <v>447</v>
      </c>
      <c r="AB162" s="212" t="s">
        <v>531</v>
      </c>
      <c r="AC162" s="212" t="s">
        <v>533</v>
      </c>
      <c r="AD162" s="214">
        <v>1.635831</v>
      </c>
      <c r="AE162" s="214">
        <v>603</v>
      </c>
      <c r="AF162" s="214">
        <v>4.0800000000000003E-2</v>
      </c>
      <c r="AG162" s="214">
        <v>-99</v>
      </c>
      <c r="AH162" s="212" t="s">
        <v>224</v>
      </c>
      <c r="AI162" s="212" t="s">
        <v>449</v>
      </c>
      <c r="AJ162" s="212" t="s">
        <v>417</v>
      </c>
      <c r="AK162" s="212" t="s">
        <v>531</v>
      </c>
      <c r="AL162" s="212" t="s">
        <v>453</v>
      </c>
      <c r="AM162" s="214" t="b">
        <v>1</v>
      </c>
      <c r="AN162" s="214" t="b">
        <v>0</v>
      </c>
      <c r="AO162" s="212" t="s">
        <v>418</v>
      </c>
      <c r="AP162" s="212" t="s">
        <v>419</v>
      </c>
      <c r="AQ162" s="214">
        <v>128.2551</v>
      </c>
      <c r="AR162" s="214" t="b">
        <v>0</v>
      </c>
      <c r="AS162" s="212" t="s">
        <v>534</v>
      </c>
      <c r="AU162" s="222" t="s">
        <v>819</v>
      </c>
    </row>
    <row r="163" spans="1:47" x14ac:dyDescent="0.25">
      <c r="A163" s="245">
        <f t="shared" si="23"/>
        <v>163</v>
      </c>
      <c r="B163" s="246" t="str">
        <f t="shared" si="16"/>
        <v>Oil Field - Tank</v>
      </c>
      <c r="C163" s="246" t="str">
        <f ca="1">IF(B163="","",VLOOKUP(D163,'Species Data'!B:E,4,FALSE))</f>
        <v>N_octane</v>
      </c>
      <c r="D163" s="246">
        <f t="shared" ca="1" si="17"/>
        <v>604</v>
      </c>
      <c r="E163" s="246">
        <f t="shared" ca="1" si="18"/>
        <v>0.33710000000000001</v>
      </c>
      <c r="F163" s="246" t="str">
        <f t="shared" ca="1" si="19"/>
        <v>N-octane</v>
      </c>
      <c r="G163" s="246">
        <f t="shared" ca="1" si="20"/>
        <v>114.22852</v>
      </c>
      <c r="H163" s="204">
        <f ca="1">IF(G163="","",IF(VLOOKUP(Tank!F163,'Species Data'!D:F,3,FALSE)=0,"X",IF(G163&lt;44.1,2,1)))</f>
        <v>1</v>
      </c>
      <c r="I163" s="204">
        <f t="shared" ca="1" si="21"/>
        <v>0.21590207265989761</v>
      </c>
      <c r="J163" s="247">
        <f ca="1">IF(I163="","",IF(COUNTIF($D$12:D163,D163)=1,IF(H163=1,I163*H163,IF(H163="X","X",0)),0))</f>
        <v>0</v>
      </c>
      <c r="K163" s="248">
        <f t="shared" ca="1" si="22"/>
        <v>0</v>
      </c>
      <c r="L163" s="212" t="s">
        <v>679</v>
      </c>
      <c r="M163" s="212" t="s">
        <v>448</v>
      </c>
      <c r="N163" s="212" t="s">
        <v>470</v>
      </c>
      <c r="O163" s="213">
        <v>41419</v>
      </c>
      <c r="P163" s="212" t="s">
        <v>531</v>
      </c>
      <c r="Q163" s="214">
        <v>100</v>
      </c>
      <c r="R163" s="212" t="s">
        <v>445</v>
      </c>
      <c r="S163" s="212" t="s">
        <v>532</v>
      </c>
      <c r="T163" s="212" t="s">
        <v>445</v>
      </c>
      <c r="U163" s="212" t="s">
        <v>446</v>
      </c>
      <c r="V163" s="214" t="b">
        <v>1</v>
      </c>
      <c r="W163" s="214">
        <v>1989</v>
      </c>
      <c r="X163" s="214">
        <v>5</v>
      </c>
      <c r="Y163" s="214">
        <v>2</v>
      </c>
      <c r="Z163" s="214">
        <v>4</v>
      </c>
      <c r="AA163" s="212" t="s">
        <v>447</v>
      </c>
      <c r="AB163" s="212" t="s">
        <v>531</v>
      </c>
      <c r="AC163" s="212" t="s">
        <v>533</v>
      </c>
      <c r="AD163" s="214">
        <v>1.635831</v>
      </c>
      <c r="AE163" s="214">
        <v>604</v>
      </c>
      <c r="AF163" s="214">
        <v>0.33710000000000001</v>
      </c>
      <c r="AG163" s="214">
        <v>-99</v>
      </c>
      <c r="AH163" s="212" t="s">
        <v>224</v>
      </c>
      <c r="AI163" s="212" t="s">
        <v>449</v>
      </c>
      <c r="AJ163" s="212" t="s">
        <v>282</v>
      </c>
      <c r="AK163" s="212" t="s">
        <v>531</v>
      </c>
      <c r="AL163" s="212" t="s">
        <v>380</v>
      </c>
      <c r="AM163" s="214" t="b">
        <v>1</v>
      </c>
      <c r="AN163" s="214" t="b">
        <v>0</v>
      </c>
      <c r="AO163" s="212" t="s">
        <v>283</v>
      </c>
      <c r="AP163" s="212" t="s">
        <v>284</v>
      </c>
      <c r="AQ163" s="214">
        <v>114.22852</v>
      </c>
      <c r="AR163" s="214" t="b">
        <v>0</v>
      </c>
      <c r="AS163" s="212" t="s">
        <v>534</v>
      </c>
      <c r="AU163" s="222" t="s">
        <v>819</v>
      </c>
    </row>
    <row r="164" spans="1:47" x14ac:dyDescent="0.25">
      <c r="A164" s="245">
        <f t="shared" si="23"/>
        <v>164</v>
      </c>
      <c r="B164" s="246" t="str">
        <f t="shared" si="16"/>
        <v>Oil Field - Tank</v>
      </c>
      <c r="C164" s="246" t="str">
        <f ca="1">IF(B164="","",VLOOKUP(D164,'Species Data'!B:E,4,FALSE))</f>
        <v>N_pentane</v>
      </c>
      <c r="D164" s="246">
        <f t="shared" ca="1" si="17"/>
        <v>605</v>
      </c>
      <c r="E164" s="246">
        <f t="shared" ca="1" si="18"/>
        <v>3.5078999999999998</v>
      </c>
      <c r="F164" s="246" t="str">
        <f t="shared" ca="1" si="19"/>
        <v>N-pentane</v>
      </c>
      <c r="G164" s="246">
        <f t="shared" ca="1" si="20"/>
        <v>72.148780000000002</v>
      </c>
      <c r="H164" s="204">
        <f ca="1">IF(G164="","",IF(VLOOKUP(Tank!F164,'Species Data'!D:F,3,FALSE)=0,"X",IF(G164&lt;44.1,2,1)))</f>
        <v>1</v>
      </c>
      <c r="I164" s="204">
        <f t="shared" ca="1" si="21"/>
        <v>3.2465311666992012</v>
      </c>
      <c r="J164" s="247">
        <f ca="1">IF(I164="","",IF(COUNTIF($D$12:D164,D164)=1,IF(H164=1,I164*H164,IF(H164="X","X",0)),0))</f>
        <v>0</v>
      </c>
      <c r="K164" s="248">
        <f t="shared" ca="1" si="22"/>
        <v>0</v>
      </c>
      <c r="L164" s="212" t="s">
        <v>679</v>
      </c>
      <c r="M164" s="212" t="s">
        <v>448</v>
      </c>
      <c r="N164" s="212" t="s">
        <v>470</v>
      </c>
      <c r="O164" s="213">
        <v>41419</v>
      </c>
      <c r="P164" s="212" t="s">
        <v>531</v>
      </c>
      <c r="Q164" s="214">
        <v>100</v>
      </c>
      <c r="R164" s="212" t="s">
        <v>445</v>
      </c>
      <c r="S164" s="212" t="s">
        <v>532</v>
      </c>
      <c r="T164" s="212" t="s">
        <v>445</v>
      </c>
      <c r="U164" s="212" t="s">
        <v>446</v>
      </c>
      <c r="V164" s="214" t="b">
        <v>1</v>
      </c>
      <c r="W164" s="214">
        <v>1989</v>
      </c>
      <c r="X164" s="214">
        <v>5</v>
      </c>
      <c r="Y164" s="214">
        <v>2</v>
      </c>
      <c r="Z164" s="214">
        <v>4</v>
      </c>
      <c r="AA164" s="212" t="s">
        <v>447</v>
      </c>
      <c r="AB164" s="212" t="s">
        <v>531</v>
      </c>
      <c r="AC164" s="212" t="s">
        <v>533</v>
      </c>
      <c r="AD164" s="214">
        <v>1.635831</v>
      </c>
      <c r="AE164" s="214">
        <v>605</v>
      </c>
      <c r="AF164" s="214">
        <v>3.5078999999999998</v>
      </c>
      <c r="AG164" s="214">
        <v>-99</v>
      </c>
      <c r="AH164" s="212" t="s">
        <v>224</v>
      </c>
      <c r="AI164" s="212" t="s">
        <v>449</v>
      </c>
      <c r="AJ164" s="212" t="s">
        <v>285</v>
      </c>
      <c r="AK164" s="212" t="s">
        <v>531</v>
      </c>
      <c r="AL164" s="212" t="s">
        <v>381</v>
      </c>
      <c r="AM164" s="214" t="b">
        <v>1</v>
      </c>
      <c r="AN164" s="214" t="b">
        <v>0</v>
      </c>
      <c r="AO164" s="212" t="s">
        <v>286</v>
      </c>
      <c r="AP164" s="212" t="s">
        <v>287</v>
      </c>
      <c r="AQ164" s="214">
        <v>72.148780000000002</v>
      </c>
      <c r="AR164" s="214" t="b">
        <v>0</v>
      </c>
      <c r="AS164" s="212" t="s">
        <v>534</v>
      </c>
      <c r="AU164" s="222" t="s">
        <v>819</v>
      </c>
    </row>
    <row r="165" spans="1:47" x14ac:dyDescent="0.25">
      <c r="A165" s="245">
        <f t="shared" si="23"/>
        <v>165</v>
      </c>
      <c r="B165" s="246" t="str">
        <f t="shared" si="16"/>
        <v>Oil Field - Tank</v>
      </c>
      <c r="C165" s="246" t="str">
        <f ca="1">IF(B165="","",VLOOKUP(D165,'Species Data'!B:E,4,FALSE))</f>
        <v>O_xylene</v>
      </c>
      <c r="D165" s="246">
        <f t="shared" ca="1" si="17"/>
        <v>620</v>
      </c>
      <c r="E165" s="246">
        <f t="shared" ca="1" si="18"/>
        <v>5.04E-2</v>
      </c>
      <c r="F165" s="246" t="str">
        <f t="shared" ca="1" si="19"/>
        <v>O-xylene</v>
      </c>
      <c r="G165" s="246">
        <f t="shared" ca="1" si="20"/>
        <v>106.16500000000001</v>
      </c>
      <c r="H165" s="204">
        <f ca="1">IF(G165="","",IF(VLOOKUP(Tank!F165,'Species Data'!D:F,3,FALSE)=0,"X",IF(G165&lt;44.1,2,1)))</f>
        <v>1</v>
      </c>
      <c r="I165" s="204">
        <f t="shared" ca="1" si="21"/>
        <v>5.0080480772615434E-2</v>
      </c>
      <c r="J165" s="247">
        <f ca="1">IF(I165="","",IF(COUNTIF($D$12:D165,D165)=1,IF(H165=1,I165*H165,IF(H165="X","X",0)),0))</f>
        <v>0</v>
      </c>
      <c r="K165" s="248">
        <f t="shared" ca="1" si="22"/>
        <v>0</v>
      </c>
      <c r="L165" s="212" t="s">
        <v>679</v>
      </c>
      <c r="M165" s="212" t="s">
        <v>448</v>
      </c>
      <c r="N165" s="212" t="s">
        <v>470</v>
      </c>
      <c r="O165" s="213">
        <v>41419</v>
      </c>
      <c r="P165" s="212" t="s">
        <v>531</v>
      </c>
      <c r="Q165" s="214">
        <v>100</v>
      </c>
      <c r="R165" s="212" t="s">
        <v>445</v>
      </c>
      <c r="S165" s="212" t="s">
        <v>532</v>
      </c>
      <c r="T165" s="212" t="s">
        <v>445</v>
      </c>
      <c r="U165" s="212" t="s">
        <v>446</v>
      </c>
      <c r="V165" s="214" t="b">
        <v>1</v>
      </c>
      <c r="W165" s="214">
        <v>1989</v>
      </c>
      <c r="X165" s="214">
        <v>5</v>
      </c>
      <c r="Y165" s="214">
        <v>2</v>
      </c>
      <c r="Z165" s="214">
        <v>4</v>
      </c>
      <c r="AA165" s="212" t="s">
        <v>447</v>
      </c>
      <c r="AB165" s="212" t="s">
        <v>531</v>
      </c>
      <c r="AC165" s="212" t="s">
        <v>533</v>
      </c>
      <c r="AD165" s="214">
        <v>1.635831</v>
      </c>
      <c r="AE165" s="214">
        <v>620</v>
      </c>
      <c r="AF165" s="214">
        <v>5.04E-2</v>
      </c>
      <c r="AG165" s="214">
        <v>-99</v>
      </c>
      <c r="AH165" s="212" t="s">
        <v>224</v>
      </c>
      <c r="AI165" s="212" t="s">
        <v>449</v>
      </c>
      <c r="AJ165" s="212" t="s">
        <v>354</v>
      </c>
      <c r="AK165" s="212" t="s">
        <v>531</v>
      </c>
      <c r="AL165" s="212" t="s">
        <v>398</v>
      </c>
      <c r="AM165" s="214" t="b">
        <v>1</v>
      </c>
      <c r="AN165" s="214" t="b">
        <v>1</v>
      </c>
      <c r="AO165" s="212" t="s">
        <v>355</v>
      </c>
      <c r="AP165" s="212" t="s">
        <v>356</v>
      </c>
      <c r="AQ165" s="214">
        <v>106.16500000000001</v>
      </c>
      <c r="AR165" s="214" t="b">
        <v>0</v>
      </c>
      <c r="AS165" s="212" t="s">
        <v>534</v>
      </c>
      <c r="AU165" s="222" t="s">
        <v>819</v>
      </c>
    </row>
    <row r="166" spans="1:47" ht="13.5" customHeight="1" x14ac:dyDescent="0.25">
      <c r="A166" s="245">
        <f t="shared" si="23"/>
        <v>166</v>
      </c>
      <c r="B166" s="246" t="str">
        <f t="shared" si="16"/>
        <v>Oil Field - Tank</v>
      </c>
      <c r="C166" s="246" t="str">
        <f ca="1">IF(B166="","",VLOOKUP(D166,'Species Data'!B:E,4,FALSE))</f>
        <v>P_xylene</v>
      </c>
      <c r="D166" s="246">
        <f t="shared" ca="1" si="17"/>
        <v>648</v>
      </c>
      <c r="E166" s="246">
        <f t="shared" ca="1" si="18"/>
        <v>4.6699999999999998E-2</v>
      </c>
      <c r="F166" s="246" t="str">
        <f t="shared" ca="1" si="19"/>
        <v>P-xylene</v>
      </c>
      <c r="G166" s="246">
        <f t="shared" ca="1" si="20"/>
        <v>106.16500000000001</v>
      </c>
      <c r="H166" s="204">
        <f ca="1">IF(G166="","",IF(VLOOKUP(Tank!F166,'Species Data'!D:F,3,FALSE)=0,"X",IF(G166&lt;44.1,2,1)))</f>
        <v>1</v>
      </c>
      <c r="I166" s="204">
        <f t="shared" ca="1" si="21"/>
        <v>8.2000787207557213E-2</v>
      </c>
      <c r="J166" s="247">
        <f ca="1">IF(I166="","",IF(COUNTIF($D$12:D166,D166)=1,IF(H166=1,I166*H166,IF(H166="X","X",0)),0))</f>
        <v>0</v>
      </c>
      <c r="K166" s="248">
        <f t="shared" ca="1" si="22"/>
        <v>0</v>
      </c>
      <c r="L166" s="212" t="s">
        <v>679</v>
      </c>
      <c r="M166" s="212" t="s">
        <v>448</v>
      </c>
      <c r="N166" s="212" t="s">
        <v>470</v>
      </c>
      <c r="O166" s="213">
        <v>41419</v>
      </c>
      <c r="P166" s="212" t="s">
        <v>531</v>
      </c>
      <c r="Q166" s="214">
        <v>100</v>
      </c>
      <c r="R166" s="212" t="s">
        <v>445</v>
      </c>
      <c r="S166" s="212" t="s">
        <v>532</v>
      </c>
      <c r="T166" s="212" t="s">
        <v>445</v>
      </c>
      <c r="U166" s="212" t="s">
        <v>446</v>
      </c>
      <c r="V166" s="214" t="b">
        <v>1</v>
      </c>
      <c r="W166" s="214">
        <v>1989</v>
      </c>
      <c r="X166" s="214">
        <v>5</v>
      </c>
      <c r="Y166" s="214">
        <v>2</v>
      </c>
      <c r="Z166" s="214">
        <v>4</v>
      </c>
      <c r="AA166" s="212" t="s">
        <v>447</v>
      </c>
      <c r="AB166" s="212" t="s">
        <v>531</v>
      </c>
      <c r="AC166" s="212" t="s">
        <v>533</v>
      </c>
      <c r="AD166" s="214">
        <v>1.635831</v>
      </c>
      <c r="AE166" s="214">
        <v>648</v>
      </c>
      <c r="AF166" s="214">
        <v>4.6699999999999998E-2</v>
      </c>
      <c r="AG166" s="214">
        <v>-99</v>
      </c>
      <c r="AH166" s="212" t="s">
        <v>224</v>
      </c>
      <c r="AI166" s="212" t="s">
        <v>449</v>
      </c>
      <c r="AJ166" s="212" t="s">
        <v>433</v>
      </c>
      <c r="AK166" s="212" t="s">
        <v>531</v>
      </c>
      <c r="AL166" s="212" t="s">
        <v>459</v>
      </c>
      <c r="AM166" s="214" t="b">
        <v>0</v>
      </c>
      <c r="AN166" s="214" t="b">
        <v>1</v>
      </c>
      <c r="AO166" s="212" t="s">
        <v>434</v>
      </c>
      <c r="AP166" s="212" t="s">
        <v>435</v>
      </c>
      <c r="AQ166" s="214">
        <v>106.16500000000001</v>
      </c>
      <c r="AR166" s="214" t="b">
        <v>0</v>
      </c>
      <c r="AS166" s="212" t="s">
        <v>534</v>
      </c>
      <c r="AU166" s="222" t="s">
        <v>819</v>
      </c>
    </row>
    <row r="167" spans="1:47" s="263" customFormat="1" ht="13.5" customHeight="1" x14ac:dyDescent="0.25">
      <c r="A167" s="245">
        <f t="shared" si="23"/>
        <v>167</v>
      </c>
      <c r="B167" s="246" t="str">
        <f t="shared" si="16"/>
        <v>Oil Field - Tank</v>
      </c>
      <c r="C167" s="246" t="str">
        <f ca="1">IF(B167="","",VLOOKUP(D167,'Species Data'!B:E,4,FALSE))</f>
        <v>propane</v>
      </c>
      <c r="D167" s="246">
        <f t="shared" ca="1" si="17"/>
        <v>671</v>
      </c>
      <c r="E167" s="246">
        <f t="shared" ca="1" si="18"/>
        <v>12.620100000000001</v>
      </c>
      <c r="F167" s="246" t="str">
        <f t="shared" ca="1" si="19"/>
        <v>Propane</v>
      </c>
      <c r="G167" s="246">
        <f t="shared" ca="1" si="20"/>
        <v>44.095619999999997</v>
      </c>
      <c r="H167" s="204">
        <f ca="1">IF(G167="","",IF(VLOOKUP(Tank!F167,'Species Data'!D:F,3,FALSE)=0,"X",IF(G167&lt;44.1,2,1)))</f>
        <v>2</v>
      </c>
      <c r="I167" s="204">
        <f t="shared" ca="1" si="21"/>
        <v>10.138737331878389</v>
      </c>
      <c r="J167" s="247">
        <f ca="1">IF(I167="","",IF(COUNTIF($D$12:D167,D167)=1,IF(H167=1,I167*H167,IF(H167="X","X",0)),0))</f>
        <v>0</v>
      </c>
      <c r="K167" s="248">
        <f t="shared" ca="1" si="22"/>
        <v>0</v>
      </c>
      <c r="L167" s="212" t="s">
        <v>679</v>
      </c>
      <c r="M167" s="212" t="s">
        <v>448</v>
      </c>
      <c r="N167" s="212" t="s">
        <v>470</v>
      </c>
      <c r="O167" s="213">
        <v>41419</v>
      </c>
      <c r="P167" s="212" t="s">
        <v>531</v>
      </c>
      <c r="Q167" s="214">
        <v>100</v>
      </c>
      <c r="R167" s="212" t="s">
        <v>445</v>
      </c>
      <c r="S167" s="212" t="s">
        <v>532</v>
      </c>
      <c r="T167" s="212" t="s">
        <v>445</v>
      </c>
      <c r="U167" s="212" t="s">
        <v>446</v>
      </c>
      <c r="V167" s="214" t="b">
        <v>1</v>
      </c>
      <c r="W167" s="214">
        <v>1989</v>
      </c>
      <c r="X167" s="214">
        <v>5</v>
      </c>
      <c r="Y167" s="214">
        <v>2</v>
      </c>
      <c r="Z167" s="214">
        <v>4</v>
      </c>
      <c r="AA167" s="212" t="s">
        <v>447</v>
      </c>
      <c r="AB167" s="212" t="s">
        <v>531</v>
      </c>
      <c r="AC167" s="212" t="s">
        <v>533</v>
      </c>
      <c r="AD167" s="214">
        <v>1.635831</v>
      </c>
      <c r="AE167" s="214">
        <v>671</v>
      </c>
      <c r="AF167" s="214">
        <v>12.620100000000001</v>
      </c>
      <c r="AG167" s="214">
        <v>-99</v>
      </c>
      <c r="AH167" s="212" t="s">
        <v>224</v>
      </c>
      <c r="AI167" s="212" t="s">
        <v>449</v>
      </c>
      <c r="AJ167" s="212" t="s">
        <v>288</v>
      </c>
      <c r="AK167" s="212" t="s">
        <v>531</v>
      </c>
      <c r="AL167" s="212" t="s">
        <v>382</v>
      </c>
      <c r="AM167" s="214" t="b">
        <v>1</v>
      </c>
      <c r="AN167" s="214" t="b">
        <v>0</v>
      </c>
      <c r="AO167" s="212" t="s">
        <v>289</v>
      </c>
      <c r="AP167" s="212" t="s">
        <v>290</v>
      </c>
      <c r="AQ167" s="214">
        <v>44.095619999999997</v>
      </c>
      <c r="AR167" s="214" t="b">
        <v>0</v>
      </c>
      <c r="AS167" s="212" t="s">
        <v>534</v>
      </c>
      <c r="AU167" s="222" t="s">
        <v>819</v>
      </c>
    </row>
    <row r="168" spans="1:47" s="263" customFormat="1" ht="13.5" customHeight="1" x14ac:dyDescent="0.25">
      <c r="A168" s="245">
        <f t="shared" si="23"/>
        <v>168</v>
      </c>
      <c r="B168" s="246" t="str">
        <f t="shared" si="16"/>
        <v>Oil Field - Tank</v>
      </c>
      <c r="C168" s="246" t="str">
        <f ca="1">IF(B168="","",VLOOKUP(D168,'Species Data'!B:E,4,FALSE))</f>
        <v>toluene</v>
      </c>
      <c r="D168" s="246">
        <f t="shared" ca="1" si="17"/>
        <v>717</v>
      </c>
      <c r="E168" s="246">
        <f t="shared" ca="1" si="18"/>
        <v>7.3800000000000004E-2</v>
      </c>
      <c r="F168" s="246" t="str">
        <f t="shared" ca="1" si="19"/>
        <v>Toluene</v>
      </c>
      <c r="G168" s="246">
        <f t="shared" ca="1" si="20"/>
        <v>92.138419999999996</v>
      </c>
      <c r="H168" s="204">
        <f ca="1">IF(G168="","",IF(VLOOKUP(Tank!F168,'Species Data'!D:F,3,FALSE)=0,"X",IF(G168&lt;44.1,2,1)))</f>
        <v>1</v>
      </c>
      <c r="I168" s="204">
        <f t="shared" ca="1" si="21"/>
        <v>0.21631540996126902</v>
      </c>
      <c r="J168" s="247">
        <f ca="1">IF(I168="","",IF(COUNTIF($D$12:D168,D168)=1,IF(H168=1,I168*H168,IF(H168="X","X",0)),0))</f>
        <v>0</v>
      </c>
      <c r="K168" s="248">
        <f t="shared" ca="1" si="22"/>
        <v>0</v>
      </c>
      <c r="L168" s="212" t="s">
        <v>679</v>
      </c>
      <c r="M168" s="212" t="s">
        <v>448</v>
      </c>
      <c r="N168" s="212" t="s">
        <v>470</v>
      </c>
      <c r="O168" s="213">
        <v>41419</v>
      </c>
      <c r="P168" s="212" t="s">
        <v>531</v>
      </c>
      <c r="Q168" s="214">
        <v>100</v>
      </c>
      <c r="R168" s="212" t="s">
        <v>445</v>
      </c>
      <c r="S168" s="212" t="s">
        <v>532</v>
      </c>
      <c r="T168" s="212" t="s">
        <v>445</v>
      </c>
      <c r="U168" s="212" t="s">
        <v>446</v>
      </c>
      <c r="V168" s="214" t="b">
        <v>1</v>
      </c>
      <c r="W168" s="214">
        <v>1989</v>
      </c>
      <c r="X168" s="214">
        <v>5</v>
      </c>
      <c r="Y168" s="214">
        <v>2</v>
      </c>
      <c r="Z168" s="214">
        <v>4</v>
      </c>
      <c r="AA168" s="212" t="s">
        <v>447</v>
      </c>
      <c r="AB168" s="212" t="s">
        <v>531</v>
      </c>
      <c r="AC168" s="212" t="s">
        <v>533</v>
      </c>
      <c r="AD168" s="214">
        <v>1.635831</v>
      </c>
      <c r="AE168" s="214">
        <v>717</v>
      </c>
      <c r="AF168" s="214">
        <v>7.3800000000000004E-2</v>
      </c>
      <c r="AG168" s="214">
        <v>-99</v>
      </c>
      <c r="AH168" s="212" t="s">
        <v>224</v>
      </c>
      <c r="AI168" s="212" t="s">
        <v>449</v>
      </c>
      <c r="AJ168" s="212" t="s">
        <v>294</v>
      </c>
      <c r="AK168" s="212" t="s">
        <v>531</v>
      </c>
      <c r="AL168" s="212" t="s">
        <v>383</v>
      </c>
      <c r="AM168" s="214" t="b">
        <v>1</v>
      </c>
      <c r="AN168" s="214" t="b">
        <v>1</v>
      </c>
      <c r="AO168" s="212" t="s">
        <v>295</v>
      </c>
      <c r="AP168" s="212" t="s">
        <v>296</v>
      </c>
      <c r="AQ168" s="214">
        <v>92.138419999999996</v>
      </c>
      <c r="AR168" s="214" t="b">
        <v>0</v>
      </c>
      <c r="AS168" s="212" t="s">
        <v>534</v>
      </c>
      <c r="AU168" s="222" t="s">
        <v>819</v>
      </c>
    </row>
    <row r="169" spans="1:47" s="263" customFormat="1" ht="13.5" customHeight="1" x14ac:dyDescent="0.25">
      <c r="A169" s="245">
        <f t="shared" si="23"/>
        <v>169</v>
      </c>
      <c r="B169" s="246" t="str">
        <f t="shared" si="16"/>
        <v>Oil Field - Tank</v>
      </c>
      <c r="C169" s="246" t="str">
        <f ca="1">IF(B169="","",VLOOKUP(D169,'Species Data'!B:E,4,FALSE))</f>
        <v>c10_comp</v>
      </c>
      <c r="D169" s="246">
        <f t="shared" ca="1" si="17"/>
        <v>1924</v>
      </c>
      <c r="E169" s="246">
        <f t="shared" ca="1" si="18"/>
        <v>1.77E-2</v>
      </c>
      <c r="F169" s="246" t="str">
        <f t="shared" ca="1" si="19"/>
        <v>C-10 Compounds</v>
      </c>
      <c r="G169" s="246">
        <f t="shared" ca="1" si="20"/>
        <v>142.28167999999999</v>
      </c>
      <c r="H169" s="204" t="str">
        <f ca="1">IF(G169="","",IF(VLOOKUP(Tank!F169,'Species Data'!D:F,3,FALSE)=0,"X",IF(G169&lt;44.1,2,1)))</f>
        <v>X</v>
      </c>
      <c r="I169" s="204">
        <f t="shared" ca="1" si="21"/>
        <v>0.15904819352932459</v>
      </c>
      <c r="J169" s="247">
        <f ca="1">IF(I169="","",IF(COUNTIF($D$12:D169,D169)=1,IF(H169=1,I169*H169,IF(H169="X","X",0)),0))</f>
        <v>0</v>
      </c>
      <c r="K169" s="248">
        <f t="shared" ca="1" si="22"/>
        <v>0</v>
      </c>
      <c r="L169" s="212" t="s">
        <v>679</v>
      </c>
      <c r="M169" s="212" t="s">
        <v>448</v>
      </c>
      <c r="N169" s="212" t="s">
        <v>470</v>
      </c>
      <c r="O169" s="213">
        <v>41419</v>
      </c>
      <c r="P169" s="212" t="s">
        <v>531</v>
      </c>
      <c r="Q169" s="214">
        <v>100</v>
      </c>
      <c r="R169" s="212" t="s">
        <v>445</v>
      </c>
      <c r="S169" s="212" t="s">
        <v>532</v>
      </c>
      <c r="T169" s="212" t="s">
        <v>445</v>
      </c>
      <c r="U169" s="212" t="s">
        <v>446</v>
      </c>
      <c r="V169" s="214" t="b">
        <v>1</v>
      </c>
      <c r="W169" s="214">
        <v>1989</v>
      </c>
      <c r="X169" s="214">
        <v>5</v>
      </c>
      <c r="Y169" s="214">
        <v>2</v>
      </c>
      <c r="Z169" s="214">
        <v>4</v>
      </c>
      <c r="AA169" s="212" t="s">
        <v>447</v>
      </c>
      <c r="AB169" s="212" t="s">
        <v>531</v>
      </c>
      <c r="AC169" s="212" t="s">
        <v>533</v>
      </c>
      <c r="AD169" s="214">
        <v>1.635831</v>
      </c>
      <c r="AE169" s="214">
        <v>1924</v>
      </c>
      <c r="AF169" s="214">
        <v>1.77E-2</v>
      </c>
      <c r="AG169" s="214">
        <v>-99</v>
      </c>
      <c r="AH169" s="212" t="s">
        <v>224</v>
      </c>
      <c r="AI169" s="212" t="s">
        <v>449</v>
      </c>
      <c r="AJ169" s="212" t="s">
        <v>224</v>
      </c>
      <c r="AK169" s="212" t="s">
        <v>531</v>
      </c>
      <c r="AL169" s="212" t="s">
        <v>466</v>
      </c>
      <c r="AM169" s="214" t="b">
        <v>0</v>
      </c>
      <c r="AN169" s="214" t="b">
        <v>0</v>
      </c>
      <c r="AO169" s="212" t="s">
        <v>535</v>
      </c>
      <c r="AP169" s="212" t="s">
        <v>536</v>
      </c>
      <c r="AQ169" s="214">
        <v>142.28167999999999</v>
      </c>
      <c r="AR169" s="214" t="b">
        <v>0</v>
      </c>
      <c r="AS169" s="212" t="s">
        <v>534</v>
      </c>
      <c r="AU169" s="222" t="s">
        <v>819</v>
      </c>
    </row>
    <row r="170" spans="1:47" s="263" customFormat="1" ht="13.5" customHeight="1" x14ac:dyDescent="0.25">
      <c r="A170" s="245">
        <f t="shared" si="23"/>
        <v>170</v>
      </c>
      <c r="B170" s="246" t="str">
        <f t="shared" si="16"/>
        <v>Oil Field - Tank</v>
      </c>
      <c r="C170" s="246" t="str">
        <f ca="1">IF(B170="","",VLOOKUP(D170,'Species Data'!B:E,4,FALSE))</f>
        <v>c5_comp</v>
      </c>
      <c r="D170" s="246">
        <f t="shared" ca="1" si="17"/>
        <v>1986</v>
      </c>
      <c r="E170" s="246">
        <f t="shared" ca="1" si="18"/>
        <v>1.2992999999999999</v>
      </c>
      <c r="F170" s="246" t="str">
        <f t="shared" ca="1" si="19"/>
        <v>C-5 Compounds</v>
      </c>
      <c r="G170" s="246">
        <f t="shared" ca="1" si="20"/>
        <v>72.148780000000002</v>
      </c>
      <c r="H170" s="204" t="str">
        <f ca="1">IF(G170="","",IF(VLOOKUP(Tank!F170,'Species Data'!D:F,3,FALSE)=0,"X",IF(G170&lt;44.1,2,1)))</f>
        <v>X</v>
      </c>
      <c r="I170" s="204">
        <f t="shared" ca="1" si="21"/>
        <v>2.1162936497523712</v>
      </c>
      <c r="J170" s="247">
        <f ca="1">IF(I170="","",IF(COUNTIF($D$12:D170,D170)=1,IF(H170=1,I170*H170,IF(H170="X","X",0)),0))</f>
        <v>0</v>
      </c>
      <c r="K170" s="248">
        <f t="shared" ca="1" si="22"/>
        <v>0</v>
      </c>
      <c r="L170" s="212" t="s">
        <v>679</v>
      </c>
      <c r="M170" s="212" t="s">
        <v>448</v>
      </c>
      <c r="N170" s="212" t="s">
        <v>470</v>
      </c>
      <c r="O170" s="213">
        <v>41419</v>
      </c>
      <c r="P170" s="212" t="s">
        <v>531</v>
      </c>
      <c r="Q170" s="214">
        <v>100</v>
      </c>
      <c r="R170" s="212" t="s">
        <v>445</v>
      </c>
      <c r="S170" s="212" t="s">
        <v>532</v>
      </c>
      <c r="T170" s="212" t="s">
        <v>445</v>
      </c>
      <c r="U170" s="212" t="s">
        <v>446</v>
      </c>
      <c r="V170" s="214" t="b">
        <v>1</v>
      </c>
      <c r="W170" s="214">
        <v>1989</v>
      </c>
      <c r="X170" s="214">
        <v>5</v>
      </c>
      <c r="Y170" s="214">
        <v>2</v>
      </c>
      <c r="Z170" s="214">
        <v>4</v>
      </c>
      <c r="AA170" s="212" t="s">
        <v>447</v>
      </c>
      <c r="AB170" s="212" t="s">
        <v>531</v>
      </c>
      <c r="AC170" s="212" t="s">
        <v>533</v>
      </c>
      <c r="AD170" s="214">
        <v>1.635831</v>
      </c>
      <c r="AE170" s="214">
        <v>1986</v>
      </c>
      <c r="AF170" s="214">
        <v>1.2992999999999999</v>
      </c>
      <c r="AG170" s="214">
        <v>-99</v>
      </c>
      <c r="AH170" s="212" t="s">
        <v>224</v>
      </c>
      <c r="AI170" s="212" t="s">
        <v>449</v>
      </c>
      <c r="AJ170" s="212" t="s">
        <v>224</v>
      </c>
      <c r="AK170" s="212" t="s">
        <v>531</v>
      </c>
      <c r="AL170" s="212" t="s">
        <v>537</v>
      </c>
      <c r="AM170" s="214" t="b">
        <v>0</v>
      </c>
      <c r="AN170" s="214" t="b">
        <v>0</v>
      </c>
      <c r="AO170" s="212" t="s">
        <v>538</v>
      </c>
      <c r="AP170" s="212" t="s">
        <v>539</v>
      </c>
      <c r="AQ170" s="214">
        <v>72.148780000000002</v>
      </c>
      <c r="AR170" s="214" t="b">
        <v>0</v>
      </c>
      <c r="AS170" s="212" t="s">
        <v>534</v>
      </c>
      <c r="AU170" s="222" t="s">
        <v>819</v>
      </c>
    </row>
    <row r="171" spans="1:47" s="263" customFormat="1" ht="13.5" customHeight="1" x14ac:dyDescent="0.25">
      <c r="A171" s="245">
        <f t="shared" si="23"/>
        <v>171</v>
      </c>
      <c r="B171" s="246" t="str">
        <f t="shared" si="16"/>
        <v>Oil Field - Tank</v>
      </c>
      <c r="C171" s="246" t="str">
        <f ca="1">IF(B171="","",VLOOKUP(D171,'Species Data'!B:E,4,FALSE))</f>
        <v>c6_comp</v>
      </c>
      <c r="D171" s="246">
        <f t="shared" ca="1" si="17"/>
        <v>1999</v>
      </c>
      <c r="E171" s="246">
        <f t="shared" ca="1" si="18"/>
        <v>6.2249999999999996</v>
      </c>
      <c r="F171" s="246" t="str">
        <f t="shared" ca="1" si="19"/>
        <v>C-6 Compounds</v>
      </c>
      <c r="G171" s="246">
        <f t="shared" ca="1" si="20"/>
        <v>86.175359999999998</v>
      </c>
      <c r="H171" s="204" t="str">
        <f ca="1">IF(G171="","",IF(VLOOKUP(Tank!F171,'Species Data'!D:F,3,FALSE)=0,"X",IF(G171&lt;44.1,2,1)))</f>
        <v>X</v>
      </c>
      <c r="I171" s="204">
        <f t="shared" ca="1" si="21"/>
        <v>3.9709781213899662</v>
      </c>
      <c r="J171" s="247">
        <f ca="1">IF(I171="","",IF(COUNTIF($D$12:D171,D171)=1,IF(H171=1,I171*H171,IF(H171="X","X",0)),0))</f>
        <v>0</v>
      </c>
      <c r="K171" s="248">
        <f t="shared" ca="1" si="22"/>
        <v>0</v>
      </c>
      <c r="L171" s="212" t="s">
        <v>679</v>
      </c>
      <c r="M171" s="212" t="s">
        <v>448</v>
      </c>
      <c r="N171" s="212" t="s">
        <v>470</v>
      </c>
      <c r="O171" s="213">
        <v>41419</v>
      </c>
      <c r="P171" s="212" t="s">
        <v>531</v>
      </c>
      <c r="Q171" s="214">
        <v>100</v>
      </c>
      <c r="R171" s="212" t="s">
        <v>445</v>
      </c>
      <c r="S171" s="212" t="s">
        <v>532</v>
      </c>
      <c r="T171" s="212" t="s">
        <v>445</v>
      </c>
      <c r="U171" s="212" t="s">
        <v>446</v>
      </c>
      <c r="V171" s="214" t="b">
        <v>1</v>
      </c>
      <c r="W171" s="214">
        <v>1989</v>
      </c>
      <c r="X171" s="214">
        <v>5</v>
      </c>
      <c r="Y171" s="214">
        <v>2</v>
      </c>
      <c r="Z171" s="214">
        <v>4</v>
      </c>
      <c r="AA171" s="212" t="s">
        <v>447</v>
      </c>
      <c r="AB171" s="212" t="s">
        <v>531</v>
      </c>
      <c r="AC171" s="212" t="s">
        <v>533</v>
      </c>
      <c r="AD171" s="214">
        <v>1.635831</v>
      </c>
      <c r="AE171" s="214">
        <v>1999</v>
      </c>
      <c r="AF171" s="214">
        <v>6.2249999999999996</v>
      </c>
      <c r="AG171" s="214">
        <v>-99</v>
      </c>
      <c r="AH171" s="212" t="s">
        <v>224</v>
      </c>
      <c r="AI171" s="212" t="s">
        <v>449</v>
      </c>
      <c r="AJ171" s="212" t="s">
        <v>224</v>
      </c>
      <c r="AK171" s="212" t="s">
        <v>531</v>
      </c>
      <c r="AL171" s="212" t="s">
        <v>540</v>
      </c>
      <c r="AM171" s="214" t="b">
        <v>0</v>
      </c>
      <c r="AN171" s="214" t="b">
        <v>0</v>
      </c>
      <c r="AO171" s="212" t="s">
        <v>541</v>
      </c>
      <c r="AP171" s="212" t="s">
        <v>542</v>
      </c>
      <c r="AQ171" s="214">
        <v>86.175359999999998</v>
      </c>
      <c r="AR171" s="214" t="b">
        <v>0</v>
      </c>
      <c r="AS171" s="212" t="s">
        <v>534</v>
      </c>
      <c r="AU171" s="222" t="s">
        <v>819</v>
      </c>
    </row>
    <row r="172" spans="1:47" s="263" customFormat="1" ht="13.5" customHeight="1" x14ac:dyDescent="0.25">
      <c r="A172" s="245">
        <f t="shared" si="23"/>
        <v>172</v>
      </c>
      <c r="B172" s="246" t="str">
        <f t="shared" si="16"/>
        <v>Oil Field - Tank</v>
      </c>
      <c r="C172" s="246" t="str">
        <f ca="1">IF(B172="","",VLOOKUP(D172,'Species Data'!B:E,4,FALSE))</f>
        <v>c7_comp</v>
      </c>
      <c r="D172" s="246">
        <f t="shared" ca="1" si="17"/>
        <v>2005</v>
      </c>
      <c r="E172" s="246">
        <f t="shared" ca="1" si="18"/>
        <v>3.7814000000000001</v>
      </c>
      <c r="F172" s="246" t="str">
        <f t="shared" ca="1" si="19"/>
        <v>C-7 Compounds</v>
      </c>
      <c r="G172" s="246">
        <f t="shared" ca="1" si="20"/>
        <v>100.20194000000001</v>
      </c>
      <c r="H172" s="204" t="str">
        <f ca="1">IF(G172="","",IF(VLOOKUP(Tank!F172,'Species Data'!D:F,3,FALSE)=0,"X",IF(G172&lt;44.1,2,1)))</f>
        <v>X</v>
      </c>
      <c r="I172" s="204">
        <f t="shared" ca="1" si="21"/>
        <v>2.5253842436887401</v>
      </c>
      <c r="J172" s="247">
        <f ca="1">IF(I172="","",IF(COUNTIF($D$12:D172,D172)=1,IF(H172=1,I172*H172,IF(H172="X","X",0)),0))</f>
        <v>0</v>
      </c>
      <c r="K172" s="248">
        <f t="shared" ca="1" si="22"/>
        <v>0</v>
      </c>
      <c r="L172" s="212" t="s">
        <v>679</v>
      </c>
      <c r="M172" s="212" t="s">
        <v>448</v>
      </c>
      <c r="N172" s="212" t="s">
        <v>470</v>
      </c>
      <c r="O172" s="213">
        <v>41419</v>
      </c>
      <c r="P172" s="212" t="s">
        <v>531</v>
      </c>
      <c r="Q172" s="214">
        <v>100</v>
      </c>
      <c r="R172" s="212" t="s">
        <v>445</v>
      </c>
      <c r="S172" s="212" t="s">
        <v>532</v>
      </c>
      <c r="T172" s="212" t="s">
        <v>445</v>
      </c>
      <c r="U172" s="212" t="s">
        <v>446</v>
      </c>
      <c r="V172" s="214" t="b">
        <v>1</v>
      </c>
      <c r="W172" s="214">
        <v>1989</v>
      </c>
      <c r="X172" s="214">
        <v>5</v>
      </c>
      <c r="Y172" s="214">
        <v>2</v>
      </c>
      <c r="Z172" s="214">
        <v>4</v>
      </c>
      <c r="AA172" s="212" t="s">
        <v>447</v>
      </c>
      <c r="AB172" s="212" t="s">
        <v>531</v>
      </c>
      <c r="AC172" s="212" t="s">
        <v>533</v>
      </c>
      <c r="AD172" s="214">
        <v>1.635831</v>
      </c>
      <c r="AE172" s="214">
        <v>2005</v>
      </c>
      <c r="AF172" s="214">
        <v>3.7814000000000001</v>
      </c>
      <c r="AG172" s="214">
        <v>-99</v>
      </c>
      <c r="AH172" s="212" t="s">
        <v>224</v>
      </c>
      <c r="AI172" s="212" t="s">
        <v>449</v>
      </c>
      <c r="AJ172" s="212" t="s">
        <v>224</v>
      </c>
      <c r="AK172" s="212" t="s">
        <v>531</v>
      </c>
      <c r="AL172" s="212" t="s">
        <v>543</v>
      </c>
      <c r="AM172" s="214" t="b">
        <v>0</v>
      </c>
      <c r="AN172" s="214" t="b">
        <v>0</v>
      </c>
      <c r="AO172" s="212" t="s">
        <v>544</v>
      </c>
      <c r="AP172" s="212" t="s">
        <v>545</v>
      </c>
      <c r="AQ172" s="214">
        <v>100.20194000000001</v>
      </c>
      <c r="AR172" s="214" t="b">
        <v>0</v>
      </c>
      <c r="AS172" s="212" t="s">
        <v>534</v>
      </c>
      <c r="AU172" s="222" t="s">
        <v>819</v>
      </c>
    </row>
    <row r="173" spans="1:47" s="263" customFormat="1" ht="13.5" customHeight="1" x14ac:dyDescent="0.25">
      <c r="A173" s="245">
        <f t="shared" si="23"/>
        <v>173</v>
      </c>
      <c r="B173" s="246" t="str">
        <f t="shared" si="16"/>
        <v>Oil Field - Tank</v>
      </c>
      <c r="C173" s="246" t="str">
        <f ca="1">IF(B173="","",VLOOKUP(D173,'Species Data'!B:E,4,FALSE))</f>
        <v>c8_comp</v>
      </c>
      <c r="D173" s="246">
        <f t="shared" ca="1" si="17"/>
        <v>2011</v>
      </c>
      <c r="E173" s="246">
        <f t="shared" ca="1" si="18"/>
        <v>1.9979</v>
      </c>
      <c r="F173" s="246" t="str">
        <f t="shared" ca="1" si="19"/>
        <v>C-8 Compounds</v>
      </c>
      <c r="G173" s="246">
        <f t="shared" ca="1" si="20"/>
        <v>113.21160686946486</v>
      </c>
      <c r="H173" s="204" t="str">
        <f ca="1">IF(G173="","",IF(VLOOKUP(Tank!F173,'Species Data'!D:F,3,FALSE)=0,"X",IF(G173&lt;44.1,2,1)))</f>
        <v>X</v>
      </c>
      <c r="I173" s="204">
        <f t="shared" ca="1" si="21"/>
        <v>1.3164259710226556</v>
      </c>
      <c r="J173" s="247">
        <f ca="1">IF(I173="","",IF(COUNTIF($D$12:D173,D173)=1,IF(H173=1,I173*H173,IF(H173="X","X",0)),0))</f>
        <v>0</v>
      </c>
      <c r="K173" s="248">
        <f t="shared" ca="1" si="22"/>
        <v>0</v>
      </c>
      <c r="L173" s="212" t="s">
        <v>679</v>
      </c>
      <c r="M173" s="212" t="s">
        <v>448</v>
      </c>
      <c r="N173" s="212" t="s">
        <v>470</v>
      </c>
      <c r="O173" s="213">
        <v>41419</v>
      </c>
      <c r="P173" s="212" t="s">
        <v>531</v>
      </c>
      <c r="Q173" s="214">
        <v>100</v>
      </c>
      <c r="R173" s="212" t="s">
        <v>445</v>
      </c>
      <c r="S173" s="212" t="s">
        <v>532</v>
      </c>
      <c r="T173" s="212" t="s">
        <v>445</v>
      </c>
      <c r="U173" s="212" t="s">
        <v>446</v>
      </c>
      <c r="V173" s="214" t="b">
        <v>1</v>
      </c>
      <c r="W173" s="214">
        <v>1989</v>
      </c>
      <c r="X173" s="214">
        <v>5</v>
      </c>
      <c r="Y173" s="214">
        <v>2</v>
      </c>
      <c r="Z173" s="214">
        <v>4</v>
      </c>
      <c r="AA173" s="212" t="s">
        <v>447</v>
      </c>
      <c r="AB173" s="212" t="s">
        <v>531</v>
      </c>
      <c r="AC173" s="212" t="s">
        <v>533</v>
      </c>
      <c r="AD173" s="214">
        <v>1.635831</v>
      </c>
      <c r="AE173" s="214">
        <v>2011</v>
      </c>
      <c r="AF173" s="214">
        <v>1.9979</v>
      </c>
      <c r="AG173" s="214">
        <v>-99</v>
      </c>
      <c r="AH173" s="212" t="s">
        <v>224</v>
      </c>
      <c r="AI173" s="212" t="s">
        <v>449</v>
      </c>
      <c r="AJ173" s="212" t="s">
        <v>224</v>
      </c>
      <c r="AK173" s="212" t="s">
        <v>531</v>
      </c>
      <c r="AL173" s="212" t="s">
        <v>546</v>
      </c>
      <c r="AM173" s="214" t="b">
        <v>0</v>
      </c>
      <c r="AN173" s="214" t="b">
        <v>0</v>
      </c>
      <c r="AO173" s="212" t="s">
        <v>547</v>
      </c>
      <c r="AP173" s="212" t="s">
        <v>548</v>
      </c>
      <c r="AQ173" s="214">
        <v>113.21160686946486</v>
      </c>
      <c r="AR173" s="214" t="b">
        <v>0</v>
      </c>
      <c r="AS173" s="212" t="s">
        <v>534</v>
      </c>
      <c r="AU173" s="222" t="s">
        <v>819</v>
      </c>
    </row>
    <row r="174" spans="1:47" s="263" customFormat="1" ht="13.5" customHeight="1" x14ac:dyDescent="0.25">
      <c r="A174" s="245">
        <f t="shared" si="23"/>
        <v>174</v>
      </c>
      <c r="B174" s="246" t="str">
        <f t="shared" si="16"/>
        <v>Oil Field - Tank</v>
      </c>
      <c r="C174" s="246" t="str">
        <f ca="1">IF(B174="","",VLOOKUP(D174,'Species Data'!B:E,4,FALSE))</f>
        <v>c9_comp</v>
      </c>
      <c r="D174" s="246">
        <f t="shared" ca="1" si="17"/>
        <v>2018</v>
      </c>
      <c r="E174" s="246">
        <f t="shared" ca="1" si="18"/>
        <v>0.622</v>
      </c>
      <c r="F174" s="246" t="str">
        <f t="shared" ca="1" si="19"/>
        <v>C-9 Compounds</v>
      </c>
      <c r="G174" s="246">
        <f t="shared" ca="1" si="20"/>
        <v>127.23917598649743</v>
      </c>
      <c r="H174" s="204" t="str">
        <f ca="1">IF(G174="","",IF(VLOOKUP(Tank!F174,'Species Data'!D:F,3,FALSE)=0,"X",IF(G174&lt;44.1,2,1)))</f>
        <v>X</v>
      </c>
      <c r="I174" s="204">
        <f t="shared" ca="1" si="21"/>
        <v>0.54975194428533192</v>
      </c>
      <c r="J174" s="247">
        <f ca="1">IF(I174="","",IF(COUNTIF($D$12:D174,D174)=1,IF(H174=1,I174*H174,IF(H174="X","X",0)),0))</f>
        <v>0</v>
      </c>
      <c r="K174" s="248">
        <f t="shared" ca="1" si="22"/>
        <v>0</v>
      </c>
      <c r="L174" s="212" t="s">
        <v>679</v>
      </c>
      <c r="M174" s="212" t="s">
        <v>448</v>
      </c>
      <c r="N174" s="212" t="s">
        <v>470</v>
      </c>
      <c r="O174" s="213">
        <v>41419</v>
      </c>
      <c r="P174" s="212" t="s">
        <v>531</v>
      </c>
      <c r="Q174" s="214">
        <v>100</v>
      </c>
      <c r="R174" s="212" t="s">
        <v>445</v>
      </c>
      <c r="S174" s="212" t="s">
        <v>532</v>
      </c>
      <c r="T174" s="212" t="s">
        <v>445</v>
      </c>
      <c r="U174" s="212" t="s">
        <v>446</v>
      </c>
      <c r="V174" s="214" t="b">
        <v>1</v>
      </c>
      <c r="W174" s="214">
        <v>1989</v>
      </c>
      <c r="X174" s="214">
        <v>5</v>
      </c>
      <c r="Y174" s="214">
        <v>2</v>
      </c>
      <c r="Z174" s="214">
        <v>4</v>
      </c>
      <c r="AA174" s="212" t="s">
        <v>447</v>
      </c>
      <c r="AB174" s="212" t="s">
        <v>531</v>
      </c>
      <c r="AC174" s="212" t="s">
        <v>533</v>
      </c>
      <c r="AD174" s="214">
        <v>1.635831</v>
      </c>
      <c r="AE174" s="214">
        <v>2018</v>
      </c>
      <c r="AF174" s="214">
        <v>0.622</v>
      </c>
      <c r="AG174" s="214">
        <v>-99</v>
      </c>
      <c r="AH174" s="212" t="s">
        <v>224</v>
      </c>
      <c r="AI174" s="212" t="s">
        <v>449</v>
      </c>
      <c r="AJ174" s="212" t="s">
        <v>224</v>
      </c>
      <c r="AK174" s="212" t="s">
        <v>531</v>
      </c>
      <c r="AL174" s="212" t="s">
        <v>464</v>
      </c>
      <c r="AM174" s="214" t="b">
        <v>0</v>
      </c>
      <c r="AN174" s="214" t="b">
        <v>0</v>
      </c>
      <c r="AO174" s="212" t="s">
        <v>549</v>
      </c>
      <c r="AP174" s="212" t="s">
        <v>550</v>
      </c>
      <c r="AQ174" s="214">
        <v>127.23917598649743</v>
      </c>
      <c r="AR174" s="214" t="b">
        <v>0</v>
      </c>
      <c r="AS174" s="212" t="s">
        <v>534</v>
      </c>
      <c r="AU174" s="222" t="s">
        <v>819</v>
      </c>
    </row>
    <row r="175" spans="1:47" s="263" customFormat="1" ht="13.5" customHeight="1" x14ac:dyDescent="0.25">
      <c r="A175" s="245">
        <f t="shared" si="23"/>
        <v>175</v>
      </c>
      <c r="B175" s="246" t="str">
        <f t="shared" si="16"/>
        <v>Oil Field - Tank</v>
      </c>
      <c r="C175" s="246" t="str">
        <f ca="1">IF(B175="","",VLOOKUP(D175,'Species Data'!B:E,4,FALSE))</f>
        <v>isobutben</v>
      </c>
      <c r="D175" s="246">
        <f t="shared" ca="1" si="17"/>
        <v>3</v>
      </c>
      <c r="E175" s="246">
        <f t="shared" ca="1" si="18"/>
        <v>5.7999999999999996E-3</v>
      </c>
      <c r="F175" s="246" t="str">
        <f t="shared" ca="1" si="19"/>
        <v>(2-methylpropyl)benzene; isobutylbenzene</v>
      </c>
      <c r="G175" s="246">
        <f t="shared" ca="1" si="20"/>
        <v>134.21816000000001</v>
      </c>
      <c r="H175" s="204" t="str">
        <f ca="1">IF(G175="","",IF(VLOOKUP(Tank!F175,'Species Data'!D:F,3,FALSE)=0,"X",IF(G175&lt;44.1,2,1)))</f>
        <v>X</v>
      </c>
      <c r="I175" s="204">
        <f t="shared" ca="1" si="21"/>
        <v>1.3866799787944635E-3</v>
      </c>
      <c r="J175" s="247" t="str">
        <f ca="1">IF(I175="","",IF(COUNTIF($D$12:D175,D175)=1,IF(H175=1,I175*H175,IF(H175="X","X",0)),0))</f>
        <v>X</v>
      </c>
      <c r="K175" s="248">
        <f t="shared" ca="1" si="22"/>
        <v>0</v>
      </c>
      <c r="L175" s="212" t="s">
        <v>679</v>
      </c>
      <c r="M175" s="212" t="s">
        <v>448</v>
      </c>
      <c r="N175" s="212" t="s">
        <v>470</v>
      </c>
      <c r="O175" s="213">
        <v>41419</v>
      </c>
      <c r="P175" s="212" t="s">
        <v>680</v>
      </c>
      <c r="Q175" s="214">
        <v>100</v>
      </c>
      <c r="R175" s="212" t="s">
        <v>445</v>
      </c>
      <c r="S175" s="212" t="s">
        <v>532</v>
      </c>
      <c r="T175" s="212" t="s">
        <v>445</v>
      </c>
      <c r="U175" s="212" t="s">
        <v>446</v>
      </c>
      <c r="V175" s="214" t="b">
        <v>1</v>
      </c>
      <c r="W175" s="214">
        <v>1989</v>
      </c>
      <c r="X175" s="214">
        <v>5</v>
      </c>
      <c r="Y175" s="214">
        <v>2</v>
      </c>
      <c r="Z175" s="214">
        <v>4</v>
      </c>
      <c r="AA175" s="212" t="s">
        <v>447</v>
      </c>
      <c r="AB175" s="212" t="s">
        <v>531</v>
      </c>
      <c r="AC175" s="212" t="s">
        <v>533</v>
      </c>
      <c r="AD175" s="214">
        <v>1.169376</v>
      </c>
      <c r="AE175" s="214">
        <v>3</v>
      </c>
      <c r="AF175" s="214">
        <v>5.7999999999999996E-3</v>
      </c>
      <c r="AG175" s="214">
        <v>-99</v>
      </c>
      <c r="AH175" s="212" t="s">
        <v>224</v>
      </c>
      <c r="AI175" s="212" t="s">
        <v>449</v>
      </c>
      <c r="AJ175" s="212" t="s">
        <v>425</v>
      </c>
      <c r="AK175" s="212" t="s">
        <v>531</v>
      </c>
      <c r="AL175" s="212" t="s">
        <v>456</v>
      </c>
      <c r="AM175" s="214" t="b">
        <v>0</v>
      </c>
      <c r="AN175" s="214" t="b">
        <v>0</v>
      </c>
      <c r="AO175" s="212" t="s">
        <v>426</v>
      </c>
      <c r="AP175" s="212" t="s">
        <v>531</v>
      </c>
      <c r="AQ175" s="214">
        <v>134.21816000000001</v>
      </c>
      <c r="AR175" s="214" t="b">
        <v>0</v>
      </c>
      <c r="AS175" s="212" t="s">
        <v>534</v>
      </c>
      <c r="AU175" s="222" t="s">
        <v>819</v>
      </c>
    </row>
    <row r="176" spans="1:47" s="263" customFormat="1" ht="13.5" customHeight="1" x14ac:dyDescent="0.25">
      <c r="A176" s="245">
        <f t="shared" si="23"/>
        <v>176</v>
      </c>
      <c r="B176" s="246" t="str">
        <f t="shared" si="16"/>
        <v>Oil Field - Tank</v>
      </c>
      <c r="C176" s="246" t="str">
        <f ca="1">IF(B176="","",VLOOKUP(D176,'Species Data'!B:E,4,FALSE))</f>
        <v>trimethben123</v>
      </c>
      <c r="D176" s="246">
        <f t="shared" ca="1" si="17"/>
        <v>25</v>
      </c>
      <c r="E176" s="246">
        <f t="shared" ca="1" si="18"/>
        <v>5.4000000000000003E-3</v>
      </c>
      <c r="F176" s="246" t="str">
        <f t="shared" ca="1" si="19"/>
        <v>1,2,3-trimethylbenzene</v>
      </c>
      <c r="G176" s="246">
        <f t="shared" ca="1" si="20"/>
        <v>120.19158</v>
      </c>
      <c r="H176" s="204">
        <f ca="1">IF(G176="","",IF(VLOOKUP(Tank!F176,'Species Data'!D:F,3,FALSE)=0,"X",IF(G176&lt;44.1,2,1)))</f>
        <v>1</v>
      </c>
      <c r="I176" s="204">
        <f t="shared" ca="1" si="21"/>
        <v>1.0560101376973221E-2</v>
      </c>
      <c r="J176" s="247">
        <f ca="1">IF(I176="","",IF(COUNTIF($D$12:D176,D176)=1,IF(H176=1,I176*H176,IF(H176="X","X",0)),0))</f>
        <v>0</v>
      </c>
      <c r="K176" s="248">
        <f t="shared" ca="1" si="22"/>
        <v>0</v>
      </c>
      <c r="L176" s="212" t="s">
        <v>679</v>
      </c>
      <c r="M176" s="212" t="s">
        <v>448</v>
      </c>
      <c r="N176" s="212" t="s">
        <v>470</v>
      </c>
      <c r="O176" s="213">
        <v>41419</v>
      </c>
      <c r="P176" s="212" t="s">
        <v>680</v>
      </c>
      <c r="Q176" s="214">
        <v>100</v>
      </c>
      <c r="R176" s="212" t="s">
        <v>445</v>
      </c>
      <c r="S176" s="212" t="s">
        <v>532</v>
      </c>
      <c r="T176" s="212" t="s">
        <v>445</v>
      </c>
      <c r="U176" s="212" t="s">
        <v>446</v>
      </c>
      <c r="V176" s="214" t="b">
        <v>1</v>
      </c>
      <c r="W176" s="214">
        <v>1989</v>
      </c>
      <c r="X176" s="214">
        <v>5</v>
      </c>
      <c r="Y176" s="214">
        <v>2</v>
      </c>
      <c r="Z176" s="214">
        <v>4</v>
      </c>
      <c r="AA176" s="212" t="s">
        <v>447</v>
      </c>
      <c r="AB176" s="212" t="s">
        <v>531</v>
      </c>
      <c r="AC176" s="212" t="s">
        <v>533</v>
      </c>
      <c r="AD176" s="214">
        <v>1.169376</v>
      </c>
      <c r="AE176" s="214">
        <v>25</v>
      </c>
      <c r="AF176" s="214">
        <v>5.4000000000000003E-3</v>
      </c>
      <c r="AG176" s="214">
        <v>-99</v>
      </c>
      <c r="AH176" s="212" t="s">
        <v>224</v>
      </c>
      <c r="AI176" s="212" t="s">
        <v>449</v>
      </c>
      <c r="AJ176" s="212" t="s">
        <v>627</v>
      </c>
      <c r="AK176" s="212" t="s">
        <v>531</v>
      </c>
      <c r="AL176" s="212" t="s">
        <v>628</v>
      </c>
      <c r="AM176" s="214" t="b">
        <v>1</v>
      </c>
      <c r="AN176" s="214" t="b">
        <v>0</v>
      </c>
      <c r="AO176" s="212" t="s">
        <v>629</v>
      </c>
      <c r="AP176" s="212" t="s">
        <v>630</v>
      </c>
      <c r="AQ176" s="214">
        <v>120.19158</v>
      </c>
      <c r="AR176" s="214" t="b">
        <v>0</v>
      </c>
      <c r="AS176" s="212" t="s">
        <v>534</v>
      </c>
      <c r="AU176" s="222" t="s">
        <v>819</v>
      </c>
    </row>
    <row r="177" spans="1:47" s="263" customFormat="1" ht="13.5" customHeight="1" x14ac:dyDescent="0.25">
      <c r="A177" s="245">
        <f t="shared" si="23"/>
        <v>177</v>
      </c>
      <c r="B177" s="246" t="str">
        <f t="shared" si="16"/>
        <v>Oil Field - Tank</v>
      </c>
      <c r="C177" s="246" t="str">
        <f ca="1">IF(B177="","",VLOOKUP(D177,'Species Data'!B:E,4,FALSE))</f>
        <v>trimetben124</v>
      </c>
      <c r="D177" s="246">
        <f t="shared" ca="1" si="17"/>
        <v>30</v>
      </c>
      <c r="E177" s="246">
        <f t="shared" ca="1" si="18"/>
        <v>6.6E-3</v>
      </c>
      <c r="F177" s="246" t="str">
        <f t="shared" ca="1" si="19"/>
        <v>1,2,4-trimethylbenzene  (1,3,4-trimethylbenzene)</v>
      </c>
      <c r="G177" s="246">
        <f t="shared" ca="1" si="20"/>
        <v>120.19158</v>
      </c>
      <c r="H177" s="204">
        <f ca="1">IF(G177="","",IF(VLOOKUP(Tank!F177,'Species Data'!D:F,3,FALSE)=0,"X",IF(G177&lt;44.1,2,1)))</f>
        <v>1</v>
      </c>
      <c r="I177" s="204">
        <f t="shared" ca="1" si="21"/>
        <v>1.1400109441050636E-2</v>
      </c>
      <c r="J177" s="247">
        <f ca="1">IF(I177="","",IF(COUNTIF($D$12:D177,D177)=1,IF(H177=1,I177*H177,IF(H177="X","X",0)),0))</f>
        <v>0</v>
      </c>
      <c r="K177" s="248">
        <f t="shared" ca="1" si="22"/>
        <v>0</v>
      </c>
      <c r="L177" s="212" t="s">
        <v>679</v>
      </c>
      <c r="M177" s="212" t="s">
        <v>448</v>
      </c>
      <c r="N177" s="212" t="s">
        <v>470</v>
      </c>
      <c r="O177" s="213">
        <v>41419</v>
      </c>
      <c r="P177" s="212" t="s">
        <v>680</v>
      </c>
      <c r="Q177" s="214">
        <v>100</v>
      </c>
      <c r="R177" s="212" t="s">
        <v>445</v>
      </c>
      <c r="S177" s="212" t="s">
        <v>532</v>
      </c>
      <c r="T177" s="212" t="s">
        <v>445</v>
      </c>
      <c r="U177" s="212" t="s">
        <v>446</v>
      </c>
      <c r="V177" s="214" t="b">
        <v>1</v>
      </c>
      <c r="W177" s="214">
        <v>1989</v>
      </c>
      <c r="X177" s="214">
        <v>5</v>
      </c>
      <c r="Y177" s="214">
        <v>2</v>
      </c>
      <c r="Z177" s="214">
        <v>4</v>
      </c>
      <c r="AA177" s="212" t="s">
        <v>447</v>
      </c>
      <c r="AB177" s="212" t="s">
        <v>531</v>
      </c>
      <c r="AC177" s="212" t="s">
        <v>533</v>
      </c>
      <c r="AD177" s="214">
        <v>1.169376</v>
      </c>
      <c r="AE177" s="214">
        <v>30</v>
      </c>
      <c r="AF177" s="214">
        <v>6.6E-3</v>
      </c>
      <c r="AG177" s="214">
        <v>-99</v>
      </c>
      <c r="AH177" s="212" t="s">
        <v>224</v>
      </c>
      <c r="AI177" s="212" t="s">
        <v>449</v>
      </c>
      <c r="AJ177" s="212" t="s">
        <v>359</v>
      </c>
      <c r="AK177" s="212" t="s">
        <v>531</v>
      </c>
      <c r="AL177" s="212" t="s">
        <v>531</v>
      </c>
      <c r="AM177" s="214" t="b">
        <v>1</v>
      </c>
      <c r="AN177" s="214" t="b">
        <v>0</v>
      </c>
      <c r="AO177" s="212" t="s">
        <v>360</v>
      </c>
      <c r="AP177" s="212" t="s">
        <v>361</v>
      </c>
      <c r="AQ177" s="214">
        <v>120.19158</v>
      </c>
      <c r="AR177" s="214" t="b">
        <v>0</v>
      </c>
      <c r="AS177" s="212" t="s">
        <v>534</v>
      </c>
      <c r="AU177" s="222" t="s">
        <v>819</v>
      </c>
    </row>
    <row r="178" spans="1:47" s="263" customFormat="1" ht="13.5" customHeight="1" x14ac:dyDescent="0.25">
      <c r="A178" s="245">
        <f t="shared" si="23"/>
        <v>178</v>
      </c>
      <c r="B178" s="246" t="str">
        <f t="shared" si="16"/>
        <v>Oil Field - Tank</v>
      </c>
      <c r="C178" s="246" t="str">
        <f ca="1">IF(B178="","",VLOOKUP(D178,'Species Data'!B:E,4,FALSE))</f>
        <v>trimethben135</v>
      </c>
      <c r="D178" s="246">
        <f t="shared" ca="1" si="17"/>
        <v>44</v>
      </c>
      <c r="E178" s="246">
        <f t="shared" ca="1" si="18"/>
        <v>2.69E-2</v>
      </c>
      <c r="F178" s="246" t="str">
        <f t="shared" ca="1" si="19"/>
        <v>1,3,5-trimethylbenzene</v>
      </c>
      <c r="G178" s="246">
        <f t="shared" ca="1" si="20"/>
        <v>120.19158</v>
      </c>
      <c r="H178" s="204">
        <f ca="1">IF(G178="","",IF(VLOOKUP(Tank!F178,'Species Data'!D:F,3,FALSE)=0,"X",IF(G178&lt;44.1,2,1)))</f>
        <v>1</v>
      </c>
      <c r="I178" s="204">
        <f t="shared" ca="1" si="21"/>
        <v>1.3046791915869061E-2</v>
      </c>
      <c r="J178" s="247">
        <f ca="1">IF(I178="","",IF(COUNTIF($D$12:D178,D178)=1,IF(H178=1,I178*H178,IF(H178="X","X",0)),0))</f>
        <v>0</v>
      </c>
      <c r="K178" s="248">
        <f t="shared" ca="1" si="22"/>
        <v>0</v>
      </c>
      <c r="L178" s="212" t="s">
        <v>679</v>
      </c>
      <c r="M178" s="212" t="s">
        <v>448</v>
      </c>
      <c r="N178" s="212" t="s">
        <v>470</v>
      </c>
      <c r="O178" s="213">
        <v>41419</v>
      </c>
      <c r="P178" s="212" t="s">
        <v>680</v>
      </c>
      <c r="Q178" s="214">
        <v>100</v>
      </c>
      <c r="R178" s="212" t="s">
        <v>445</v>
      </c>
      <c r="S178" s="212" t="s">
        <v>532</v>
      </c>
      <c r="T178" s="212" t="s">
        <v>445</v>
      </c>
      <c r="U178" s="212" t="s">
        <v>446</v>
      </c>
      <c r="V178" s="214" t="b">
        <v>1</v>
      </c>
      <c r="W178" s="214">
        <v>1989</v>
      </c>
      <c r="X178" s="214">
        <v>5</v>
      </c>
      <c r="Y178" s="214">
        <v>2</v>
      </c>
      <c r="Z178" s="214">
        <v>4</v>
      </c>
      <c r="AA178" s="212" t="s">
        <v>447</v>
      </c>
      <c r="AB178" s="212" t="s">
        <v>531</v>
      </c>
      <c r="AC178" s="212" t="s">
        <v>533</v>
      </c>
      <c r="AD178" s="214">
        <v>1.169376</v>
      </c>
      <c r="AE178" s="214">
        <v>44</v>
      </c>
      <c r="AF178" s="214">
        <v>2.69E-2</v>
      </c>
      <c r="AG178" s="214">
        <v>-99</v>
      </c>
      <c r="AH178" s="212" t="s">
        <v>224</v>
      </c>
      <c r="AI178" s="212" t="s">
        <v>449</v>
      </c>
      <c r="AJ178" s="212" t="s">
        <v>400</v>
      </c>
      <c r="AK178" s="212" t="s">
        <v>531</v>
      </c>
      <c r="AL178" s="212" t="s">
        <v>401</v>
      </c>
      <c r="AM178" s="214" t="b">
        <v>1</v>
      </c>
      <c r="AN178" s="214" t="b">
        <v>0</v>
      </c>
      <c r="AO178" s="212" t="s">
        <v>402</v>
      </c>
      <c r="AP178" s="212" t="s">
        <v>403</v>
      </c>
      <c r="AQ178" s="214">
        <v>120.19158</v>
      </c>
      <c r="AR178" s="214" t="b">
        <v>0</v>
      </c>
      <c r="AS178" s="212" t="s">
        <v>534</v>
      </c>
      <c r="AU178" s="222" t="s">
        <v>819</v>
      </c>
    </row>
    <row r="179" spans="1:47" s="263" customFormat="1" ht="13.5" customHeight="1" x14ac:dyDescent="0.25">
      <c r="A179" s="245">
        <f t="shared" si="23"/>
        <v>179</v>
      </c>
      <c r="B179" s="246" t="str">
        <f t="shared" si="16"/>
        <v>Oil Field - Tank</v>
      </c>
      <c r="C179" s="246" t="str">
        <f ca="1">IF(B179="","",VLOOKUP(D179,'Species Data'!B:E,4,FALSE))</f>
        <v>dietben13</v>
      </c>
      <c r="D179" s="246">
        <f t="shared" ca="1" si="17"/>
        <v>51</v>
      </c>
      <c r="E179" s="246">
        <f t="shared" ca="1" si="18"/>
        <v>1.2800000000000001E-2</v>
      </c>
      <c r="F179" s="246" t="str">
        <f t="shared" ca="1" si="19"/>
        <v>1,3-diethylbenzene (meta)</v>
      </c>
      <c r="G179" s="246">
        <f t="shared" ca="1" si="20"/>
        <v>134.21816000000001</v>
      </c>
      <c r="H179" s="204" t="str">
        <f ca="1">IF(G179="","",IF(VLOOKUP(Tank!F179,'Species Data'!D:F,3,FALSE)=0,"X",IF(G179&lt;44.1,2,1)))</f>
        <v>X</v>
      </c>
      <c r="I179" s="204">
        <f t="shared" ca="1" si="21"/>
        <v>1.9800190081824794E-3</v>
      </c>
      <c r="J179" s="247" t="str">
        <f ca="1">IF(I179="","",IF(COUNTIF($D$12:D179,D179)=1,IF(H179=1,I179*H179,IF(H179="X","X",0)),0))</f>
        <v>X</v>
      </c>
      <c r="K179" s="248">
        <f t="shared" ca="1" si="22"/>
        <v>0</v>
      </c>
      <c r="L179" s="212" t="s">
        <v>679</v>
      </c>
      <c r="M179" s="212" t="s">
        <v>448</v>
      </c>
      <c r="N179" s="212" t="s">
        <v>470</v>
      </c>
      <c r="O179" s="213">
        <v>41419</v>
      </c>
      <c r="P179" s="212" t="s">
        <v>680</v>
      </c>
      <c r="Q179" s="214">
        <v>100</v>
      </c>
      <c r="R179" s="212" t="s">
        <v>445</v>
      </c>
      <c r="S179" s="212" t="s">
        <v>532</v>
      </c>
      <c r="T179" s="212" t="s">
        <v>445</v>
      </c>
      <c r="U179" s="212" t="s">
        <v>446</v>
      </c>
      <c r="V179" s="214" t="b">
        <v>1</v>
      </c>
      <c r="W179" s="214">
        <v>1989</v>
      </c>
      <c r="X179" s="214">
        <v>5</v>
      </c>
      <c r="Y179" s="214">
        <v>2</v>
      </c>
      <c r="Z179" s="214">
        <v>4</v>
      </c>
      <c r="AA179" s="212" t="s">
        <v>447</v>
      </c>
      <c r="AB179" s="212" t="s">
        <v>531</v>
      </c>
      <c r="AC179" s="212" t="s">
        <v>533</v>
      </c>
      <c r="AD179" s="214">
        <v>1.169376</v>
      </c>
      <c r="AE179" s="214">
        <v>51</v>
      </c>
      <c r="AF179" s="214">
        <v>1.2800000000000001E-2</v>
      </c>
      <c r="AG179" s="214">
        <v>-99</v>
      </c>
      <c r="AH179" s="212" t="s">
        <v>224</v>
      </c>
      <c r="AI179" s="212" t="s">
        <v>449</v>
      </c>
      <c r="AJ179" s="212" t="s">
        <v>634</v>
      </c>
      <c r="AK179" s="212" t="s">
        <v>531</v>
      </c>
      <c r="AL179" s="212" t="s">
        <v>635</v>
      </c>
      <c r="AM179" s="214" t="b">
        <v>1</v>
      </c>
      <c r="AN179" s="214" t="b">
        <v>0</v>
      </c>
      <c r="AO179" s="212" t="s">
        <v>636</v>
      </c>
      <c r="AP179" s="212" t="s">
        <v>637</v>
      </c>
      <c r="AQ179" s="214">
        <v>134.21816000000001</v>
      </c>
      <c r="AR179" s="214" t="b">
        <v>0</v>
      </c>
      <c r="AS179" s="212" t="s">
        <v>534</v>
      </c>
      <c r="AU179" s="222" t="s">
        <v>819</v>
      </c>
    </row>
    <row r="180" spans="1:47" s="263" customFormat="1" ht="13.5" customHeight="1" x14ac:dyDescent="0.25">
      <c r="A180" s="245">
        <f t="shared" si="23"/>
        <v>180</v>
      </c>
      <c r="B180" s="246" t="str">
        <f t="shared" si="16"/>
        <v>Oil Field - Tank</v>
      </c>
      <c r="C180" s="246" t="str">
        <f ca="1">IF(B180="","",VLOOKUP(D180,'Species Data'!B:E,4,FALSE))</f>
        <v>ethben12</v>
      </c>
      <c r="D180" s="246">
        <f t="shared" ca="1" si="17"/>
        <v>80</v>
      </c>
      <c r="E180" s="246">
        <f t="shared" ca="1" si="18"/>
        <v>2.58E-2</v>
      </c>
      <c r="F180" s="246" t="str">
        <f t="shared" ca="1" si="19"/>
        <v>1-Methyl-2-ethylbenzene</v>
      </c>
      <c r="G180" s="246">
        <f t="shared" ca="1" si="20"/>
        <v>120.19158</v>
      </c>
      <c r="H180" s="204">
        <f ca="1">IF(G180="","",IF(VLOOKUP(Tank!F180,'Species Data'!D:F,3,FALSE)=0,"X",IF(G180&lt;44.1,2,1)))</f>
        <v>1</v>
      </c>
      <c r="I180" s="204">
        <f t="shared" ca="1" si="21"/>
        <v>1.2980124609196252E-2</v>
      </c>
      <c r="J180" s="247">
        <f ca="1">IF(I180="","",IF(COUNTIF($D$12:D180,D180)=1,IF(H180=1,I180*H180,IF(H180="X","X",0)),0))</f>
        <v>1.2980124609196252E-2</v>
      </c>
      <c r="K180" s="248">
        <f t="shared" ca="1" si="22"/>
        <v>3.2828086544075888E-2</v>
      </c>
      <c r="L180" s="212" t="s">
        <v>679</v>
      </c>
      <c r="M180" s="212" t="s">
        <v>448</v>
      </c>
      <c r="N180" s="212" t="s">
        <v>470</v>
      </c>
      <c r="O180" s="213">
        <v>41419</v>
      </c>
      <c r="P180" s="212" t="s">
        <v>680</v>
      </c>
      <c r="Q180" s="214">
        <v>100</v>
      </c>
      <c r="R180" s="212" t="s">
        <v>445</v>
      </c>
      <c r="S180" s="212" t="s">
        <v>532</v>
      </c>
      <c r="T180" s="212" t="s">
        <v>445</v>
      </c>
      <c r="U180" s="212" t="s">
        <v>446</v>
      </c>
      <c r="V180" s="214" t="b">
        <v>1</v>
      </c>
      <c r="W180" s="214">
        <v>1989</v>
      </c>
      <c r="X180" s="214">
        <v>5</v>
      </c>
      <c r="Y180" s="214">
        <v>2</v>
      </c>
      <c r="Z180" s="214">
        <v>4</v>
      </c>
      <c r="AA180" s="212" t="s">
        <v>447</v>
      </c>
      <c r="AB180" s="212" t="s">
        <v>531</v>
      </c>
      <c r="AC180" s="212" t="s">
        <v>533</v>
      </c>
      <c r="AD180" s="214">
        <v>1.169376</v>
      </c>
      <c r="AE180" s="214">
        <v>80</v>
      </c>
      <c r="AF180" s="214">
        <v>2.58E-2</v>
      </c>
      <c r="AG180" s="214">
        <v>-99</v>
      </c>
      <c r="AH180" s="212" t="s">
        <v>224</v>
      </c>
      <c r="AI180" s="212" t="s">
        <v>449</v>
      </c>
      <c r="AJ180" s="212" t="s">
        <v>408</v>
      </c>
      <c r="AK180" s="212" t="s">
        <v>531</v>
      </c>
      <c r="AL180" s="212" t="s">
        <v>450</v>
      </c>
      <c r="AM180" s="214" t="b">
        <v>1</v>
      </c>
      <c r="AN180" s="214" t="b">
        <v>0</v>
      </c>
      <c r="AO180" s="212" t="s">
        <v>409</v>
      </c>
      <c r="AP180" s="212" t="s">
        <v>410</v>
      </c>
      <c r="AQ180" s="214">
        <v>120.19158</v>
      </c>
      <c r="AR180" s="214" t="b">
        <v>0</v>
      </c>
      <c r="AS180" s="212" t="s">
        <v>534</v>
      </c>
      <c r="AU180" s="222" t="s">
        <v>819</v>
      </c>
    </row>
    <row r="181" spans="1:47" s="263" customFormat="1" ht="13.5" customHeight="1" x14ac:dyDescent="0.25">
      <c r="A181" s="245">
        <f t="shared" si="23"/>
        <v>181</v>
      </c>
      <c r="B181" s="246" t="str">
        <f t="shared" si="16"/>
        <v>Oil Field - Tank</v>
      </c>
      <c r="C181" s="246" t="str">
        <f ca="1">IF(B181="","",VLOOKUP(D181,'Species Data'!B:E,4,FALSE))</f>
        <v>ethben13</v>
      </c>
      <c r="D181" s="246">
        <f t="shared" ca="1" si="17"/>
        <v>89</v>
      </c>
      <c r="E181" s="246">
        <f t="shared" ca="1" si="18"/>
        <v>1.3299999999999999E-2</v>
      </c>
      <c r="F181" s="246" t="str">
        <f t="shared" ca="1" si="19"/>
        <v>1-Methyl-3-ethylbenzene (3-Ethyltoluene)</v>
      </c>
      <c r="G181" s="246">
        <f t="shared" ca="1" si="20"/>
        <v>120.19158</v>
      </c>
      <c r="H181" s="204">
        <f ca="1">IF(G181="","",IF(VLOOKUP(Tank!F181,'Species Data'!D:F,3,FALSE)=0,"X",IF(G181&lt;44.1,2,1)))</f>
        <v>1</v>
      </c>
      <c r="I181" s="204">
        <f t="shared" ca="1" si="21"/>
        <v>1.0893437910337275E-2</v>
      </c>
      <c r="J181" s="247">
        <f ca="1">IF(I181="","",IF(COUNTIF($D$12:D181,D181)=1,IF(H181=1,I181*H181,IF(H181="X","X",0)),0))</f>
        <v>0</v>
      </c>
      <c r="K181" s="248">
        <f t="shared" ca="1" si="22"/>
        <v>0</v>
      </c>
      <c r="L181" s="212" t="s">
        <v>679</v>
      </c>
      <c r="M181" s="212" t="s">
        <v>448</v>
      </c>
      <c r="N181" s="212" t="s">
        <v>470</v>
      </c>
      <c r="O181" s="213">
        <v>41419</v>
      </c>
      <c r="P181" s="212" t="s">
        <v>680</v>
      </c>
      <c r="Q181" s="214">
        <v>100</v>
      </c>
      <c r="R181" s="212" t="s">
        <v>445</v>
      </c>
      <c r="S181" s="212" t="s">
        <v>532</v>
      </c>
      <c r="T181" s="212" t="s">
        <v>445</v>
      </c>
      <c r="U181" s="212" t="s">
        <v>446</v>
      </c>
      <c r="V181" s="214" t="b">
        <v>1</v>
      </c>
      <c r="W181" s="214">
        <v>1989</v>
      </c>
      <c r="X181" s="214">
        <v>5</v>
      </c>
      <c r="Y181" s="214">
        <v>2</v>
      </c>
      <c r="Z181" s="214">
        <v>4</v>
      </c>
      <c r="AA181" s="212" t="s">
        <v>447</v>
      </c>
      <c r="AB181" s="212" t="s">
        <v>531</v>
      </c>
      <c r="AC181" s="212" t="s">
        <v>533</v>
      </c>
      <c r="AD181" s="214">
        <v>1.169376</v>
      </c>
      <c r="AE181" s="214">
        <v>89</v>
      </c>
      <c r="AF181" s="214">
        <v>1.3299999999999999E-2</v>
      </c>
      <c r="AG181" s="214">
        <v>-99</v>
      </c>
      <c r="AH181" s="212" t="s">
        <v>224</v>
      </c>
      <c r="AI181" s="212" t="s">
        <v>449</v>
      </c>
      <c r="AJ181" s="212" t="s">
        <v>411</v>
      </c>
      <c r="AK181" s="212" t="s">
        <v>531</v>
      </c>
      <c r="AL181" s="212" t="s">
        <v>451</v>
      </c>
      <c r="AM181" s="214" t="b">
        <v>1</v>
      </c>
      <c r="AN181" s="214" t="b">
        <v>0</v>
      </c>
      <c r="AO181" s="212" t="s">
        <v>412</v>
      </c>
      <c r="AP181" s="212" t="s">
        <v>413</v>
      </c>
      <c r="AQ181" s="214">
        <v>120.19158</v>
      </c>
      <c r="AR181" s="214" t="b">
        <v>0</v>
      </c>
      <c r="AS181" s="212" t="s">
        <v>534</v>
      </c>
      <c r="AU181" s="222" t="s">
        <v>819</v>
      </c>
    </row>
    <row r="182" spans="1:47" s="263" customFormat="1" ht="13.5" customHeight="1" x14ac:dyDescent="0.25">
      <c r="A182" s="245">
        <f t="shared" si="23"/>
        <v>182</v>
      </c>
      <c r="B182" s="246" t="str">
        <f t="shared" si="16"/>
        <v>Oil Field - Tank</v>
      </c>
      <c r="C182" s="246" t="str">
        <f ca="1">IF(B182="","",VLOOKUP(D182,'Species Data'!B:E,4,FALSE))</f>
        <v>dimetbut22</v>
      </c>
      <c r="D182" s="246">
        <f t="shared" ca="1" si="17"/>
        <v>122</v>
      </c>
      <c r="E182" s="246">
        <f t="shared" ca="1" si="18"/>
        <v>9.64E-2</v>
      </c>
      <c r="F182" s="246" t="str">
        <f t="shared" ca="1" si="19"/>
        <v>2,2-dimethylbutane</v>
      </c>
      <c r="G182" s="246">
        <f t="shared" ca="1" si="20"/>
        <v>86.175359999999998</v>
      </c>
      <c r="H182" s="204">
        <f ca="1">IF(G182="","",IF(VLOOKUP(Tank!F182,'Species Data'!D:F,3,FALSE)=0,"X",IF(G182&lt;44.1,2,1)))</f>
        <v>1</v>
      </c>
      <c r="I182" s="204">
        <f t="shared" ca="1" si="21"/>
        <v>8.538748638653601E-2</v>
      </c>
      <c r="J182" s="247">
        <f ca="1">IF(I182="","",IF(COUNTIF($D$12:D182,D182)=1,IF(H182=1,I182*H182,IF(H182="X","X",0)),0))</f>
        <v>0</v>
      </c>
      <c r="K182" s="248">
        <f t="shared" ca="1" si="22"/>
        <v>0</v>
      </c>
      <c r="L182" s="212" t="s">
        <v>679</v>
      </c>
      <c r="M182" s="212" t="s">
        <v>448</v>
      </c>
      <c r="N182" s="212" t="s">
        <v>470</v>
      </c>
      <c r="O182" s="213">
        <v>41419</v>
      </c>
      <c r="P182" s="212" t="s">
        <v>680</v>
      </c>
      <c r="Q182" s="214">
        <v>100</v>
      </c>
      <c r="R182" s="212" t="s">
        <v>445</v>
      </c>
      <c r="S182" s="212" t="s">
        <v>532</v>
      </c>
      <c r="T182" s="212" t="s">
        <v>445</v>
      </c>
      <c r="U182" s="212" t="s">
        <v>446</v>
      </c>
      <c r="V182" s="214" t="b">
        <v>1</v>
      </c>
      <c r="W182" s="214">
        <v>1989</v>
      </c>
      <c r="X182" s="214">
        <v>5</v>
      </c>
      <c r="Y182" s="214">
        <v>2</v>
      </c>
      <c r="Z182" s="214">
        <v>4</v>
      </c>
      <c r="AA182" s="212" t="s">
        <v>447</v>
      </c>
      <c r="AB182" s="212" t="s">
        <v>531</v>
      </c>
      <c r="AC182" s="212" t="s">
        <v>533</v>
      </c>
      <c r="AD182" s="214">
        <v>1.169376</v>
      </c>
      <c r="AE182" s="214">
        <v>122</v>
      </c>
      <c r="AF182" s="214">
        <v>9.64E-2</v>
      </c>
      <c r="AG182" s="214">
        <v>-99</v>
      </c>
      <c r="AH182" s="212" t="s">
        <v>224</v>
      </c>
      <c r="AI182" s="212" t="s">
        <v>449</v>
      </c>
      <c r="AJ182" s="212" t="s">
        <v>301</v>
      </c>
      <c r="AK182" s="212" t="s">
        <v>531</v>
      </c>
      <c r="AL182" s="212" t="s">
        <v>384</v>
      </c>
      <c r="AM182" s="214" t="b">
        <v>1</v>
      </c>
      <c r="AN182" s="214" t="b">
        <v>0</v>
      </c>
      <c r="AO182" s="212" t="s">
        <v>302</v>
      </c>
      <c r="AP182" s="212" t="s">
        <v>303</v>
      </c>
      <c r="AQ182" s="214">
        <v>86.175359999999998</v>
      </c>
      <c r="AR182" s="214" t="b">
        <v>0</v>
      </c>
      <c r="AS182" s="212" t="s">
        <v>534</v>
      </c>
      <c r="AU182" s="222" t="s">
        <v>819</v>
      </c>
    </row>
    <row r="183" spans="1:47" s="263" customFormat="1" ht="13.5" customHeight="1" x14ac:dyDescent="0.25">
      <c r="A183" s="245">
        <f t="shared" si="23"/>
        <v>183</v>
      </c>
      <c r="B183" s="246" t="str">
        <f t="shared" si="16"/>
        <v>Oil Field - Tank</v>
      </c>
      <c r="C183" s="246" t="str">
        <f ca="1">IF(B183="","",VLOOKUP(D183,'Species Data'!B:E,4,FALSE))</f>
        <v>dimethpro</v>
      </c>
      <c r="D183" s="246">
        <f t="shared" ca="1" si="17"/>
        <v>127</v>
      </c>
      <c r="E183" s="246">
        <f t="shared" ca="1" si="18"/>
        <v>4.5600000000000002E-2</v>
      </c>
      <c r="F183" s="246" t="str">
        <f t="shared" ca="1" si="19"/>
        <v>2,2-dimethylpropane</v>
      </c>
      <c r="G183" s="246">
        <f t="shared" ca="1" si="20"/>
        <v>72.148780000000002</v>
      </c>
      <c r="H183" s="204">
        <f ca="1">IF(G183="","",IF(VLOOKUP(Tank!F183,'Species Data'!D:F,3,FALSE)=0,"X",IF(G183&lt;44.1,2,1)))</f>
        <v>1</v>
      </c>
      <c r="I183" s="204">
        <f t="shared" ca="1" si="21"/>
        <v>9.7614270430329483E-2</v>
      </c>
      <c r="J183" s="247">
        <f ca="1">IF(I183="","",IF(COUNTIF($D$12:D183,D183)=1,IF(H183=1,I183*H183,IF(H183="X","X",0)),0))</f>
        <v>0</v>
      </c>
      <c r="K183" s="248">
        <f t="shared" ca="1" si="22"/>
        <v>0</v>
      </c>
      <c r="L183" s="212" t="s">
        <v>679</v>
      </c>
      <c r="M183" s="212" t="s">
        <v>448</v>
      </c>
      <c r="N183" s="212" t="s">
        <v>470</v>
      </c>
      <c r="O183" s="213">
        <v>41419</v>
      </c>
      <c r="P183" s="212" t="s">
        <v>680</v>
      </c>
      <c r="Q183" s="214">
        <v>100</v>
      </c>
      <c r="R183" s="212" t="s">
        <v>445</v>
      </c>
      <c r="S183" s="212" t="s">
        <v>532</v>
      </c>
      <c r="T183" s="212" t="s">
        <v>445</v>
      </c>
      <c r="U183" s="212" t="s">
        <v>446</v>
      </c>
      <c r="V183" s="214" t="b">
        <v>1</v>
      </c>
      <c r="W183" s="214">
        <v>1989</v>
      </c>
      <c r="X183" s="214">
        <v>5</v>
      </c>
      <c r="Y183" s="214">
        <v>2</v>
      </c>
      <c r="Z183" s="214">
        <v>4</v>
      </c>
      <c r="AA183" s="212" t="s">
        <v>447</v>
      </c>
      <c r="AB183" s="212" t="s">
        <v>531</v>
      </c>
      <c r="AC183" s="212" t="s">
        <v>533</v>
      </c>
      <c r="AD183" s="214">
        <v>1.169376</v>
      </c>
      <c r="AE183" s="214">
        <v>127</v>
      </c>
      <c r="AF183" s="214">
        <v>4.5600000000000002E-2</v>
      </c>
      <c r="AG183" s="214">
        <v>-99</v>
      </c>
      <c r="AH183" s="212" t="s">
        <v>224</v>
      </c>
      <c r="AI183" s="212" t="s">
        <v>449</v>
      </c>
      <c r="AJ183" s="212" t="s">
        <v>441</v>
      </c>
      <c r="AK183" s="212" t="s">
        <v>531</v>
      </c>
      <c r="AL183" s="212" t="s">
        <v>462</v>
      </c>
      <c r="AM183" s="214" t="b">
        <v>0</v>
      </c>
      <c r="AN183" s="214" t="b">
        <v>0</v>
      </c>
      <c r="AO183" s="212" t="s">
        <v>442</v>
      </c>
      <c r="AP183" s="212" t="s">
        <v>531</v>
      </c>
      <c r="AQ183" s="214">
        <v>72.148780000000002</v>
      </c>
      <c r="AR183" s="214" t="b">
        <v>0</v>
      </c>
      <c r="AS183" s="212" t="s">
        <v>534</v>
      </c>
      <c r="AU183" s="222" t="s">
        <v>819</v>
      </c>
    </row>
    <row r="184" spans="1:47" s="263" customFormat="1" ht="13.5" customHeight="1" x14ac:dyDescent="0.25">
      <c r="A184" s="245">
        <f t="shared" si="23"/>
        <v>184</v>
      </c>
      <c r="B184" s="246" t="str">
        <f t="shared" si="16"/>
        <v>Oil Field - Tank</v>
      </c>
      <c r="C184" s="246" t="str">
        <f ca="1">IF(B184="","",VLOOKUP(D184,'Species Data'!B:E,4,FALSE))</f>
        <v>trimentpen3</v>
      </c>
      <c r="D184" s="246">
        <f t="shared" ca="1" si="17"/>
        <v>130</v>
      </c>
      <c r="E184" s="246">
        <f t="shared" ca="1" si="18"/>
        <v>3.09E-2</v>
      </c>
      <c r="F184" s="246" t="str">
        <f t="shared" ca="1" si="19"/>
        <v>2,3,4-trimethylpentane</v>
      </c>
      <c r="G184" s="246">
        <f t="shared" ca="1" si="20"/>
        <v>114.22852</v>
      </c>
      <c r="H184" s="204">
        <f ca="1">IF(G184="","",IF(VLOOKUP(Tank!F184,'Species Data'!D:F,3,FALSE)=0,"X",IF(G184&lt;44.1,2,1)))</f>
        <v>1</v>
      </c>
      <c r="I184" s="204">
        <f t="shared" ca="1" si="21"/>
        <v>0.22004211240427912</v>
      </c>
      <c r="J184" s="247">
        <f ca="1">IF(I184="","",IF(COUNTIF($D$12:D184,D184)=1,IF(H184=1,I184*H184,IF(H184="X","X",0)),0))</f>
        <v>0</v>
      </c>
      <c r="K184" s="248">
        <f t="shared" ca="1" si="22"/>
        <v>0</v>
      </c>
      <c r="L184" s="212" t="s">
        <v>679</v>
      </c>
      <c r="M184" s="212" t="s">
        <v>448</v>
      </c>
      <c r="N184" s="212" t="s">
        <v>470</v>
      </c>
      <c r="O184" s="213">
        <v>41419</v>
      </c>
      <c r="P184" s="212" t="s">
        <v>680</v>
      </c>
      <c r="Q184" s="214">
        <v>100</v>
      </c>
      <c r="R184" s="212" t="s">
        <v>445</v>
      </c>
      <c r="S184" s="212" t="s">
        <v>532</v>
      </c>
      <c r="T184" s="212" t="s">
        <v>445</v>
      </c>
      <c r="U184" s="212" t="s">
        <v>446</v>
      </c>
      <c r="V184" s="214" t="b">
        <v>1</v>
      </c>
      <c r="W184" s="214">
        <v>1989</v>
      </c>
      <c r="X184" s="214">
        <v>5</v>
      </c>
      <c r="Y184" s="214">
        <v>2</v>
      </c>
      <c r="Z184" s="214">
        <v>4</v>
      </c>
      <c r="AA184" s="212" t="s">
        <v>447</v>
      </c>
      <c r="AB184" s="212" t="s">
        <v>531</v>
      </c>
      <c r="AC184" s="212" t="s">
        <v>533</v>
      </c>
      <c r="AD184" s="214">
        <v>1.169376</v>
      </c>
      <c r="AE184" s="214">
        <v>130</v>
      </c>
      <c r="AF184" s="214">
        <v>3.09E-2</v>
      </c>
      <c r="AG184" s="214">
        <v>-99</v>
      </c>
      <c r="AH184" s="212" t="s">
        <v>224</v>
      </c>
      <c r="AI184" s="212" t="s">
        <v>449</v>
      </c>
      <c r="AJ184" s="212" t="s">
        <v>404</v>
      </c>
      <c r="AK184" s="212" t="s">
        <v>531</v>
      </c>
      <c r="AL184" s="212" t="s">
        <v>405</v>
      </c>
      <c r="AM184" s="214" t="b">
        <v>1</v>
      </c>
      <c r="AN184" s="214" t="b">
        <v>0</v>
      </c>
      <c r="AO184" s="212" t="s">
        <v>406</v>
      </c>
      <c r="AP184" s="212" t="s">
        <v>407</v>
      </c>
      <c r="AQ184" s="214">
        <v>114.22852</v>
      </c>
      <c r="AR184" s="214" t="b">
        <v>0</v>
      </c>
      <c r="AS184" s="212" t="s">
        <v>534</v>
      </c>
      <c r="AU184" s="222" t="s">
        <v>819</v>
      </c>
    </row>
    <row r="185" spans="1:47" s="263" customFormat="1" ht="13.5" customHeight="1" x14ac:dyDescent="0.25">
      <c r="A185" s="245">
        <f t="shared" si="23"/>
        <v>185</v>
      </c>
      <c r="B185" s="246" t="str">
        <f t="shared" si="16"/>
        <v>Oil Field - Tank</v>
      </c>
      <c r="C185" s="246" t="str">
        <f ca="1">IF(B185="","",VLOOKUP(D185,'Species Data'!B:E,4,FALSE))</f>
        <v>dimetbut</v>
      </c>
      <c r="D185" s="246">
        <f t="shared" ca="1" si="17"/>
        <v>136</v>
      </c>
      <c r="E185" s="246">
        <f t="shared" ca="1" si="18"/>
        <v>0.32929999999999998</v>
      </c>
      <c r="F185" s="246" t="str">
        <f t="shared" ca="1" si="19"/>
        <v>2,3-dimethylbutane</v>
      </c>
      <c r="G185" s="246">
        <f t="shared" ca="1" si="20"/>
        <v>86.175359999999998</v>
      </c>
      <c r="H185" s="204">
        <f ca="1">IF(G185="","",IF(VLOOKUP(Tank!F185,'Species Data'!D:F,3,FALSE)=0,"X",IF(G185&lt;44.1,2,1)))</f>
        <v>1</v>
      </c>
      <c r="I185" s="204">
        <f t="shared" ca="1" si="21"/>
        <v>0.22725551498627725</v>
      </c>
      <c r="J185" s="247">
        <f ca="1">IF(I185="","",IF(COUNTIF($D$12:D185,D185)=1,IF(H185=1,I185*H185,IF(H185="X","X",0)),0))</f>
        <v>0.22725551498627725</v>
      </c>
      <c r="K185" s="248">
        <f t="shared" ca="1" si="22"/>
        <v>0.57475285778862817</v>
      </c>
      <c r="L185" s="212" t="s">
        <v>679</v>
      </c>
      <c r="M185" s="212" t="s">
        <v>448</v>
      </c>
      <c r="N185" s="212" t="s">
        <v>470</v>
      </c>
      <c r="O185" s="213">
        <v>41419</v>
      </c>
      <c r="P185" s="212" t="s">
        <v>680</v>
      </c>
      <c r="Q185" s="214">
        <v>100</v>
      </c>
      <c r="R185" s="212" t="s">
        <v>445</v>
      </c>
      <c r="S185" s="212" t="s">
        <v>532</v>
      </c>
      <c r="T185" s="212" t="s">
        <v>445</v>
      </c>
      <c r="U185" s="212" t="s">
        <v>446</v>
      </c>
      <c r="V185" s="214" t="b">
        <v>1</v>
      </c>
      <c r="W185" s="214">
        <v>1989</v>
      </c>
      <c r="X185" s="214">
        <v>5</v>
      </c>
      <c r="Y185" s="214">
        <v>2</v>
      </c>
      <c r="Z185" s="214">
        <v>4</v>
      </c>
      <c r="AA185" s="212" t="s">
        <v>447</v>
      </c>
      <c r="AB185" s="212" t="s">
        <v>531</v>
      </c>
      <c r="AC185" s="212" t="s">
        <v>533</v>
      </c>
      <c r="AD185" s="214">
        <v>1.169376</v>
      </c>
      <c r="AE185" s="214">
        <v>136</v>
      </c>
      <c r="AF185" s="214">
        <v>0.32929999999999998</v>
      </c>
      <c r="AG185" s="214">
        <v>-99</v>
      </c>
      <c r="AH185" s="212" t="s">
        <v>224</v>
      </c>
      <c r="AI185" s="212" t="s">
        <v>449</v>
      </c>
      <c r="AJ185" s="212" t="s">
        <v>304</v>
      </c>
      <c r="AK185" s="212" t="s">
        <v>531</v>
      </c>
      <c r="AL185" s="212" t="s">
        <v>620</v>
      </c>
      <c r="AM185" s="214" t="b">
        <v>1</v>
      </c>
      <c r="AN185" s="214" t="b">
        <v>0</v>
      </c>
      <c r="AO185" s="212" t="s">
        <v>305</v>
      </c>
      <c r="AP185" s="212" t="s">
        <v>306</v>
      </c>
      <c r="AQ185" s="214">
        <v>86.175359999999998</v>
      </c>
      <c r="AR185" s="214" t="b">
        <v>0</v>
      </c>
      <c r="AS185" s="212" t="s">
        <v>534</v>
      </c>
      <c r="AU185" s="222" t="s">
        <v>819</v>
      </c>
    </row>
    <row r="186" spans="1:47" s="263" customFormat="1" ht="13.5" customHeight="1" x14ac:dyDescent="0.25">
      <c r="A186" s="245">
        <f t="shared" si="23"/>
        <v>186</v>
      </c>
      <c r="B186" s="246" t="str">
        <f t="shared" si="16"/>
        <v>Oil Field - Tank</v>
      </c>
      <c r="C186" s="246" t="str">
        <f ca="1">IF(B186="","",VLOOKUP(D186,'Species Data'!B:E,4,FALSE))</f>
        <v>dimethhex23</v>
      </c>
      <c r="D186" s="246">
        <f t="shared" ca="1" si="17"/>
        <v>138</v>
      </c>
      <c r="E186" s="246">
        <f t="shared" ca="1" si="18"/>
        <v>4.5600000000000002E-2</v>
      </c>
      <c r="F186" s="246" t="str">
        <f t="shared" ca="1" si="19"/>
        <v>2,3-dimethylhexane</v>
      </c>
      <c r="G186" s="246">
        <f t="shared" ca="1" si="20"/>
        <v>114.22852</v>
      </c>
      <c r="H186" s="204">
        <f ca="1">IF(G186="","",IF(VLOOKUP(Tank!F186,'Species Data'!D:F,3,FALSE)=0,"X",IF(G186&lt;44.1,2,1)))</f>
        <v>1</v>
      </c>
      <c r="I186" s="204">
        <f t="shared" ca="1" si="21"/>
        <v>2.958028397072613E-2</v>
      </c>
      <c r="J186" s="247">
        <f ca="1">IF(I186="","",IF(COUNTIF($D$12:D186,D186)=1,IF(H186=1,I186*H186,IF(H186="X","X",0)),0))</f>
        <v>0</v>
      </c>
      <c r="K186" s="248">
        <f t="shared" ca="1" si="22"/>
        <v>0</v>
      </c>
      <c r="L186" s="212" t="s">
        <v>679</v>
      </c>
      <c r="M186" s="212" t="s">
        <v>448</v>
      </c>
      <c r="N186" s="212" t="s">
        <v>470</v>
      </c>
      <c r="O186" s="213">
        <v>41419</v>
      </c>
      <c r="P186" s="212" t="s">
        <v>680</v>
      </c>
      <c r="Q186" s="214">
        <v>100</v>
      </c>
      <c r="R186" s="212" t="s">
        <v>445</v>
      </c>
      <c r="S186" s="212" t="s">
        <v>532</v>
      </c>
      <c r="T186" s="212" t="s">
        <v>445</v>
      </c>
      <c r="U186" s="212" t="s">
        <v>446</v>
      </c>
      <c r="V186" s="214" t="b">
        <v>1</v>
      </c>
      <c r="W186" s="214">
        <v>1989</v>
      </c>
      <c r="X186" s="214">
        <v>5</v>
      </c>
      <c r="Y186" s="214">
        <v>2</v>
      </c>
      <c r="Z186" s="214">
        <v>4</v>
      </c>
      <c r="AA186" s="212" t="s">
        <v>447</v>
      </c>
      <c r="AB186" s="212" t="s">
        <v>531</v>
      </c>
      <c r="AC186" s="212" t="s">
        <v>533</v>
      </c>
      <c r="AD186" s="214">
        <v>1.169376</v>
      </c>
      <c r="AE186" s="214">
        <v>138</v>
      </c>
      <c r="AF186" s="214">
        <v>4.5600000000000002E-2</v>
      </c>
      <c r="AG186" s="214">
        <v>-99</v>
      </c>
      <c r="AH186" s="212" t="s">
        <v>224</v>
      </c>
      <c r="AI186" s="212" t="s">
        <v>449</v>
      </c>
      <c r="AJ186" s="212" t="s">
        <v>443</v>
      </c>
      <c r="AK186" s="212" t="s">
        <v>531</v>
      </c>
      <c r="AL186" s="212" t="s">
        <v>463</v>
      </c>
      <c r="AM186" s="214" t="b">
        <v>0</v>
      </c>
      <c r="AN186" s="214" t="b">
        <v>0</v>
      </c>
      <c r="AO186" s="212" t="s">
        <v>444</v>
      </c>
      <c r="AP186" s="212" t="s">
        <v>531</v>
      </c>
      <c r="AQ186" s="214">
        <v>114.22852</v>
      </c>
      <c r="AR186" s="214" t="b">
        <v>0</v>
      </c>
      <c r="AS186" s="212" t="s">
        <v>534</v>
      </c>
      <c r="AU186" s="222" t="s">
        <v>819</v>
      </c>
    </row>
    <row r="187" spans="1:47" s="263" customFormat="1" ht="13.5" customHeight="1" x14ac:dyDescent="0.25">
      <c r="A187" s="245">
        <f t="shared" si="23"/>
        <v>187</v>
      </c>
      <c r="B187" s="246" t="str">
        <f t="shared" si="16"/>
        <v>Oil Field - Tank</v>
      </c>
      <c r="C187" s="246" t="str">
        <f ca="1">IF(B187="","",VLOOKUP(D187,'Species Data'!B:E,4,FALSE))</f>
        <v>dimetpen3</v>
      </c>
      <c r="D187" s="246">
        <f t="shared" ca="1" si="17"/>
        <v>140</v>
      </c>
      <c r="E187" s="246">
        <f t="shared" ca="1" si="18"/>
        <v>0.32579999999999998</v>
      </c>
      <c r="F187" s="246" t="str">
        <f t="shared" ca="1" si="19"/>
        <v>2,3-dimethylpentane</v>
      </c>
      <c r="G187" s="246">
        <f t="shared" ca="1" si="20"/>
        <v>100.20194000000001</v>
      </c>
      <c r="H187" s="204">
        <f ca="1">IF(G187="","",IF(VLOOKUP(Tank!F187,'Species Data'!D:F,3,FALSE)=0,"X",IF(G187&lt;44.1,2,1)))</f>
        <v>1</v>
      </c>
      <c r="I187" s="204">
        <f t="shared" ca="1" si="21"/>
        <v>0.24488235087056845</v>
      </c>
      <c r="J187" s="247">
        <f ca="1">IF(I187="","",IF(COUNTIF($D$12:D187,D187)=1,IF(H187=1,I187*H187,IF(H187="X","X",0)),0))</f>
        <v>0</v>
      </c>
      <c r="K187" s="248">
        <f t="shared" ca="1" si="22"/>
        <v>0</v>
      </c>
      <c r="L187" s="212" t="s">
        <v>679</v>
      </c>
      <c r="M187" s="212" t="s">
        <v>448</v>
      </c>
      <c r="N187" s="212" t="s">
        <v>470</v>
      </c>
      <c r="O187" s="213">
        <v>41419</v>
      </c>
      <c r="P187" s="212" t="s">
        <v>680</v>
      </c>
      <c r="Q187" s="214">
        <v>100</v>
      </c>
      <c r="R187" s="212" t="s">
        <v>445</v>
      </c>
      <c r="S187" s="212" t="s">
        <v>532</v>
      </c>
      <c r="T187" s="212" t="s">
        <v>445</v>
      </c>
      <c r="U187" s="212" t="s">
        <v>446</v>
      </c>
      <c r="V187" s="214" t="b">
        <v>1</v>
      </c>
      <c r="W187" s="214">
        <v>1989</v>
      </c>
      <c r="X187" s="214">
        <v>5</v>
      </c>
      <c r="Y187" s="214">
        <v>2</v>
      </c>
      <c r="Z187" s="214">
        <v>4</v>
      </c>
      <c r="AA187" s="212" t="s">
        <v>447</v>
      </c>
      <c r="AB187" s="212" t="s">
        <v>531</v>
      </c>
      <c r="AC187" s="212" t="s">
        <v>533</v>
      </c>
      <c r="AD187" s="214">
        <v>1.169376</v>
      </c>
      <c r="AE187" s="214">
        <v>140</v>
      </c>
      <c r="AF187" s="214">
        <v>0.32579999999999998</v>
      </c>
      <c r="AG187" s="214">
        <v>-99</v>
      </c>
      <c r="AH187" s="212" t="s">
        <v>224</v>
      </c>
      <c r="AI187" s="212" t="s">
        <v>449</v>
      </c>
      <c r="AJ187" s="212" t="s">
        <v>307</v>
      </c>
      <c r="AK187" s="212" t="s">
        <v>531</v>
      </c>
      <c r="AL187" s="212" t="s">
        <v>385</v>
      </c>
      <c r="AM187" s="214" t="b">
        <v>1</v>
      </c>
      <c r="AN187" s="214" t="b">
        <v>0</v>
      </c>
      <c r="AO187" s="212" t="s">
        <v>308</v>
      </c>
      <c r="AP187" s="212" t="s">
        <v>309</v>
      </c>
      <c r="AQ187" s="214">
        <v>100.20194000000001</v>
      </c>
      <c r="AR187" s="214" t="b">
        <v>0</v>
      </c>
      <c r="AS187" s="212" t="s">
        <v>534</v>
      </c>
      <c r="AU187" s="222" t="s">
        <v>819</v>
      </c>
    </row>
    <row r="188" spans="1:47" s="263" customFormat="1" ht="13.5" customHeight="1" x14ac:dyDescent="0.25">
      <c r="A188" s="245">
        <f t="shared" si="23"/>
        <v>188</v>
      </c>
      <c r="B188" s="246" t="str">
        <f t="shared" si="16"/>
        <v>Oil Field - Tank</v>
      </c>
      <c r="C188" s="246" t="str">
        <f ca="1">IF(B188="","",VLOOKUP(D188,'Species Data'!B:E,4,FALSE))</f>
        <v>dimethhex24</v>
      </c>
      <c r="D188" s="246">
        <f t="shared" ca="1" si="17"/>
        <v>149</v>
      </c>
      <c r="E188" s="246">
        <f t="shared" ca="1" si="18"/>
        <v>5.5E-2</v>
      </c>
      <c r="F188" s="246" t="str">
        <f t="shared" ca="1" si="19"/>
        <v>2,4-dimethylhexane</v>
      </c>
      <c r="G188" s="246">
        <f t="shared" ca="1" si="20"/>
        <v>114.22852</v>
      </c>
      <c r="H188" s="204">
        <f ca="1">IF(G188="","",IF(VLOOKUP(Tank!F188,'Species Data'!D:F,3,FALSE)=0,"X",IF(G188&lt;44.1,2,1)))</f>
        <v>1</v>
      </c>
      <c r="I188" s="204">
        <f t="shared" ca="1" si="21"/>
        <v>6.6793974555489091E-2</v>
      </c>
      <c r="J188" s="247">
        <f ca="1">IF(I188="","",IF(COUNTIF($D$12:D188,D188)=1,IF(H188=1,I188*H188,IF(H188="X","X",0)),0))</f>
        <v>0</v>
      </c>
      <c r="K188" s="248">
        <f t="shared" ca="1" si="22"/>
        <v>0</v>
      </c>
      <c r="L188" s="212" t="s">
        <v>679</v>
      </c>
      <c r="M188" s="212" t="s">
        <v>448</v>
      </c>
      <c r="N188" s="212" t="s">
        <v>470</v>
      </c>
      <c r="O188" s="213">
        <v>41419</v>
      </c>
      <c r="P188" s="212" t="s">
        <v>680</v>
      </c>
      <c r="Q188" s="214">
        <v>100</v>
      </c>
      <c r="R188" s="212" t="s">
        <v>445</v>
      </c>
      <c r="S188" s="212" t="s">
        <v>532</v>
      </c>
      <c r="T188" s="212" t="s">
        <v>445</v>
      </c>
      <c r="U188" s="212" t="s">
        <v>446</v>
      </c>
      <c r="V188" s="214" t="b">
        <v>1</v>
      </c>
      <c r="W188" s="214">
        <v>1989</v>
      </c>
      <c r="X188" s="214">
        <v>5</v>
      </c>
      <c r="Y188" s="214">
        <v>2</v>
      </c>
      <c r="Z188" s="214">
        <v>4</v>
      </c>
      <c r="AA188" s="212" t="s">
        <v>447</v>
      </c>
      <c r="AB188" s="212" t="s">
        <v>531</v>
      </c>
      <c r="AC188" s="212" t="s">
        <v>533</v>
      </c>
      <c r="AD188" s="214">
        <v>1.169376</v>
      </c>
      <c r="AE188" s="214">
        <v>149</v>
      </c>
      <c r="AF188" s="214">
        <v>5.5E-2</v>
      </c>
      <c r="AG188" s="214">
        <v>-99</v>
      </c>
      <c r="AH188" s="212" t="s">
        <v>224</v>
      </c>
      <c r="AI188" s="212" t="s">
        <v>449</v>
      </c>
      <c r="AJ188" s="212" t="s">
        <v>427</v>
      </c>
      <c r="AK188" s="212" t="s">
        <v>531</v>
      </c>
      <c r="AL188" s="212" t="s">
        <v>457</v>
      </c>
      <c r="AM188" s="214" t="b">
        <v>0</v>
      </c>
      <c r="AN188" s="214" t="b">
        <v>0</v>
      </c>
      <c r="AO188" s="212" t="s">
        <v>428</v>
      </c>
      <c r="AP188" s="212" t="s">
        <v>429</v>
      </c>
      <c r="AQ188" s="214">
        <v>114.22852</v>
      </c>
      <c r="AR188" s="214" t="b">
        <v>0</v>
      </c>
      <c r="AS188" s="212" t="s">
        <v>534</v>
      </c>
      <c r="AU188" s="222" t="s">
        <v>819</v>
      </c>
    </row>
    <row r="189" spans="1:47" s="263" customFormat="1" ht="13.5" customHeight="1" x14ac:dyDescent="0.25">
      <c r="A189" s="245">
        <f t="shared" si="23"/>
        <v>189</v>
      </c>
      <c r="B189" s="246" t="str">
        <f t="shared" si="16"/>
        <v>Oil Field - Tank</v>
      </c>
      <c r="C189" s="246" t="str">
        <f ca="1">IF(B189="","",VLOOKUP(D189,'Species Data'!B:E,4,FALSE))</f>
        <v>dimetpen4</v>
      </c>
      <c r="D189" s="246">
        <f t="shared" ca="1" si="17"/>
        <v>152</v>
      </c>
      <c r="E189" s="246">
        <f t="shared" ca="1" si="18"/>
        <v>0.11210000000000001</v>
      </c>
      <c r="F189" s="246" t="str">
        <f t="shared" ca="1" si="19"/>
        <v>2,4-dimethylpentane</v>
      </c>
      <c r="G189" s="246">
        <f t="shared" ca="1" si="20"/>
        <v>100.20194000000001</v>
      </c>
      <c r="H189" s="204">
        <f ca="1">IF(G189="","",IF(VLOOKUP(Tank!F189,'Species Data'!D:F,3,FALSE)=0,"X",IF(G189&lt;44.1,2,1)))</f>
        <v>1</v>
      </c>
      <c r="I189" s="204">
        <f t="shared" ca="1" si="21"/>
        <v>7.947409628465768E-2</v>
      </c>
      <c r="J189" s="247">
        <f ca="1">IF(I189="","",IF(COUNTIF($D$12:D189,D189)=1,IF(H189=1,I189*H189,IF(H189="X","X",0)),0))</f>
        <v>0</v>
      </c>
      <c r="K189" s="248">
        <f t="shared" ca="1" si="22"/>
        <v>0</v>
      </c>
      <c r="L189" s="212" t="s">
        <v>679</v>
      </c>
      <c r="M189" s="212" t="s">
        <v>448</v>
      </c>
      <c r="N189" s="212" t="s">
        <v>470</v>
      </c>
      <c r="O189" s="213">
        <v>41419</v>
      </c>
      <c r="P189" s="212" t="s">
        <v>680</v>
      </c>
      <c r="Q189" s="214">
        <v>100</v>
      </c>
      <c r="R189" s="212" t="s">
        <v>445</v>
      </c>
      <c r="S189" s="212" t="s">
        <v>532</v>
      </c>
      <c r="T189" s="212" t="s">
        <v>445</v>
      </c>
      <c r="U189" s="212" t="s">
        <v>446</v>
      </c>
      <c r="V189" s="214" t="b">
        <v>1</v>
      </c>
      <c r="W189" s="214">
        <v>1989</v>
      </c>
      <c r="X189" s="214">
        <v>5</v>
      </c>
      <c r="Y189" s="214">
        <v>2</v>
      </c>
      <c r="Z189" s="214">
        <v>4</v>
      </c>
      <c r="AA189" s="212" t="s">
        <v>447</v>
      </c>
      <c r="AB189" s="212" t="s">
        <v>531</v>
      </c>
      <c r="AC189" s="212" t="s">
        <v>533</v>
      </c>
      <c r="AD189" s="214">
        <v>1.169376</v>
      </c>
      <c r="AE189" s="214">
        <v>152</v>
      </c>
      <c r="AF189" s="214">
        <v>0.11210000000000001</v>
      </c>
      <c r="AG189" s="214">
        <v>-99</v>
      </c>
      <c r="AH189" s="212" t="s">
        <v>224</v>
      </c>
      <c r="AI189" s="212" t="s">
        <v>449</v>
      </c>
      <c r="AJ189" s="212" t="s">
        <v>310</v>
      </c>
      <c r="AK189" s="212" t="s">
        <v>531</v>
      </c>
      <c r="AL189" s="212" t="s">
        <v>386</v>
      </c>
      <c r="AM189" s="214" t="b">
        <v>1</v>
      </c>
      <c r="AN189" s="214" t="b">
        <v>0</v>
      </c>
      <c r="AO189" s="212" t="s">
        <v>311</v>
      </c>
      <c r="AP189" s="212" t="s">
        <v>312</v>
      </c>
      <c r="AQ189" s="214">
        <v>100.20194000000001</v>
      </c>
      <c r="AR189" s="214" t="b">
        <v>0</v>
      </c>
      <c r="AS189" s="212" t="s">
        <v>534</v>
      </c>
      <c r="AU189" s="222" t="s">
        <v>819</v>
      </c>
    </row>
    <row r="190" spans="1:47" s="263" customFormat="1" ht="13.5" customHeight="1" x14ac:dyDescent="0.25">
      <c r="A190" s="245">
        <f t="shared" si="23"/>
        <v>190</v>
      </c>
      <c r="B190" s="246" t="str">
        <f t="shared" si="16"/>
        <v>Oil Field - Tank</v>
      </c>
      <c r="C190" s="246" t="str">
        <f ca="1">IF(B190="","",VLOOKUP(D190,'Species Data'!B:E,4,FALSE))</f>
        <v>methep2</v>
      </c>
      <c r="D190" s="246">
        <f t="shared" ca="1" si="17"/>
        <v>193</v>
      </c>
      <c r="E190" s="246">
        <f t="shared" ca="1" si="18"/>
        <v>0.4294</v>
      </c>
      <c r="F190" s="246" t="str">
        <f t="shared" ca="1" si="19"/>
        <v>2-methylheptane</v>
      </c>
      <c r="G190" s="246">
        <f t="shared" ca="1" si="20"/>
        <v>114.22852</v>
      </c>
      <c r="H190" s="204">
        <f ca="1">IF(G190="","",IF(VLOOKUP(Tank!F190,'Species Data'!D:F,3,FALSE)=0,"X",IF(G190&lt;44.1,2,1)))</f>
        <v>1</v>
      </c>
      <c r="I190" s="204">
        <f t="shared" ca="1" si="21"/>
        <v>0.11845447049625013</v>
      </c>
      <c r="J190" s="247">
        <f ca="1">IF(I190="","",IF(COUNTIF($D$12:D190,D190)=1,IF(H190=1,I190*H190,IF(H190="X","X",0)),0))</f>
        <v>0</v>
      </c>
      <c r="K190" s="248">
        <f t="shared" ca="1" si="22"/>
        <v>0</v>
      </c>
      <c r="L190" s="212" t="s">
        <v>679</v>
      </c>
      <c r="M190" s="212" t="s">
        <v>448</v>
      </c>
      <c r="N190" s="212" t="s">
        <v>470</v>
      </c>
      <c r="O190" s="213">
        <v>41419</v>
      </c>
      <c r="P190" s="212" t="s">
        <v>680</v>
      </c>
      <c r="Q190" s="214">
        <v>100</v>
      </c>
      <c r="R190" s="212" t="s">
        <v>445</v>
      </c>
      <c r="S190" s="212" t="s">
        <v>532</v>
      </c>
      <c r="T190" s="212" t="s">
        <v>445</v>
      </c>
      <c r="U190" s="212" t="s">
        <v>446</v>
      </c>
      <c r="V190" s="214" t="b">
        <v>1</v>
      </c>
      <c r="W190" s="214">
        <v>1989</v>
      </c>
      <c r="X190" s="214">
        <v>5</v>
      </c>
      <c r="Y190" s="214">
        <v>2</v>
      </c>
      <c r="Z190" s="214">
        <v>4</v>
      </c>
      <c r="AA190" s="212" t="s">
        <v>447</v>
      </c>
      <c r="AB190" s="212" t="s">
        <v>531</v>
      </c>
      <c r="AC190" s="212" t="s">
        <v>533</v>
      </c>
      <c r="AD190" s="214">
        <v>1.169376</v>
      </c>
      <c r="AE190" s="214">
        <v>193</v>
      </c>
      <c r="AF190" s="214">
        <v>0.4294</v>
      </c>
      <c r="AG190" s="214">
        <v>-99</v>
      </c>
      <c r="AH190" s="212" t="s">
        <v>224</v>
      </c>
      <c r="AI190" s="212" t="s">
        <v>449</v>
      </c>
      <c r="AJ190" s="212" t="s">
        <v>313</v>
      </c>
      <c r="AK190" s="212" t="s">
        <v>531</v>
      </c>
      <c r="AL190" s="212" t="s">
        <v>387</v>
      </c>
      <c r="AM190" s="214" t="b">
        <v>1</v>
      </c>
      <c r="AN190" s="214" t="b">
        <v>0</v>
      </c>
      <c r="AO190" s="212" t="s">
        <v>314</v>
      </c>
      <c r="AP190" s="212" t="s">
        <v>315</v>
      </c>
      <c r="AQ190" s="214">
        <v>114.22852</v>
      </c>
      <c r="AR190" s="214" t="b">
        <v>0</v>
      </c>
      <c r="AS190" s="212" t="s">
        <v>534</v>
      </c>
      <c r="AU190" s="222" t="s">
        <v>819</v>
      </c>
    </row>
    <row r="191" spans="1:47" s="263" customFormat="1" ht="13.5" customHeight="1" x14ac:dyDescent="0.25">
      <c r="A191" s="245">
        <f t="shared" si="23"/>
        <v>191</v>
      </c>
      <c r="B191" s="246" t="str">
        <f t="shared" si="16"/>
        <v>Oil Field - Tank</v>
      </c>
      <c r="C191" s="246" t="str">
        <f ca="1">IF(B191="","",VLOOKUP(D191,'Species Data'!B:E,4,FALSE))</f>
        <v>twomethex</v>
      </c>
      <c r="D191" s="246">
        <f t="shared" ca="1" si="17"/>
        <v>194</v>
      </c>
      <c r="E191" s="246">
        <f t="shared" ca="1" si="18"/>
        <v>0.55069999999999997</v>
      </c>
      <c r="F191" s="246" t="str">
        <f t="shared" ca="1" si="19"/>
        <v>2-methylhexane</v>
      </c>
      <c r="G191" s="246">
        <f t="shared" ca="1" si="20"/>
        <v>100.20194000000001</v>
      </c>
      <c r="H191" s="204">
        <f ca="1">IF(G191="","",IF(VLOOKUP(Tank!F191,'Species Data'!D:F,3,FALSE)=0,"X",IF(G191&lt;44.1,2,1)))</f>
        <v>1</v>
      </c>
      <c r="I191" s="204">
        <f t="shared" ca="1" si="21"/>
        <v>0.30248957056654424</v>
      </c>
      <c r="J191" s="247">
        <f ca="1">IF(I191="","",IF(COUNTIF($D$12:D191,D191)=1,IF(H191=1,I191*H191,IF(H191="X","X",0)),0))</f>
        <v>0</v>
      </c>
      <c r="K191" s="248">
        <f t="shared" ca="1" si="22"/>
        <v>0</v>
      </c>
      <c r="L191" s="212" t="s">
        <v>679</v>
      </c>
      <c r="M191" s="212" t="s">
        <v>448</v>
      </c>
      <c r="N191" s="212" t="s">
        <v>470</v>
      </c>
      <c r="O191" s="213">
        <v>41419</v>
      </c>
      <c r="P191" s="212" t="s">
        <v>680</v>
      </c>
      <c r="Q191" s="214">
        <v>100</v>
      </c>
      <c r="R191" s="212" t="s">
        <v>445</v>
      </c>
      <c r="S191" s="212" t="s">
        <v>532</v>
      </c>
      <c r="T191" s="212" t="s">
        <v>445</v>
      </c>
      <c r="U191" s="212" t="s">
        <v>446</v>
      </c>
      <c r="V191" s="214" t="b">
        <v>1</v>
      </c>
      <c r="W191" s="214">
        <v>1989</v>
      </c>
      <c r="X191" s="214">
        <v>5</v>
      </c>
      <c r="Y191" s="214">
        <v>2</v>
      </c>
      <c r="Z191" s="214">
        <v>4</v>
      </c>
      <c r="AA191" s="212" t="s">
        <v>447</v>
      </c>
      <c r="AB191" s="212" t="s">
        <v>531</v>
      </c>
      <c r="AC191" s="212" t="s">
        <v>533</v>
      </c>
      <c r="AD191" s="214">
        <v>1.169376</v>
      </c>
      <c r="AE191" s="214">
        <v>194</v>
      </c>
      <c r="AF191" s="214">
        <v>0.55069999999999997</v>
      </c>
      <c r="AG191" s="214">
        <v>-99</v>
      </c>
      <c r="AH191" s="212" t="s">
        <v>224</v>
      </c>
      <c r="AI191" s="212" t="s">
        <v>449</v>
      </c>
      <c r="AJ191" s="212" t="s">
        <v>316</v>
      </c>
      <c r="AK191" s="212" t="s">
        <v>531</v>
      </c>
      <c r="AL191" s="212" t="s">
        <v>388</v>
      </c>
      <c r="AM191" s="214" t="b">
        <v>1</v>
      </c>
      <c r="AN191" s="214" t="b">
        <v>0</v>
      </c>
      <c r="AO191" s="212" t="s">
        <v>317</v>
      </c>
      <c r="AP191" s="212" t="s">
        <v>318</v>
      </c>
      <c r="AQ191" s="214">
        <v>100.20194000000001</v>
      </c>
      <c r="AR191" s="214" t="b">
        <v>0</v>
      </c>
      <c r="AS191" s="212" t="s">
        <v>534</v>
      </c>
      <c r="AU191" s="222" t="s">
        <v>819</v>
      </c>
    </row>
    <row r="192" spans="1:47" s="263" customFormat="1" ht="13.5" customHeight="1" x14ac:dyDescent="0.25">
      <c r="A192" s="245">
        <f t="shared" si="23"/>
        <v>192</v>
      </c>
      <c r="B192" s="246" t="str">
        <f t="shared" si="16"/>
        <v>Oil Field - Tank</v>
      </c>
      <c r="C192" s="246" t="str">
        <f ca="1">IF(B192="","",VLOOKUP(D192,'Species Data'!B:E,4,FALSE))</f>
        <v>twometpen</v>
      </c>
      <c r="D192" s="246">
        <f t="shared" ca="1" si="17"/>
        <v>199</v>
      </c>
      <c r="E192" s="246">
        <f t="shared" ca="1" si="18"/>
        <v>1.7626999999999999</v>
      </c>
      <c r="F192" s="246" t="str">
        <f t="shared" ca="1" si="19"/>
        <v>2-methylpentane (isohexane)</v>
      </c>
      <c r="G192" s="246">
        <f t="shared" ca="1" si="20"/>
        <v>86.175359999999998</v>
      </c>
      <c r="H192" s="204">
        <f ca="1">IF(G192="","",IF(VLOOKUP(Tank!F192,'Species Data'!D:F,3,FALSE)=0,"X",IF(G192&lt;44.1,2,1)))</f>
        <v>1</v>
      </c>
      <c r="I192" s="204">
        <f t="shared" ca="1" si="21"/>
        <v>0.93120227287515311</v>
      </c>
      <c r="J192" s="247">
        <f ca="1">IF(I192="","",IF(COUNTIF($D$12:D192,D192)=1,IF(H192=1,I192*H192,IF(H192="X","X",0)),0))</f>
        <v>0</v>
      </c>
      <c r="K192" s="248">
        <f t="shared" ca="1" si="22"/>
        <v>0</v>
      </c>
      <c r="L192" s="212" t="s">
        <v>679</v>
      </c>
      <c r="M192" s="212" t="s">
        <v>448</v>
      </c>
      <c r="N192" s="212" t="s">
        <v>470</v>
      </c>
      <c r="O192" s="213">
        <v>41419</v>
      </c>
      <c r="P192" s="212" t="s">
        <v>680</v>
      </c>
      <c r="Q192" s="214">
        <v>100</v>
      </c>
      <c r="R192" s="212" t="s">
        <v>445</v>
      </c>
      <c r="S192" s="212" t="s">
        <v>532</v>
      </c>
      <c r="T192" s="212" t="s">
        <v>445</v>
      </c>
      <c r="U192" s="212" t="s">
        <v>446</v>
      </c>
      <c r="V192" s="214" t="b">
        <v>1</v>
      </c>
      <c r="W192" s="214">
        <v>1989</v>
      </c>
      <c r="X192" s="214">
        <v>5</v>
      </c>
      <c r="Y192" s="214">
        <v>2</v>
      </c>
      <c r="Z192" s="214">
        <v>4</v>
      </c>
      <c r="AA192" s="212" t="s">
        <v>447</v>
      </c>
      <c r="AB192" s="212" t="s">
        <v>531</v>
      </c>
      <c r="AC192" s="212" t="s">
        <v>533</v>
      </c>
      <c r="AD192" s="214">
        <v>1.169376</v>
      </c>
      <c r="AE192" s="214">
        <v>199</v>
      </c>
      <c r="AF192" s="214">
        <v>1.7626999999999999</v>
      </c>
      <c r="AG192" s="214">
        <v>-99</v>
      </c>
      <c r="AH192" s="212" t="s">
        <v>224</v>
      </c>
      <c r="AI192" s="212" t="s">
        <v>449</v>
      </c>
      <c r="AJ192" s="212" t="s">
        <v>319</v>
      </c>
      <c r="AK192" s="212" t="s">
        <v>531</v>
      </c>
      <c r="AL192" s="212" t="s">
        <v>389</v>
      </c>
      <c r="AM192" s="214" t="b">
        <v>1</v>
      </c>
      <c r="AN192" s="214" t="b">
        <v>0</v>
      </c>
      <c r="AO192" s="212" t="s">
        <v>320</v>
      </c>
      <c r="AP192" s="212" t="s">
        <v>321</v>
      </c>
      <c r="AQ192" s="214">
        <v>86.175359999999998</v>
      </c>
      <c r="AR192" s="214" t="b">
        <v>0</v>
      </c>
      <c r="AS192" s="212" t="s">
        <v>534</v>
      </c>
      <c r="AU192" s="222" t="s">
        <v>819</v>
      </c>
    </row>
    <row r="193" spans="1:47" s="263" customFormat="1" ht="13.5" customHeight="1" x14ac:dyDescent="0.25">
      <c r="A193" s="245">
        <f t="shared" si="23"/>
        <v>193</v>
      </c>
      <c r="B193" s="246" t="str">
        <f t="shared" si="16"/>
        <v>Oil Field - Tank</v>
      </c>
      <c r="C193" s="246" t="str">
        <f ca="1">IF(B193="","",VLOOKUP(D193,'Species Data'!B:E,4,FALSE))</f>
        <v>ethylhexane</v>
      </c>
      <c r="D193" s="246">
        <f t="shared" ca="1" si="17"/>
        <v>226</v>
      </c>
      <c r="E193" s="246">
        <f t="shared" ca="1" si="18"/>
        <v>0.17860000000000001</v>
      </c>
      <c r="F193" s="246" t="str">
        <f t="shared" ca="1" si="19"/>
        <v>3-ethylhexane</v>
      </c>
      <c r="G193" s="246">
        <f t="shared" ca="1" si="20"/>
        <v>114.22852</v>
      </c>
      <c r="H193" s="204" t="str">
        <f ca="1">IF(G193="","",IF(VLOOKUP(Tank!F193,'Species Data'!D:F,3,FALSE)=0,"X",IF(G193&lt;44.1,2,1)))</f>
        <v>X</v>
      </c>
      <c r="I193" s="204">
        <f t="shared" ca="1" si="21"/>
        <v>9.0107531698970997E-2</v>
      </c>
      <c r="J193" s="247">
        <f ca="1">IF(I193="","",IF(COUNTIF($D$12:D193,D193)=1,IF(H193=1,I193*H193,IF(H193="X","X",0)),0))</f>
        <v>0</v>
      </c>
      <c r="K193" s="248">
        <f t="shared" ca="1" si="22"/>
        <v>0</v>
      </c>
      <c r="L193" s="212" t="s">
        <v>679</v>
      </c>
      <c r="M193" s="212" t="s">
        <v>448</v>
      </c>
      <c r="N193" s="212" t="s">
        <v>470</v>
      </c>
      <c r="O193" s="213">
        <v>41419</v>
      </c>
      <c r="P193" s="212" t="s">
        <v>680</v>
      </c>
      <c r="Q193" s="214">
        <v>100</v>
      </c>
      <c r="R193" s="212" t="s">
        <v>445</v>
      </c>
      <c r="S193" s="212" t="s">
        <v>532</v>
      </c>
      <c r="T193" s="212" t="s">
        <v>445</v>
      </c>
      <c r="U193" s="212" t="s">
        <v>446</v>
      </c>
      <c r="V193" s="214" t="b">
        <v>1</v>
      </c>
      <c r="W193" s="214">
        <v>1989</v>
      </c>
      <c r="X193" s="214">
        <v>5</v>
      </c>
      <c r="Y193" s="214">
        <v>2</v>
      </c>
      <c r="Z193" s="214">
        <v>4</v>
      </c>
      <c r="AA193" s="212" t="s">
        <v>447</v>
      </c>
      <c r="AB193" s="212" t="s">
        <v>531</v>
      </c>
      <c r="AC193" s="212" t="s">
        <v>533</v>
      </c>
      <c r="AD193" s="214">
        <v>1.169376</v>
      </c>
      <c r="AE193" s="214">
        <v>226</v>
      </c>
      <c r="AF193" s="214">
        <v>0.17860000000000001</v>
      </c>
      <c r="AG193" s="214">
        <v>-99</v>
      </c>
      <c r="AH193" s="212" t="s">
        <v>224</v>
      </c>
      <c r="AI193" s="212" t="s">
        <v>449</v>
      </c>
      <c r="AJ193" s="212" t="s">
        <v>439</v>
      </c>
      <c r="AK193" s="212" t="s">
        <v>531</v>
      </c>
      <c r="AL193" s="212" t="s">
        <v>461</v>
      </c>
      <c r="AM193" s="214" t="b">
        <v>0</v>
      </c>
      <c r="AN193" s="214" t="b">
        <v>0</v>
      </c>
      <c r="AO193" s="212" t="s">
        <v>440</v>
      </c>
      <c r="AP193" s="212" t="s">
        <v>531</v>
      </c>
      <c r="AQ193" s="214">
        <v>114.22852</v>
      </c>
      <c r="AR193" s="214" t="b">
        <v>0</v>
      </c>
      <c r="AS193" s="212" t="s">
        <v>534</v>
      </c>
      <c r="AU193" s="222" t="s">
        <v>819</v>
      </c>
    </row>
    <row r="194" spans="1:47" s="263" customFormat="1" ht="13.5" customHeight="1" x14ac:dyDescent="0.25">
      <c r="A194" s="245">
        <f t="shared" si="23"/>
        <v>194</v>
      </c>
      <c r="B194" s="246" t="str">
        <f t="shared" si="16"/>
        <v>Oil Field - Tank</v>
      </c>
      <c r="C194" s="246" t="str">
        <f ca="1">IF(B194="","",VLOOKUP(D194,'Species Data'!B:E,4,FALSE))</f>
        <v>threemetpen</v>
      </c>
      <c r="D194" s="246">
        <f t="shared" ca="1" si="17"/>
        <v>248</v>
      </c>
      <c r="E194" s="246">
        <f t="shared" ca="1" si="18"/>
        <v>1.6061000000000001</v>
      </c>
      <c r="F194" s="246" t="str">
        <f t="shared" ca="1" si="19"/>
        <v>3-methylpentane</v>
      </c>
      <c r="G194" s="246">
        <f t="shared" ca="1" si="20"/>
        <v>86.175359999999998</v>
      </c>
      <c r="H194" s="204">
        <f ca="1">IF(G194="","",IF(VLOOKUP(Tank!F194,'Species Data'!D:F,3,FALSE)=0,"X",IF(G194&lt;44.1,2,1)))</f>
        <v>1</v>
      </c>
      <c r="I194" s="204">
        <f t="shared" ca="1" si="21"/>
        <v>0.72479362468546382</v>
      </c>
      <c r="J194" s="247">
        <f ca="1">IF(I194="","",IF(COUNTIF($D$12:D194,D194)=1,IF(H194=1,I194*H194,IF(H194="X","X",0)),0))</f>
        <v>0</v>
      </c>
      <c r="K194" s="248">
        <f t="shared" ca="1" si="22"/>
        <v>0</v>
      </c>
      <c r="L194" s="212" t="s">
        <v>679</v>
      </c>
      <c r="M194" s="212" t="s">
        <v>448</v>
      </c>
      <c r="N194" s="212" t="s">
        <v>470</v>
      </c>
      <c r="O194" s="213">
        <v>41419</v>
      </c>
      <c r="P194" s="212" t="s">
        <v>680</v>
      </c>
      <c r="Q194" s="214">
        <v>100</v>
      </c>
      <c r="R194" s="212" t="s">
        <v>445</v>
      </c>
      <c r="S194" s="212" t="s">
        <v>532</v>
      </c>
      <c r="T194" s="212" t="s">
        <v>445</v>
      </c>
      <c r="U194" s="212" t="s">
        <v>446</v>
      </c>
      <c r="V194" s="214" t="b">
        <v>1</v>
      </c>
      <c r="W194" s="214">
        <v>1989</v>
      </c>
      <c r="X194" s="214">
        <v>5</v>
      </c>
      <c r="Y194" s="214">
        <v>2</v>
      </c>
      <c r="Z194" s="214">
        <v>4</v>
      </c>
      <c r="AA194" s="212" t="s">
        <v>447</v>
      </c>
      <c r="AB194" s="212" t="s">
        <v>531</v>
      </c>
      <c r="AC194" s="212" t="s">
        <v>533</v>
      </c>
      <c r="AD194" s="214">
        <v>1.169376</v>
      </c>
      <c r="AE194" s="214">
        <v>248</v>
      </c>
      <c r="AF194" s="214">
        <v>1.6061000000000001</v>
      </c>
      <c r="AG194" s="214">
        <v>-99</v>
      </c>
      <c r="AH194" s="212" t="s">
        <v>224</v>
      </c>
      <c r="AI194" s="212" t="s">
        <v>449</v>
      </c>
      <c r="AJ194" s="212" t="s">
        <v>328</v>
      </c>
      <c r="AK194" s="212" t="s">
        <v>531</v>
      </c>
      <c r="AL194" s="212" t="s">
        <v>391</v>
      </c>
      <c r="AM194" s="214" t="b">
        <v>1</v>
      </c>
      <c r="AN194" s="214" t="b">
        <v>0</v>
      </c>
      <c r="AO194" s="212" t="s">
        <v>329</v>
      </c>
      <c r="AP194" s="212" t="s">
        <v>330</v>
      </c>
      <c r="AQ194" s="214">
        <v>86.175359999999998</v>
      </c>
      <c r="AR194" s="214" t="b">
        <v>0</v>
      </c>
      <c r="AS194" s="212" t="s">
        <v>534</v>
      </c>
      <c r="AU194" s="222" t="s">
        <v>819</v>
      </c>
    </row>
    <row r="195" spans="1:47" s="263" customFormat="1" ht="13.5" customHeight="1" x14ac:dyDescent="0.25">
      <c r="A195" s="245">
        <f t="shared" si="23"/>
        <v>195</v>
      </c>
      <c r="B195" s="246" t="str">
        <f t="shared" si="16"/>
        <v>Oil Field - Tank</v>
      </c>
      <c r="C195" s="246" t="str">
        <f ca="1">IF(B195="","",VLOOKUP(D195,'Species Data'!B:E,4,FALSE))</f>
        <v>benzene</v>
      </c>
      <c r="D195" s="246">
        <f t="shared" ca="1" si="17"/>
        <v>302</v>
      </c>
      <c r="E195" s="246">
        <f t="shared" ca="1" si="18"/>
        <v>0.38619999999999999</v>
      </c>
      <c r="F195" s="246" t="str">
        <f t="shared" ca="1" si="19"/>
        <v>Benzene</v>
      </c>
      <c r="G195" s="246">
        <f t="shared" ca="1" si="20"/>
        <v>78.111840000000001</v>
      </c>
      <c r="H195" s="204">
        <f ca="1">IF(G195="","",IF(VLOOKUP(Tank!F195,'Species Data'!D:F,3,FALSE)=0,"X",IF(G195&lt;44.1,2,1)))</f>
        <v>1</v>
      </c>
      <c r="I195" s="204">
        <f t="shared" ca="1" si="21"/>
        <v>0.24518902048126334</v>
      </c>
      <c r="J195" s="247">
        <f ca="1">IF(I195="","",IF(COUNTIF($D$12:D195,D195)=1,IF(H195=1,I195*H195,IF(H195="X","X",0)),0))</f>
        <v>0</v>
      </c>
      <c r="K195" s="248">
        <f t="shared" ca="1" si="22"/>
        <v>0</v>
      </c>
      <c r="L195" s="212" t="s">
        <v>679</v>
      </c>
      <c r="M195" s="212" t="s">
        <v>448</v>
      </c>
      <c r="N195" s="212" t="s">
        <v>470</v>
      </c>
      <c r="O195" s="213">
        <v>41419</v>
      </c>
      <c r="P195" s="212" t="s">
        <v>680</v>
      </c>
      <c r="Q195" s="214">
        <v>100</v>
      </c>
      <c r="R195" s="212" t="s">
        <v>445</v>
      </c>
      <c r="S195" s="212" t="s">
        <v>532</v>
      </c>
      <c r="T195" s="212" t="s">
        <v>445</v>
      </c>
      <c r="U195" s="212" t="s">
        <v>446</v>
      </c>
      <c r="V195" s="214" t="b">
        <v>1</v>
      </c>
      <c r="W195" s="214">
        <v>1989</v>
      </c>
      <c r="X195" s="214">
        <v>5</v>
      </c>
      <c r="Y195" s="214">
        <v>2</v>
      </c>
      <c r="Z195" s="214">
        <v>4</v>
      </c>
      <c r="AA195" s="212" t="s">
        <v>447</v>
      </c>
      <c r="AB195" s="212" t="s">
        <v>531</v>
      </c>
      <c r="AC195" s="212" t="s">
        <v>533</v>
      </c>
      <c r="AD195" s="214">
        <v>1.169376</v>
      </c>
      <c r="AE195" s="214">
        <v>302</v>
      </c>
      <c r="AF195" s="214">
        <v>0.38619999999999999</v>
      </c>
      <c r="AG195" s="214">
        <v>-99</v>
      </c>
      <c r="AH195" s="212" t="s">
        <v>224</v>
      </c>
      <c r="AI195" s="212" t="s">
        <v>449</v>
      </c>
      <c r="AJ195" s="212" t="s">
        <v>262</v>
      </c>
      <c r="AK195" s="212" t="s">
        <v>531</v>
      </c>
      <c r="AL195" s="212" t="s">
        <v>373</v>
      </c>
      <c r="AM195" s="214" t="b">
        <v>1</v>
      </c>
      <c r="AN195" s="214" t="b">
        <v>1</v>
      </c>
      <c r="AO195" s="212" t="s">
        <v>263</v>
      </c>
      <c r="AP195" s="212" t="s">
        <v>264</v>
      </c>
      <c r="AQ195" s="214">
        <v>78.111840000000001</v>
      </c>
      <c r="AR195" s="214" t="b">
        <v>0</v>
      </c>
      <c r="AS195" s="212" t="s">
        <v>534</v>
      </c>
      <c r="AU195" s="222" t="s">
        <v>819</v>
      </c>
    </row>
    <row r="196" spans="1:47" s="263" customFormat="1" ht="13.5" customHeight="1" x14ac:dyDescent="0.25">
      <c r="A196" s="245">
        <f t="shared" si="23"/>
        <v>196</v>
      </c>
      <c r="B196" s="246" t="str">
        <f t="shared" si="16"/>
        <v>Oil Field - Tank</v>
      </c>
      <c r="C196" s="246" t="str">
        <f ca="1">IF(B196="","",VLOOKUP(D196,'Species Data'!B:E,4,FALSE))</f>
        <v>cyclohexane</v>
      </c>
      <c r="D196" s="246">
        <f t="shared" ca="1" si="17"/>
        <v>385</v>
      </c>
      <c r="E196" s="246">
        <f t="shared" ca="1" si="18"/>
        <v>2.1899999999999999E-2</v>
      </c>
      <c r="F196" s="246" t="str">
        <f t="shared" ca="1" si="19"/>
        <v>Cyclohexane</v>
      </c>
      <c r="G196" s="246">
        <f t="shared" ca="1" si="20"/>
        <v>84.159480000000002</v>
      </c>
      <c r="H196" s="204">
        <f ca="1">IF(G196="","",IF(VLOOKUP(Tank!F196,'Species Data'!D:F,3,FALSE)=0,"X",IF(G196&lt;44.1,2,1)))</f>
        <v>1</v>
      </c>
      <c r="I196" s="204">
        <f t="shared" ca="1" si="21"/>
        <v>1.8406843372363042E-2</v>
      </c>
      <c r="J196" s="247">
        <f ca="1">IF(I196="","",IF(COUNTIF($D$12:D196,D196)=1,IF(H196=1,I196*H196,IF(H196="X","X",0)),0))</f>
        <v>0</v>
      </c>
      <c r="K196" s="248">
        <f t="shared" ca="1" si="22"/>
        <v>0</v>
      </c>
      <c r="L196" s="212" t="s">
        <v>679</v>
      </c>
      <c r="M196" s="212" t="s">
        <v>448</v>
      </c>
      <c r="N196" s="212" t="s">
        <v>470</v>
      </c>
      <c r="O196" s="213">
        <v>41419</v>
      </c>
      <c r="P196" s="212" t="s">
        <v>680</v>
      </c>
      <c r="Q196" s="214">
        <v>100</v>
      </c>
      <c r="R196" s="212" t="s">
        <v>445</v>
      </c>
      <c r="S196" s="212" t="s">
        <v>532</v>
      </c>
      <c r="T196" s="212" t="s">
        <v>445</v>
      </c>
      <c r="U196" s="212" t="s">
        <v>446</v>
      </c>
      <c r="V196" s="214" t="b">
        <v>1</v>
      </c>
      <c r="W196" s="214">
        <v>1989</v>
      </c>
      <c r="X196" s="214">
        <v>5</v>
      </c>
      <c r="Y196" s="214">
        <v>2</v>
      </c>
      <c r="Z196" s="214">
        <v>4</v>
      </c>
      <c r="AA196" s="212" t="s">
        <v>447</v>
      </c>
      <c r="AB196" s="212" t="s">
        <v>531</v>
      </c>
      <c r="AC196" s="212" t="s">
        <v>533</v>
      </c>
      <c r="AD196" s="214">
        <v>1.169376</v>
      </c>
      <c r="AE196" s="214">
        <v>385</v>
      </c>
      <c r="AF196" s="214">
        <v>2.1899999999999999E-2</v>
      </c>
      <c r="AG196" s="214">
        <v>-99</v>
      </c>
      <c r="AH196" s="212" t="s">
        <v>224</v>
      </c>
      <c r="AI196" s="212" t="s">
        <v>449</v>
      </c>
      <c r="AJ196" s="212" t="s">
        <v>331</v>
      </c>
      <c r="AK196" s="212" t="s">
        <v>531</v>
      </c>
      <c r="AL196" s="212" t="s">
        <v>392</v>
      </c>
      <c r="AM196" s="214" t="b">
        <v>1</v>
      </c>
      <c r="AN196" s="214" t="b">
        <v>0</v>
      </c>
      <c r="AO196" s="212" t="s">
        <v>332</v>
      </c>
      <c r="AP196" s="212" t="s">
        <v>333</v>
      </c>
      <c r="AQ196" s="214">
        <v>84.159480000000002</v>
      </c>
      <c r="AR196" s="214" t="b">
        <v>0</v>
      </c>
      <c r="AS196" s="212" t="s">
        <v>534</v>
      </c>
      <c r="AU196" s="222" t="s">
        <v>819</v>
      </c>
    </row>
    <row r="197" spans="1:47" s="263" customFormat="1" ht="13.5" customHeight="1" x14ac:dyDescent="0.25">
      <c r="A197" s="245">
        <f t="shared" si="23"/>
        <v>197</v>
      </c>
      <c r="B197" s="246" t="str">
        <f t="shared" si="16"/>
        <v>Oil Field - Tank</v>
      </c>
      <c r="C197" s="246" t="str">
        <f ca="1">IF(B197="","",VLOOKUP(D197,'Species Data'!B:E,4,FALSE))</f>
        <v>ethane</v>
      </c>
      <c r="D197" s="246">
        <f t="shared" ca="1" si="17"/>
        <v>438</v>
      </c>
      <c r="E197" s="246">
        <f t="shared" ca="1" si="18"/>
        <v>13.853400000000001</v>
      </c>
      <c r="F197" s="246" t="str">
        <f t="shared" ca="1" si="19"/>
        <v>Ethane</v>
      </c>
      <c r="G197" s="246">
        <f t="shared" ca="1" si="20"/>
        <v>30.069040000000005</v>
      </c>
      <c r="H197" s="204">
        <f ca="1">IF(G197="","",IF(VLOOKUP(Tank!F197,'Species Data'!D:F,3,FALSE)=0,"X",IF(G197&lt;44.1,2,1)))</f>
        <v>2</v>
      </c>
      <c r="I197" s="204">
        <f t="shared" ca="1" si="21"/>
        <v>5.717421553913586</v>
      </c>
      <c r="J197" s="247">
        <f ca="1">IF(I197="","",IF(COUNTIF($D$12:D197,D197)=1,IF(H197=1,I197*H197,IF(H197="X","X",0)),0))</f>
        <v>0</v>
      </c>
      <c r="K197" s="248">
        <f t="shared" ca="1" si="22"/>
        <v>0</v>
      </c>
      <c r="L197" s="212" t="s">
        <v>679</v>
      </c>
      <c r="M197" s="212" t="s">
        <v>448</v>
      </c>
      <c r="N197" s="212" t="s">
        <v>470</v>
      </c>
      <c r="O197" s="213">
        <v>41419</v>
      </c>
      <c r="P197" s="212" t="s">
        <v>680</v>
      </c>
      <c r="Q197" s="214">
        <v>100</v>
      </c>
      <c r="R197" s="212" t="s">
        <v>445</v>
      </c>
      <c r="S197" s="212" t="s">
        <v>532</v>
      </c>
      <c r="T197" s="212" t="s">
        <v>445</v>
      </c>
      <c r="U197" s="212" t="s">
        <v>446</v>
      </c>
      <c r="V197" s="214" t="b">
        <v>1</v>
      </c>
      <c r="W197" s="214">
        <v>1989</v>
      </c>
      <c r="X197" s="214">
        <v>5</v>
      </c>
      <c r="Y197" s="214">
        <v>2</v>
      </c>
      <c r="Z197" s="214">
        <v>4</v>
      </c>
      <c r="AA197" s="212" t="s">
        <v>447</v>
      </c>
      <c r="AB197" s="212" t="s">
        <v>531</v>
      </c>
      <c r="AC197" s="212" t="s">
        <v>533</v>
      </c>
      <c r="AD197" s="214">
        <v>1.169376</v>
      </c>
      <c r="AE197" s="214">
        <v>438</v>
      </c>
      <c r="AF197" s="214">
        <v>13.853400000000001</v>
      </c>
      <c r="AG197" s="214">
        <v>-99</v>
      </c>
      <c r="AH197" s="212" t="s">
        <v>224</v>
      </c>
      <c r="AI197" s="212" t="s">
        <v>449</v>
      </c>
      <c r="AJ197" s="212" t="s">
        <v>265</v>
      </c>
      <c r="AK197" s="212" t="s">
        <v>531</v>
      </c>
      <c r="AL197" s="212" t="s">
        <v>374</v>
      </c>
      <c r="AM197" s="214" t="b">
        <v>1</v>
      </c>
      <c r="AN197" s="214" t="b">
        <v>0</v>
      </c>
      <c r="AO197" s="212" t="s">
        <v>266</v>
      </c>
      <c r="AP197" s="212" t="s">
        <v>267</v>
      </c>
      <c r="AQ197" s="214">
        <v>30.069040000000005</v>
      </c>
      <c r="AR197" s="214" t="b">
        <v>1</v>
      </c>
      <c r="AS197" s="212" t="s">
        <v>534</v>
      </c>
      <c r="AU197" s="222" t="s">
        <v>819</v>
      </c>
    </row>
    <row r="198" spans="1:47" s="263" customFormat="1" ht="13.5" customHeight="1" x14ac:dyDescent="0.25">
      <c r="A198" s="245">
        <f t="shared" si="23"/>
        <v>198</v>
      </c>
      <c r="B198" s="246" t="str">
        <f t="shared" si="16"/>
        <v>Oil Field - Tank</v>
      </c>
      <c r="C198" s="246" t="str">
        <f ca="1">IF(B198="","",VLOOKUP(D198,'Species Data'!B:E,4,FALSE))</f>
        <v>ethyl_benz</v>
      </c>
      <c r="D198" s="246">
        <f t="shared" ca="1" si="17"/>
        <v>449</v>
      </c>
      <c r="E198" s="246">
        <f t="shared" ca="1" si="18"/>
        <v>0.18410000000000001</v>
      </c>
      <c r="F198" s="246" t="str">
        <f t="shared" ca="1" si="19"/>
        <v>Ethylbenzene</v>
      </c>
      <c r="G198" s="246">
        <f t="shared" ca="1" si="20"/>
        <v>106.16500000000001</v>
      </c>
      <c r="H198" s="204">
        <f ca="1">IF(G198="","",IF(VLOOKUP(Tank!F198,'Species Data'!D:F,3,FALSE)=0,"X",IF(G198&lt;44.1,2,1)))</f>
        <v>1</v>
      </c>
      <c r="I198" s="204">
        <f t="shared" ca="1" si="21"/>
        <v>0.12062115796311647</v>
      </c>
      <c r="J198" s="247">
        <f ca="1">IF(I198="","",IF(COUNTIF($D$12:D198,D198)=1,IF(H198=1,I198*H198,IF(H198="X","X",0)),0))</f>
        <v>0</v>
      </c>
      <c r="K198" s="248">
        <f t="shared" ca="1" si="22"/>
        <v>0</v>
      </c>
      <c r="L198" s="212" t="s">
        <v>679</v>
      </c>
      <c r="M198" s="212" t="s">
        <v>448</v>
      </c>
      <c r="N198" s="212" t="s">
        <v>470</v>
      </c>
      <c r="O198" s="213">
        <v>41419</v>
      </c>
      <c r="P198" s="212" t="s">
        <v>680</v>
      </c>
      <c r="Q198" s="214">
        <v>100</v>
      </c>
      <c r="R198" s="212" t="s">
        <v>445</v>
      </c>
      <c r="S198" s="212" t="s">
        <v>532</v>
      </c>
      <c r="T198" s="212" t="s">
        <v>445</v>
      </c>
      <c r="U198" s="212" t="s">
        <v>446</v>
      </c>
      <c r="V198" s="214" t="b">
        <v>1</v>
      </c>
      <c r="W198" s="214">
        <v>1989</v>
      </c>
      <c r="X198" s="214">
        <v>5</v>
      </c>
      <c r="Y198" s="214">
        <v>2</v>
      </c>
      <c r="Z198" s="214">
        <v>4</v>
      </c>
      <c r="AA198" s="212" t="s">
        <v>447</v>
      </c>
      <c r="AB198" s="212" t="s">
        <v>531</v>
      </c>
      <c r="AC198" s="212" t="s">
        <v>533</v>
      </c>
      <c r="AD198" s="214">
        <v>1.169376</v>
      </c>
      <c r="AE198" s="214">
        <v>449</v>
      </c>
      <c r="AF198" s="214">
        <v>0.18410000000000001</v>
      </c>
      <c r="AG198" s="214">
        <v>-99</v>
      </c>
      <c r="AH198" s="212" t="s">
        <v>224</v>
      </c>
      <c r="AI198" s="212" t="s">
        <v>449</v>
      </c>
      <c r="AJ198" s="212" t="s">
        <v>337</v>
      </c>
      <c r="AK198" s="212" t="s">
        <v>531</v>
      </c>
      <c r="AL198" s="212" t="s">
        <v>394</v>
      </c>
      <c r="AM198" s="214" t="b">
        <v>1</v>
      </c>
      <c r="AN198" s="214" t="b">
        <v>1</v>
      </c>
      <c r="AO198" s="212" t="s">
        <v>338</v>
      </c>
      <c r="AP198" s="212" t="s">
        <v>339</v>
      </c>
      <c r="AQ198" s="214">
        <v>106.16500000000001</v>
      </c>
      <c r="AR198" s="214" t="b">
        <v>0</v>
      </c>
      <c r="AS198" s="212" t="s">
        <v>534</v>
      </c>
      <c r="AU198" s="222" t="s">
        <v>819</v>
      </c>
    </row>
    <row r="199" spans="1:47" s="263" customFormat="1" ht="13.5" customHeight="1" x14ac:dyDescent="0.25">
      <c r="A199" s="245">
        <f t="shared" si="23"/>
        <v>199</v>
      </c>
      <c r="B199" s="246" t="str">
        <f t="shared" si="16"/>
        <v>Oil Field - Tank</v>
      </c>
      <c r="C199" s="246" t="str">
        <f ca="1">IF(B199="","",VLOOKUP(D199,'Species Data'!B:E,4,FALSE))</f>
        <v>isobut</v>
      </c>
      <c r="D199" s="246">
        <f t="shared" ca="1" si="17"/>
        <v>491</v>
      </c>
      <c r="E199" s="246">
        <f t="shared" ca="1" si="18"/>
        <v>1.9291</v>
      </c>
      <c r="F199" s="246" t="str">
        <f t="shared" ca="1" si="19"/>
        <v>Isobutane</v>
      </c>
      <c r="G199" s="246">
        <f t="shared" ca="1" si="20"/>
        <v>58.122199999999992</v>
      </c>
      <c r="H199" s="204">
        <f ca="1">IF(G199="","",IF(VLOOKUP(Tank!F199,'Species Data'!D:F,3,FALSE)=0,"X",IF(G199&lt;44.1,2,1)))</f>
        <v>1</v>
      </c>
      <c r="I199" s="204">
        <f t="shared" ca="1" si="21"/>
        <v>3.2562712602040991</v>
      </c>
      <c r="J199" s="247">
        <f ca="1">IF(I199="","",IF(COUNTIF($D$12:D199,D199)=1,IF(H199=1,I199*H199,IF(H199="X","X",0)),0))</f>
        <v>0</v>
      </c>
      <c r="K199" s="248">
        <f t="shared" ca="1" si="22"/>
        <v>0</v>
      </c>
      <c r="L199" s="212" t="s">
        <v>679</v>
      </c>
      <c r="M199" s="212" t="s">
        <v>448</v>
      </c>
      <c r="N199" s="212" t="s">
        <v>470</v>
      </c>
      <c r="O199" s="213">
        <v>41419</v>
      </c>
      <c r="P199" s="212" t="s">
        <v>680</v>
      </c>
      <c r="Q199" s="214">
        <v>100</v>
      </c>
      <c r="R199" s="212" t="s">
        <v>445</v>
      </c>
      <c r="S199" s="212" t="s">
        <v>532</v>
      </c>
      <c r="T199" s="212" t="s">
        <v>445</v>
      </c>
      <c r="U199" s="212" t="s">
        <v>446</v>
      </c>
      <c r="V199" s="214" t="b">
        <v>1</v>
      </c>
      <c r="W199" s="214">
        <v>1989</v>
      </c>
      <c r="X199" s="214">
        <v>5</v>
      </c>
      <c r="Y199" s="214">
        <v>2</v>
      </c>
      <c r="Z199" s="214">
        <v>4</v>
      </c>
      <c r="AA199" s="212" t="s">
        <v>447</v>
      </c>
      <c r="AB199" s="212" t="s">
        <v>531</v>
      </c>
      <c r="AC199" s="212" t="s">
        <v>533</v>
      </c>
      <c r="AD199" s="214">
        <v>1.169376</v>
      </c>
      <c r="AE199" s="214">
        <v>491</v>
      </c>
      <c r="AF199" s="214">
        <v>1.9291</v>
      </c>
      <c r="AG199" s="214">
        <v>-99</v>
      </c>
      <c r="AH199" s="212" t="s">
        <v>224</v>
      </c>
      <c r="AI199" s="212" t="s">
        <v>449</v>
      </c>
      <c r="AJ199" s="212" t="s">
        <v>268</v>
      </c>
      <c r="AK199" s="212" t="s">
        <v>531</v>
      </c>
      <c r="AL199" s="212" t="s">
        <v>375</v>
      </c>
      <c r="AM199" s="214" t="b">
        <v>1</v>
      </c>
      <c r="AN199" s="214" t="b">
        <v>0</v>
      </c>
      <c r="AO199" s="212" t="s">
        <v>269</v>
      </c>
      <c r="AP199" s="212" t="s">
        <v>270</v>
      </c>
      <c r="AQ199" s="214">
        <v>58.122199999999992</v>
      </c>
      <c r="AR199" s="214" t="b">
        <v>0</v>
      </c>
      <c r="AS199" s="212" t="s">
        <v>534</v>
      </c>
      <c r="AU199" s="222" t="s">
        <v>819</v>
      </c>
    </row>
    <row r="200" spans="1:47" s="263" customFormat="1" ht="13.5" customHeight="1" x14ac:dyDescent="0.25">
      <c r="A200" s="245">
        <f t="shared" si="23"/>
        <v>200</v>
      </c>
      <c r="B200" s="246" t="str">
        <f t="shared" si="16"/>
        <v>Oil Field - Tank</v>
      </c>
      <c r="C200" s="246" t="str">
        <f ca="1">IF(B200="","",VLOOKUP(D200,'Species Data'!B:E,4,FALSE))</f>
        <v>i_but</v>
      </c>
      <c r="D200" s="246">
        <f t="shared" ca="1" si="17"/>
        <v>499</v>
      </c>
      <c r="E200" s="246">
        <f t="shared" ca="1" si="18"/>
        <v>7.4000000000000003E-3</v>
      </c>
      <c r="F200" s="246" t="str">
        <f t="shared" ca="1" si="19"/>
        <v>Isomers of butylbenzene</v>
      </c>
      <c r="G200" s="246">
        <f t="shared" ca="1" si="20"/>
        <v>134.21816000000001</v>
      </c>
      <c r="H200" s="204">
        <f ca="1">IF(G200="","",IF(VLOOKUP(Tank!F200,'Species Data'!D:F,3,FALSE)=0,"X",IF(G200&lt;44.1,2,1)))</f>
        <v>1</v>
      </c>
      <c r="I200" s="204">
        <f t="shared" ca="1" si="21"/>
        <v>1.7466834348276415E-3</v>
      </c>
      <c r="J200" s="247">
        <f ca="1">IF(I200="","",IF(COUNTIF($D$12:D200,D200)=1,IF(H200=1,I200*H200,IF(H200="X","X",0)),0))</f>
        <v>1.7466834348276415E-3</v>
      </c>
      <c r="K200" s="248">
        <f t="shared" ca="1" si="22"/>
        <v>4.4175442601684049E-3</v>
      </c>
      <c r="L200" s="212" t="s">
        <v>679</v>
      </c>
      <c r="M200" s="212" t="s">
        <v>448</v>
      </c>
      <c r="N200" s="212" t="s">
        <v>470</v>
      </c>
      <c r="O200" s="213">
        <v>41419</v>
      </c>
      <c r="P200" s="212" t="s">
        <v>680</v>
      </c>
      <c r="Q200" s="214">
        <v>100</v>
      </c>
      <c r="R200" s="212" t="s">
        <v>445</v>
      </c>
      <c r="S200" s="212" t="s">
        <v>532</v>
      </c>
      <c r="T200" s="212" t="s">
        <v>445</v>
      </c>
      <c r="U200" s="212" t="s">
        <v>446</v>
      </c>
      <c r="V200" s="214" t="b">
        <v>1</v>
      </c>
      <c r="W200" s="214">
        <v>1989</v>
      </c>
      <c r="X200" s="214">
        <v>5</v>
      </c>
      <c r="Y200" s="214">
        <v>2</v>
      </c>
      <c r="Z200" s="214">
        <v>4</v>
      </c>
      <c r="AA200" s="212" t="s">
        <v>447</v>
      </c>
      <c r="AB200" s="212" t="s">
        <v>531</v>
      </c>
      <c r="AC200" s="212" t="s">
        <v>533</v>
      </c>
      <c r="AD200" s="214">
        <v>1.169376</v>
      </c>
      <c r="AE200" s="214">
        <v>499</v>
      </c>
      <c r="AF200" s="214">
        <v>7.4000000000000003E-3</v>
      </c>
      <c r="AG200" s="214">
        <v>-99</v>
      </c>
      <c r="AH200" s="212" t="s">
        <v>224</v>
      </c>
      <c r="AI200" s="212" t="s">
        <v>449</v>
      </c>
      <c r="AJ200" s="212" t="s">
        <v>531</v>
      </c>
      <c r="AK200" s="212" t="s">
        <v>642</v>
      </c>
      <c r="AL200" s="212" t="s">
        <v>643</v>
      </c>
      <c r="AM200" s="214" t="b">
        <v>0</v>
      </c>
      <c r="AN200" s="214" t="b">
        <v>0</v>
      </c>
      <c r="AO200" s="212" t="s">
        <v>644</v>
      </c>
      <c r="AP200" s="212" t="s">
        <v>531</v>
      </c>
      <c r="AQ200" s="214">
        <v>134.21816000000001</v>
      </c>
      <c r="AR200" s="214" t="b">
        <v>0</v>
      </c>
      <c r="AS200" s="212" t="s">
        <v>534</v>
      </c>
      <c r="AU200" s="222" t="s">
        <v>819</v>
      </c>
    </row>
    <row r="201" spans="1:47" s="263" customFormat="1" ht="13.5" customHeight="1" x14ac:dyDescent="0.25">
      <c r="A201" s="245">
        <f t="shared" si="23"/>
        <v>201</v>
      </c>
      <c r="B201" s="246" t="str">
        <f t="shared" si="16"/>
        <v>Oil Field - Tank</v>
      </c>
      <c r="C201" s="246" t="str">
        <f ca="1">IF(B201="","",VLOOKUP(D201,'Species Data'!B:E,4,FALSE))</f>
        <v>isopentane</v>
      </c>
      <c r="D201" s="246">
        <f t="shared" ca="1" si="17"/>
        <v>508</v>
      </c>
      <c r="E201" s="246">
        <f t="shared" ca="1" si="18"/>
        <v>5.9459999999999997</v>
      </c>
      <c r="F201" s="246" t="str">
        <f t="shared" ca="1" si="19"/>
        <v>Isopentane (2-Methylbutane)</v>
      </c>
      <c r="G201" s="246">
        <f t="shared" ca="1" si="20"/>
        <v>72.148780000000002</v>
      </c>
      <c r="H201" s="204">
        <f ca="1">IF(G201="","",IF(VLOOKUP(Tank!F201,'Species Data'!D:F,3,FALSE)=0,"X",IF(G201&lt;44.1,2,1)))</f>
        <v>1</v>
      </c>
      <c r="I201" s="204">
        <f t="shared" ca="1" si="21"/>
        <v>3.397999287459827</v>
      </c>
      <c r="J201" s="247">
        <f ca="1">IF(I201="","",IF(COUNTIF($D$12:D201,D201)=1,IF(H201=1,I201*H201,IF(H201="X","X",0)),0))</f>
        <v>0</v>
      </c>
      <c r="K201" s="248">
        <f t="shared" ca="1" si="22"/>
        <v>0</v>
      </c>
      <c r="L201" s="212" t="s">
        <v>679</v>
      </c>
      <c r="M201" s="212" t="s">
        <v>448</v>
      </c>
      <c r="N201" s="212" t="s">
        <v>470</v>
      </c>
      <c r="O201" s="213">
        <v>41419</v>
      </c>
      <c r="P201" s="212" t="s">
        <v>680</v>
      </c>
      <c r="Q201" s="214">
        <v>100</v>
      </c>
      <c r="R201" s="212" t="s">
        <v>445</v>
      </c>
      <c r="S201" s="212" t="s">
        <v>532</v>
      </c>
      <c r="T201" s="212" t="s">
        <v>445</v>
      </c>
      <c r="U201" s="212" t="s">
        <v>446</v>
      </c>
      <c r="V201" s="214" t="b">
        <v>1</v>
      </c>
      <c r="W201" s="214">
        <v>1989</v>
      </c>
      <c r="X201" s="214">
        <v>5</v>
      </c>
      <c r="Y201" s="214">
        <v>2</v>
      </c>
      <c r="Z201" s="214">
        <v>4</v>
      </c>
      <c r="AA201" s="212" t="s">
        <v>447</v>
      </c>
      <c r="AB201" s="212" t="s">
        <v>531</v>
      </c>
      <c r="AC201" s="212" t="s">
        <v>533</v>
      </c>
      <c r="AD201" s="214">
        <v>1.169376</v>
      </c>
      <c r="AE201" s="214">
        <v>508</v>
      </c>
      <c r="AF201" s="214">
        <v>5.9459999999999997</v>
      </c>
      <c r="AG201" s="214">
        <v>-99</v>
      </c>
      <c r="AH201" s="212" t="s">
        <v>224</v>
      </c>
      <c r="AI201" s="212" t="s">
        <v>449</v>
      </c>
      <c r="AJ201" s="212" t="s">
        <v>342</v>
      </c>
      <c r="AK201" s="212" t="s">
        <v>531</v>
      </c>
      <c r="AL201" s="212" t="s">
        <v>395</v>
      </c>
      <c r="AM201" s="214" t="b">
        <v>1</v>
      </c>
      <c r="AN201" s="214" t="b">
        <v>0</v>
      </c>
      <c r="AO201" s="212" t="s">
        <v>343</v>
      </c>
      <c r="AP201" s="212" t="s">
        <v>344</v>
      </c>
      <c r="AQ201" s="214">
        <v>72.148780000000002</v>
      </c>
      <c r="AR201" s="214" t="b">
        <v>0</v>
      </c>
      <c r="AS201" s="212" t="s">
        <v>534</v>
      </c>
      <c r="AU201" s="222" t="s">
        <v>819</v>
      </c>
    </row>
    <row r="202" spans="1:47" s="263" customFormat="1" ht="13.5" customHeight="1" x14ac:dyDescent="0.25">
      <c r="A202" s="245">
        <f t="shared" si="23"/>
        <v>202</v>
      </c>
      <c r="B202" s="246" t="str">
        <f t="shared" si="16"/>
        <v>Oil Field - Tank</v>
      </c>
      <c r="C202" s="246" t="str">
        <f ca="1">IF(B202="","",VLOOKUP(D202,'Species Data'!B:E,4,FALSE))</f>
        <v>M_xylene</v>
      </c>
      <c r="D202" s="246">
        <f t="shared" ca="1" si="17"/>
        <v>524</v>
      </c>
      <c r="E202" s="246">
        <f t="shared" ca="1" si="18"/>
        <v>0.22600000000000001</v>
      </c>
      <c r="F202" s="246" t="str">
        <f t="shared" ca="1" si="19"/>
        <v>M-xylene</v>
      </c>
      <c r="G202" s="246">
        <f t="shared" ca="1" si="20"/>
        <v>106.16500000000001</v>
      </c>
      <c r="H202" s="204">
        <f ca="1">IF(G202="","",IF(VLOOKUP(Tank!F202,'Species Data'!D:F,3,FALSE)=0,"X",IF(G202&lt;44.1,2,1)))</f>
        <v>1</v>
      </c>
      <c r="I202" s="204">
        <f t="shared" ca="1" si="21"/>
        <v>7.6727403249737883E-2</v>
      </c>
      <c r="J202" s="247">
        <f ca="1">IF(I202="","",IF(COUNTIF($D$12:D202,D202)=1,IF(H202=1,I202*H202,IF(H202="X","X",0)),0))</f>
        <v>0</v>
      </c>
      <c r="K202" s="248">
        <f t="shared" ca="1" si="22"/>
        <v>0</v>
      </c>
      <c r="L202" s="212" t="s">
        <v>679</v>
      </c>
      <c r="M202" s="212" t="s">
        <v>448</v>
      </c>
      <c r="N202" s="212" t="s">
        <v>470</v>
      </c>
      <c r="O202" s="213">
        <v>41419</v>
      </c>
      <c r="P202" s="212" t="s">
        <v>680</v>
      </c>
      <c r="Q202" s="214">
        <v>100</v>
      </c>
      <c r="R202" s="212" t="s">
        <v>445</v>
      </c>
      <c r="S202" s="212" t="s">
        <v>532</v>
      </c>
      <c r="T202" s="212" t="s">
        <v>445</v>
      </c>
      <c r="U202" s="212" t="s">
        <v>446</v>
      </c>
      <c r="V202" s="214" t="b">
        <v>1</v>
      </c>
      <c r="W202" s="214">
        <v>1989</v>
      </c>
      <c r="X202" s="214">
        <v>5</v>
      </c>
      <c r="Y202" s="214">
        <v>2</v>
      </c>
      <c r="Z202" s="214">
        <v>4</v>
      </c>
      <c r="AA202" s="212" t="s">
        <v>447</v>
      </c>
      <c r="AB202" s="212" t="s">
        <v>531</v>
      </c>
      <c r="AC202" s="212" t="s">
        <v>533</v>
      </c>
      <c r="AD202" s="214">
        <v>1.169376</v>
      </c>
      <c r="AE202" s="214">
        <v>524</v>
      </c>
      <c r="AF202" s="214">
        <v>0.22600000000000001</v>
      </c>
      <c r="AG202" s="214">
        <v>-99</v>
      </c>
      <c r="AH202" s="212" t="s">
        <v>224</v>
      </c>
      <c r="AI202" s="212" t="s">
        <v>449</v>
      </c>
      <c r="AJ202" s="212" t="s">
        <v>436</v>
      </c>
      <c r="AK202" s="212" t="s">
        <v>531</v>
      </c>
      <c r="AL202" s="212" t="s">
        <v>460</v>
      </c>
      <c r="AM202" s="214" t="b">
        <v>0</v>
      </c>
      <c r="AN202" s="214" t="b">
        <v>1</v>
      </c>
      <c r="AO202" s="212" t="s">
        <v>437</v>
      </c>
      <c r="AP202" s="212" t="s">
        <v>438</v>
      </c>
      <c r="AQ202" s="214">
        <v>106.16500000000001</v>
      </c>
      <c r="AR202" s="214" t="b">
        <v>0</v>
      </c>
      <c r="AS202" s="212" t="s">
        <v>534</v>
      </c>
      <c r="AU202" s="222" t="s">
        <v>819</v>
      </c>
    </row>
    <row r="203" spans="1:47" s="263" customFormat="1" ht="13.5" customHeight="1" x14ac:dyDescent="0.25">
      <c r="A203" s="245">
        <f t="shared" si="23"/>
        <v>203</v>
      </c>
      <c r="B203" s="246" t="str">
        <f t="shared" si="16"/>
        <v>Oil Field - Tank</v>
      </c>
      <c r="C203" s="246" t="str">
        <f ca="1">IF(B203="","",VLOOKUP(D203,'Species Data'!B:E,4,FALSE))</f>
        <v>methane</v>
      </c>
      <c r="D203" s="246">
        <f t="shared" ca="1" si="17"/>
        <v>529</v>
      </c>
      <c r="E203" s="246">
        <f t="shared" ca="1" si="18"/>
        <v>0.63090000000000002</v>
      </c>
      <c r="F203" s="246" t="str">
        <f t="shared" ca="1" si="19"/>
        <v>Methane</v>
      </c>
      <c r="G203" s="246">
        <f t="shared" ca="1" si="20"/>
        <v>16.042459999999998</v>
      </c>
      <c r="H203" s="204">
        <f ca="1">IF(G203="","",IF(VLOOKUP(Tank!F203,'Species Data'!D:F,3,FALSE)=0,"X",IF(G203&lt;44.1,2,1)))</f>
        <v>2</v>
      </c>
      <c r="I203" s="204">
        <f t="shared" ca="1" si="21"/>
        <v>44.518760713436194</v>
      </c>
      <c r="J203" s="247">
        <f ca="1">IF(I203="","",IF(COUNTIF($D$12:D203,D203)=1,IF(H203=1,I203*H203,IF(H203="X","X",0)),0))</f>
        <v>0</v>
      </c>
      <c r="K203" s="248">
        <f t="shared" ca="1" si="22"/>
        <v>0</v>
      </c>
      <c r="L203" s="212" t="s">
        <v>679</v>
      </c>
      <c r="M203" s="212" t="s">
        <v>448</v>
      </c>
      <c r="N203" s="212" t="s">
        <v>470</v>
      </c>
      <c r="O203" s="213">
        <v>41419</v>
      </c>
      <c r="P203" s="212" t="s">
        <v>680</v>
      </c>
      <c r="Q203" s="214">
        <v>100</v>
      </c>
      <c r="R203" s="212" t="s">
        <v>445</v>
      </c>
      <c r="S203" s="212" t="s">
        <v>532</v>
      </c>
      <c r="T203" s="212" t="s">
        <v>445</v>
      </c>
      <c r="U203" s="212" t="s">
        <v>446</v>
      </c>
      <c r="V203" s="214" t="b">
        <v>1</v>
      </c>
      <c r="W203" s="214">
        <v>1989</v>
      </c>
      <c r="X203" s="214">
        <v>5</v>
      </c>
      <c r="Y203" s="214">
        <v>2</v>
      </c>
      <c r="Z203" s="214">
        <v>4</v>
      </c>
      <c r="AA203" s="212" t="s">
        <v>447</v>
      </c>
      <c r="AB203" s="212" t="s">
        <v>531</v>
      </c>
      <c r="AC203" s="212" t="s">
        <v>533</v>
      </c>
      <c r="AD203" s="214">
        <v>1.169376</v>
      </c>
      <c r="AE203" s="214">
        <v>529</v>
      </c>
      <c r="AF203" s="214">
        <v>0.63090000000000002</v>
      </c>
      <c r="AG203" s="214">
        <v>-99</v>
      </c>
      <c r="AH203" s="212" t="s">
        <v>224</v>
      </c>
      <c r="AI203" s="212" t="s">
        <v>449</v>
      </c>
      <c r="AJ203" s="212" t="s">
        <v>271</v>
      </c>
      <c r="AK203" s="212" t="s">
        <v>531</v>
      </c>
      <c r="AL203" s="212" t="s">
        <v>376</v>
      </c>
      <c r="AM203" s="214" t="b">
        <v>0</v>
      </c>
      <c r="AN203" s="214" t="b">
        <v>0</v>
      </c>
      <c r="AO203" s="212" t="s">
        <v>272</v>
      </c>
      <c r="AP203" s="212" t="s">
        <v>531</v>
      </c>
      <c r="AQ203" s="214">
        <v>16.042459999999998</v>
      </c>
      <c r="AR203" s="214" t="b">
        <v>1</v>
      </c>
      <c r="AS203" s="212" t="s">
        <v>534</v>
      </c>
      <c r="AU203" s="222" t="s">
        <v>819</v>
      </c>
    </row>
    <row r="204" spans="1:47" s="263" customFormat="1" ht="13.5" customHeight="1" x14ac:dyDescent="0.25">
      <c r="A204" s="245">
        <f t="shared" si="23"/>
        <v>204</v>
      </c>
      <c r="B204" s="246" t="str">
        <f t="shared" ref="B204:B267" si="24">IF(ROW(A204)-(ROW($A$12))&lt;$B$10,$B$9,"")</f>
        <v>Oil Field - Tank</v>
      </c>
      <c r="C204" s="246" t="str">
        <f ca="1">IF(B204="","",VLOOKUP(D204,'Species Data'!B:E,4,FALSE))</f>
        <v>methcychex</v>
      </c>
      <c r="D204" s="246">
        <f t="shared" ca="1" si="17"/>
        <v>550</v>
      </c>
      <c r="E204" s="246">
        <f t="shared" ca="1" si="18"/>
        <v>0.18310000000000001</v>
      </c>
      <c r="F204" s="246" t="str">
        <f t="shared" ca="1" si="19"/>
        <v>Methylcyclohexane</v>
      </c>
      <c r="G204" s="246">
        <f t="shared" ca="1" si="20"/>
        <v>98.186059999999998</v>
      </c>
      <c r="H204" s="204">
        <f ca="1">IF(G204="","",IF(VLOOKUP(Tank!F204,'Species Data'!D:F,3,FALSE)=0,"X",IF(G204&lt;44.1,2,1)))</f>
        <v>1</v>
      </c>
      <c r="I204" s="204">
        <f t="shared" ca="1" si="21"/>
        <v>0.52063166473064815</v>
      </c>
      <c r="J204" s="247">
        <f ca="1">IF(I204="","",IF(COUNTIF($D$12:D204,D204)=1,IF(H204=1,I204*H204,IF(H204="X","X",0)),0))</f>
        <v>0</v>
      </c>
      <c r="K204" s="248">
        <f t="shared" ca="1" si="22"/>
        <v>0</v>
      </c>
      <c r="L204" s="212" t="s">
        <v>679</v>
      </c>
      <c r="M204" s="212" t="s">
        <v>448</v>
      </c>
      <c r="N204" s="212" t="s">
        <v>470</v>
      </c>
      <c r="O204" s="213">
        <v>41419</v>
      </c>
      <c r="P204" s="212" t="s">
        <v>680</v>
      </c>
      <c r="Q204" s="214">
        <v>100</v>
      </c>
      <c r="R204" s="212" t="s">
        <v>445</v>
      </c>
      <c r="S204" s="212" t="s">
        <v>532</v>
      </c>
      <c r="T204" s="212" t="s">
        <v>445</v>
      </c>
      <c r="U204" s="212" t="s">
        <v>446</v>
      </c>
      <c r="V204" s="214" t="b">
        <v>1</v>
      </c>
      <c r="W204" s="214">
        <v>1989</v>
      </c>
      <c r="X204" s="214">
        <v>5</v>
      </c>
      <c r="Y204" s="214">
        <v>2</v>
      </c>
      <c r="Z204" s="214">
        <v>4</v>
      </c>
      <c r="AA204" s="212" t="s">
        <v>447</v>
      </c>
      <c r="AB204" s="212" t="s">
        <v>531</v>
      </c>
      <c r="AC204" s="212" t="s">
        <v>533</v>
      </c>
      <c r="AD204" s="214">
        <v>1.169376</v>
      </c>
      <c r="AE204" s="214">
        <v>550</v>
      </c>
      <c r="AF204" s="214">
        <v>0.18310000000000001</v>
      </c>
      <c r="AG204" s="214">
        <v>-99</v>
      </c>
      <c r="AH204" s="212" t="s">
        <v>224</v>
      </c>
      <c r="AI204" s="212" t="s">
        <v>449</v>
      </c>
      <c r="AJ204" s="212" t="s">
        <v>348</v>
      </c>
      <c r="AK204" s="212" t="s">
        <v>531</v>
      </c>
      <c r="AL204" s="212" t="s">
        <v>396</v>
      </c>
      <c r="AM204" s="214" t="b">
        <v>1</v>
      </c>
      <c r="AN204" s="214" t="b">
        <v>0</v>
      </c>
      <c r="AO204" s="212" t="s">
        <v>349</v>
      </c>
      <c r="AP204" s="212" t="s">
        <v>350</v>
      </c>
      <c r="AQ204" s="214">
        <v>98.186059999999998</v>
      </c>
      <c r="AR204" s="214" t="b">
        <v>0</v>
      </c>
      <c r="AS204" s="212" t="s">
        <v>534</v>
      </c>
      <c r="AU204" s="222" t="s">
        <v>819</v>
      </c>
    </row>
    <row r="205" spans="1:47" s="263" customFormat="1" ht="13.5" customHeight="1" x14ac:dyDescent="0.25">
      <c r="A205" s="245">
        <f t="shared" si="23"/>
        <v>205</v>
      </c>
      <c r="B205" s="246" t="str">
        <f t="shared" si="24"/>
        <v>Oil Field - Tank</v>
      </c>
      <c r="C205" s="246" t="str">
        <f ca="1">IF(B205="","",VLOOKUP(D205,'Species Data'!B:E,4,FALSE))</f>
        <v>methcycpen</v>
      </c>
      <c r="D205" s="246">
        <f t="shared" ref="D205:D268" ca="1" si="25">IF(B205="","",INDIRECT("AE"&amp;$A205))</f>
        <v>551</v>
      </c>
      <c r="E205" s="246">
        <f t="shared" ref="E205:E268" ca="1" si="26">IF(D205="","",INDIRECT("AF"&amp;$A205))</f>
        <v>3.4630999999999998</v>
      </c>
      <c r="F205" s="246" t="str">
        <f t="shared" ref="F205:F268" ca="1" si="27">IF(E205="","",INDIRECT("AO"&amp;$A205))</f>
        <v>Methylcyclopentane</v>
      </c>
      <c r="G205" s="246">
        <f t="shared" ref="G205:G268" ca="1" si="28">IF(F205="","",INDIRECT("AQ"&amp;$A205))</f>
        <v>84.159480000000002</v>
      </c>
      <c r="H205" s="204">
        <f ca="1">IF(G205="","",IF(VLOOKUP(Tank!F205,'Species Data'!D:F,3,FALSE)=0,"X",IF(G205&lt;44.1,2,1)))</f>
        <v>1</v>
      </c>
      <c r="I205" s="204">
        <f t="shared" ref="I205:I268" ca="1" si="29">IF(H205="","",SUMIF(D:D,D205,E:E)/($E$9/100))</f>
        <v>1.4788275300776224</v>
      </c>
      <c r="J205" s="247">
        <f ca="1">IF(I205="","",IF(COUNTIF($D$12:D205,D205)=1,IF(H205=1,I205*H205,IF(H205="X","X",0)),0))</f>
        <v>0</v>
      </c>
      <c r="K205" s="248">
        <f t="shared" ref="K205:K268" ca="1" si="30">IF(J205="","",IF(J205="X",0,J205/$J$9*100))</f>
        <v>0</v>
      </c>
      <c r="L205" s="212" t="s">
        <v>679</v>
      </c>
      <c r="M205" s="212" t="s">
        <v>448</v>
      </c>
      <c r="N205" s="212" t="s">
        <v>470</v>
      </c>
      <c r="O205" s="213">
        <v>41419</v>
      </c>
      <c r="P205" s="212" t="s">
        <v>680</v>
      </c>
      <c r="Q205" s="214">
        <v>100</v>
      </c>
      <c r="R205" s="212" t="s">
        <v>445</v>
      </c>
      <c r="S205" s="212" t="s">
        <v>532</v>
      </c>
      <c r="T205" s="212" t="s">
        <v>445</v>
      </c>
      <c r="U205" s="212" t="s">
        <v>446</v>
      </c>
      <c r="V205" s="214" t="b">
        <v>1</v>
      </c>
      <c r="W205" s="214">
        <v>1989</v>
      </c>
      <c r="X205" s="214">
        <v>5</v>
      </c>
      <c r="Y205" s="214">
        <v>2</v>
      </c>
      <c r="Z205" s="214">
        <v>4</v>
      </c>
      <c r="AA205" s="212" t="s">
        <v>447</v>
      </c>
      <c r="AB205" s="212" t="s">
        <v>531</v>
      </c>
      <c r="AC205" s="212" t="s">
        <v>533</v>
      </c>
      <c r="AD205" s="214">
        <v>1.169376</v>
      </c>
      <c r="AE205" s="214">
        <v>551</v>
      </c>
      <c r="AF205" s="214">
        <v>3.4630999999999998</v>
      </c>
      <c r="AG205" s="214">
        <v>-99</v>
      </c>
      <c r="AH205" s="212" t="s">
        <v>224</v>
      </c>
      <c r="AI205" s="212" t="s">
        <v>449</v>
      </c>
      <c r="AJ205" s="212" t="s">
        <v>351</v>
      </c>
      <c r="AK205" s="212" t="s">
        <v>531</v>
      </c>
      <c r="AL205" s="212" t="s">
        <v>397</v>
      </c>
      <c r="AM205" s="214" t="b">
        <v>1</v>
      </c>
      <c r="AN205" s="214" t="b">
        <v>0</v>
      </c>
      <c r="AO205" s="212" t="s">
        <v>352</v>
      </c>
      <c r="AP205" s="212" t="s">
        <v>353</v>
      </c>
      <c r="AQ205" s="214">
        <v>84.159480000000002</v>
      </c>
      <c r="AR205" s="214" t="b">
        <v>0</v>
      </c>
      <c r="AS205" s="212" t="s">
        <v>534</v>
      </c>
      <c r="AU205" s="222" t="s">
        <v>819</v>
      </c>
    </row>
    <row r="206" spans="1:47" s="263" customFormat="1" ht="13.5" customHeight="1" x14ac:dyDescent="0.25">
      <c r="A206" s="245">
        <f t="shared" ref="A206:A269" si="31">IF(B206="","",A205+1)</f>
        <v>206</v>
      </c>
      <c r="B206" s="246" t="str">
        <f t="shared" si="24"/>
        <v>Oil Field - Tank</v>
      </c>
      <c r="C206" s="246" t="str">
        <f ca="1">IF(B206="","",VLOOKUP(D206,'Species Data'!B:E,4,FALSE))</f>
        <v>N_but</v>
      </c>
      <c r="D206" s="246">
        <f t="shared" ca="1" si="25"/>
        <v>592</v>
      </c>
      <c r="E206" s="246">
        <f t="shared" ca="1" si="26"/>
        <v>17.546399999999998</v>
      </c>
      <c r="F206" s="246" t="str">
        <f t="shared" ca="1" si="27"/>
        <v>N-butane</v>
      </c>
      <c r="G206" s="246">
        <f t="shared" ca="1" si="28"/>
        <v>58.122199999999992</v>
      </c>
      <c r="H206" s="204">
        <f ca="1">IF(G206="","",IF(VLOOKUP(Tank!F206,'Species Data'!D:F,3,FALSE)=0,"X",IF(G206&lt;44.1,2,1)))</f>
        <v>1</v>
      </c>
      <c r="I206" s="204">
        <f t="shared" ca="1" si="29"/>
        <v>8.8589583793337763</v>
      </c>
      <c r="J206" s="247">
        <f ca="1">IF(I206="","",IF(COUNTIF($D$12:D206,D206)=1,IF(H206=1,I206*H206,IF(H206="X","X",0)),0))</f>
        <v>0</v>
      </c>
      <c r="K206" s="248">
        <f t="shared" ca="1" si="30"/>
        <v>0</v>
      </c>
      <c r="L206" s="212" t="s">
        <v>679</v>
      </c>
      <c r="M206" s="212" t="s">
        <v>448</v>
      </c>
      <c r="N206" s="212" t="s">
        <v>470</v>
      </c>
      <c r="O206" s="213">
        <v>41419</v>
      </c>
      <c r="P206" s="212" t="s">
        <v>680</v>
      </c>
      <c r="Q206" s="214">
        <v>100</v>
      </c>
      <c r="R206" s="212" t="s">
        <v>445</v>
      </c>
      <c r="S206" s="212" t="s">
        <v>532</v>
      </c>
      <c r="T206" s="212" t="s">
        <v>445</v>
      </c>
      <c r="U206" s="212" t="s">
        <v>446</v>
      </c>
      <c r="V206" s="214" t="b">
        <v>1</v>
      </c>
      <c r="W206" s="214">
        <v>1989</v>
      </c>
      <c r="X206" s="214">
        <v>5</v>
      </c>
      <c r="Y206" s="214">
        <v>2</v>
      </c>
      <c r="Z206" s="214">
        <v>4</v>
      </c>
      <c r="AA206" s="212" t="s">
        <v>447</v>
      </c>
      <c r="AB206" s="212" t="s">
        <v>531</v>
      </c>
      <c r="AC206" s="212" t="s">
        <v>533</v>
      </c>
      <c r="AD206" s="214">
        <v>1.169376</v>
      </c>
      <c r="AE206" s="214">
        <v>592</v>
      </c>
      <c r="AF206" s="214">
        <v>17.546399999999998</v>
      </c>
      <c r="AG206" s="214">
        <v>-99</v>
      </c>
      <c r="AH206" s="212" t="s">
        <v>224</v>
      </c>
      <c r="AI206" s="212" t="s">
        <v>449</v>
      </c>
      <c r="AJ206" s="212" t="s">
        <v>273</v>
      </c>
      <c r="AK206" s="212" t="s">
        <v>531</v>
      </c>
      <c r="AL206" s="212" t="s">
        <v>377</v>
      </c>
      <c r="AM206" s="214" t="b">
        <v>1</v>
      </c>
      <c r="AN206" s="214" t="b">
        <v>0</v>
      </c>
      <c r="AO206" s="212" t="s">
        <v>274</v>
      </c>
      <c r="AP206" s="212" t="s">
        <v>275</v>
      </c>
      <c r="AQ206" s="214">
        <v>58.122199999999992</v>
      </c>
      <c r="AR206" s="214" t="b">
        <v>0</v>
      </c>
      <c r="AS206" s="212" t="s">
        <v>534</v>
      </c>
      <c r="AU206" s="222" t="s">
        <v>819</v>
      </c>
    </row>
    <row r="207" spans="1:47" s="263" customFormat="1" ht="13.5" customHeight="1" x14ac:dyDescent="0.25">
      <c r="A207" s="245">
        <f t="shared" si="31"/>
        <v>207</v>
      </c>
      <c r="B207" s="246" t="str">
        <f t="shared" si="24"/>
        <v>Oil Field - Tank</v>
      </c>
      <c r="C207" s="246" t="str">
        <f ca="1">IF(B207="","",VLOOKUP(D207,'Species Data'!B:E,4,FALSE))</f>
        <v>N_dec</v>
      </c>
      <c r="D207" s="246">
        <f t="shared" ca="1" si="25"/>
        <v>598</v>
      </c>
      <c r="E207" s="246">
        <f t="shared" ca="1" si="26"/>
        <v>5.7999999999999996E-3</v>
      </c>
      <c r="F207" s="246" t="str">
        <f t="shared" ca="1" si="27"/>
        <v>N-decane</v>
      </c>
      <c r="G207" s="246">
        <f t="shared" ca="1" si="28"/>
        <v>142.28167999999999</v>
      </c>
      <c r="H207" s="204">
        <f ca="1">IF(G207="","",IF(VLOOKUP(Tank!F207,'Species Data'!D:F,3,FALSE)=0,"X",IF(G207&lt;44.1,2,1)))</f>
        <v>1</v>
      </c>
      <c r="I207" s="204">
        <f t="shared" ca="1" si="29"/>
        <v>1.7526834924281948E-2</v>
      </c>
      <c r="J207" s="247">
        <f ca="1">IF(I207="","",IF(COUNTIF($D$12:D207,D207)=1,IF(H207=1,I207*H207,IF(H207="X","X",0)),0))</f>
        <v>0</v>
      </c>
      <c r="K207" s="248">
        <f t="shared" ca="1" si="30"/>
        <v>0</v>
      </c>
      <c r="L207" s="212" t="s">
        <v>679</v>
      </c>
      <c r="M207" s="212" t="s">
        <v>448</v>
      </c>
      <c r="N207" s="212" t="s">
        <v>470</v>
      </c>
      <c r="O207" s="213">
        <v>41419</v>
      </c>
      <c r="P207" s="212" t="s">
        <v>680</v>
      </c>
      <c r="Q207" s="214">
        <v>100</v>
      </c>
      <c r="R207" s="212" t="s">
        <v>445</v>
      </c>
      <c r="S207" s="212" t="s">
        <v>532</v>
      </c>
      <c r="T207" s="212" t="s">
        <v>445</v>
      </c>
      <c r="U207" s="212" t="s">
        <v>446</v>
      </c>
      <c r="V207" s="214" t="b">
        <v>1</v>
      </c>
      <c r="W207" s="214">
        <v>1989</v>
      </c>
      <c r="X207" s="214">
        <v>5</v>
      </c>
      <c r="Y207" s="214">
        <v>2</v>
      </c>
      <c r="Z207" s="214">
        <v>4</v>
      </c>
      <c r="AA207" s="212" t="s">
        <v>447</v>
      </c>
      <c r="AB207" s="212" t="s">
        <v>531</v>
      </c>
      <c r="AC207" s="212" t="s">
        <v>533</v>
      </c>
      <c r="AD207" s="214">
        <v>1.169376</v>
      </c>
      <c r="AE207" s="214">
        <v>598</v>
      </c>
      <c r="AF207" s="214">
        <v>5.7999999999999996E-3</v>
      </c>
      <c r="AG207" s="214">
        <v>-99</v>
      </c>
      <c r="AH207" s="212" t="s">
        <v>224</v>
      </c>
      <c r="AI207" s="212" t="s">
        <v>449</v>
      </c>
      <c r="AJ207" s="212" t="s">
        <v>414</v>
      </c>
      <c r="AK207" s="212" t="s">
        <v>531</v>
      </c>
      <c r="AL207" s="212" t="s">
        <v>452</v>
      </c>
      <c r="AM207" s="214" t="b">
        <v>1</v>
      </c>
      <c r="AN207" s="214" t="b">
        <v>0</v>
      </c>
      <c r="AO207" s="212" t="s">
        <v>415</v>
      </c>
      <c r="AP207" s="212" t="s">
        <v>416</v>
      </c>
      <c r="AQ207" s="214">
        <v>142.28167999999999</v>
      </c>
      <c r="AR207" s="214" t="b">
        <v>0</v>
      </c>
      <c r="AS207" s="212" t="s">
        <v>534</v>
      </c>
      <c r="AU207" s="222" t="s">
        <v>819</v>
      </c>
    </row>
    <row r="208" spans="1:47" s="263" customFormat="1" ht="13.5" customHeight="1" x14ac:dyDescent="0.25">
      <c r="A208" s="245">
        <f t="shared" si="31"/>
        <v>208</v>
      </c>
      <c r="B208" s="246" t="str">
        <f t="shared" si="24"/>
        <v>Oil Field - Tank</v>
      </c>
      <c r="C208" s="246" t="str">
        <f ca="1">IF(B208="","",VLOOKUP(D208,'Species Data'!B:E,4,FALSE))</f>
        <v>N_hep</v>
      </c>
      <c r="D208" s="246">
        <f t="shared" ca="1" si="25"/>
        <v>600</v>
      </c>
      <c r="E208" s="246">
        <f t="shared" ca="1" si="26"/>
        <v>1.2951999999999999</v>
      </c>
      <c r="F208" s="246" t="str">
        <f t="shared" ca="1" si="27"/>
        <v>N-heptane</v>
      </c>
      <c r="G208" s="246">
        <f t="shared" ca="1" si="28"/>
        <v>100.20194000000001</v>
      </c>
      <c r="H208" s="204">
        <f ca="1">IF(G208="","",IF(VLOOKUP(Tank!F208,'Species Data'!D:F,3,FALSE)=0,"X",IF(G208&lt;44.1,2,1)))</f>
        <v>1</v>
      </c>
      <c r="I208" s="204">
        <f t="shared" ca="1" si="29"/>
        <v>0.55093195561344066</v>
      </c>
      <c r="J208" s="247">
        <f ca="1">IF(I208="","",IF(COUNTIF($D$12:D208,D208)=1,IF(H208=1,I208*H208,IF(H208="X","X",0)),0))</f>
        <v>0</v>
      </c>
      <c r="K208" s="248">
        <f t="shared" ca="1" si="30"/>
        <v>0</v>
      </c>
      <c r="L208" s="212" t="s">
        <v>679</v>
      </c>
      <c r="M208" s="212" t="s">
        <v>448</v>
      </c>
      <c r="N208" s="212" t="s">
        <v>470</v>
      </c>
      <c r="O208" s="213">
        <v>41419</v>
      </c>
      <c r="P208" s="212" t="s">
        <v>680</v>
      </c>
      <c r="Q208" s="214">
        <v>100</v>
      </c>
      <c r="R208" s="212" t="s">
        <v>445</v>
      </c>
      <c r="S208" s="212" t="s">
        <v>532</v>
      </c>
      <c r="T208" s="212" t="s">
        <v>445</v>
      </c>
      <c r="U208" s="212" t="s">
        <v>446</v>
      </c>
      <c r="V208" s="214" t="b">
        <v>1</v>
      </c>
      <c r="W208" s="214">
        <v>1989</v>
      </c>
      <c r="X208" s="214">
        <v>5</v>
      </c>
      <c r="Y208" s="214">
        <v>2</v>
      </c>
      <c r="Z208" s="214">
        <v>4</v>
      </c>
      <c r="AA208" s="212" t="s">
        <v>447</v>
      </c>
      <c r="AB208" s="212" t="s">
        <v>531</v>
      </c>
      <c r="AC208" s="212" t="s">
        <v>533</v>
      </c>
      <c r="AD208" s="214">
        <v>1.169376</v>
      </c>
      <c r="AE208" s="214">
        <v>600</v>
      </c>
      <c r="AF208" s="214">
        <v>1.2951999999999999</v>
      </c>
      <c r="AG208" s="214">
        <v>-99</v>
      </c>
      <c r="AH208" s="212" t="s">
        <v>224</v>
      </c>
      <c r="AI208" s="212" t="s">
        <v>449</v>
      </c>
      <c r="AJ208" s="212" t="s">
        <v>276</v>
      </c>
      <c r="AK208" s="212" t="s">
        <v>531</v>
      </c>
      <c r="AL208" s="212" t="s">
        <v>378</v>
      </c>
      <c r="AM208" s="214" t="b">
        <v>1</v>
      </c>
      <c r="AN208" s="214" t="b">
        <v>0</v>
      </c>
      <c r="AO208" s="212" t="s">
        <v>277</v>
      </c>
      <c r="AP208" s="212" t="s">
        <v>278</v>
      </c>
      <c r="AQ208" s="214">
        <v>100.20194000000001</v>
      </c>
      <c r="AR208" s="214" t="b">
        <v>0</v>
      </c>
      <c r="AS208" s="212" t="s">
        <v>534</v>
      </c>
      <c r="AU208" s="222" t="s">
        <v>819</v>
      </c>
    </row>
    <row r="209" spans="1:47" s="263" customFormat="1" ht="13.5" customHeight="1" x14ac:dyDescent="0.25">
      <c r="A209" s="245">
        <f t="shared" si="31"/>
        <v>209</v>
      </c>
      <c r="B209" s="246" t="str">
        <f t="shared" si="24"/>
        <v>Oil Field - Tank</v>
      </c>
      <c r="C209" s="246" t="str">
        <f ca="1">IF(B209="","",VLOOKUP(D209,'Species Data'!B:E,4,FALSE))</f>
        <v>N_hex</v>
      </c>
      <c r="D209" s="246">
        <f t="shared" ca="1" si="25"/>
        <v>601</v>
      </c>
      <c r="E209" s="246">
        <f t="shared" ca="1" si="26"/>
        <v>3.0647000000000002</v>
      </c>
      <c r="F209" s="246" t="str">
        <f t="shared" ca="1" si="27"/>
        <v>N-hexane</v>
      </c>
      <c r="G209" s="246">
        <f t="shared" ca="1" si="28"/>
        <v>86.175359999999998</v>
      </c>
      <c r="H209" s="204">
        <f ca="1">IF(G209="","",IF(VLOOKUP(Tank!F209,'Species Data'!D:F,3,FALSE)=0,"X",IF(G209&lt;44.1,2,1)))</f>
        <v>1</v>
      </c>
      <c r="I209" s="204">
        <f t="shared" ca="1" si="29"/>
        <v>1.4244870084086145</v>
      </c>
      <c r="J209" s="247">
        <f ca="1">IF(I209="","",IF(COUNTIF($D$12:D209,D209)=1,IF(H209=1,I209*H209,IF(H209="X","X",0)),0))</f>
        <v>0</v>
      </c>
      <c r="K209" s="248">
        <f t="shared" ca="1" si="30"/>
        <v>0</v>
      </c>
      <c r="L209" s="212" t="s">
        <v>679</v>
      </c>
      <c r="M209" s="212" t="s">
        <v>448</v>
      </c>
      <c r="N209" s="212" t="s">
        <v>470</v>
      </c>
      <c r="O209" s="213">
        <v>41419</v>
      </c>
      <c r="P209" s="212" t="s">
        <v>680</v>
      </c>
      <c r="Q209" s="214">
        <v>100</v>
      </c>
      <c r="R209" s="212" t="s">
        <v>445</v>
      </c>
      <c r="S209" s="212" t="s">
        <v>532</v>
      </c>
      <c r="T209" s="212" t="s">
        <v>445</v>
      </c>
      <c r="U209" s="212" t="s">
        <v>446</v>
      </c>
      <c r="V209" s="214" t="b">
        <v>1</v>
      </c>
      <c r="W209" s="214">
        <v>1989</v>
      </c>
      <c r="X209" s="214">
        <v>5</v>
      </c>
      <c r="Y209" s="214">
        <v>2</v>
      </c>
      <c r="Z209" s="214">
        <v>4</v>
      </c>
      <c r="AA209" s="212" t="s">
        <v>447</v>
      </c>
      <c r="AB209" s="212" t="s">
        <v>531</v>
      </c>
      <c r="AC209" s="212" t="s">
        <v>533</v>
      </c>
      <c r="AD209" s="214">
        <v>1.169376</v>
      </c>
      <c r="AE209" s="214">
        <v>601</v>
      </c>
      <c r="AF209" s="214">
        <v>3.0647000000000002</v>
      </c>
      <c r="AG209" s="214">
        <v>-99</v>
      </c>
      <c r="AH209" s="212" t="s">
        <v>224</v>
      </c>
      <c r="AI209" s="212" t="s">
        <v>449</v>
      </c>
      <c r="AJ209" s="212" t="s">
        <v>279</v>
      </c>
      <c r="AK209" s="212" t="s">
        <v>531</v>
      </c>
      <c r="AL209" s="212" t="s">
        <v>379</v>
      </c>
      <c r="AM209" s="214" t="b">
        <v>1</v>
      </c>
      <c r="AN209" s="214" t="b">
        <v>1</v>
      </c>
      <c r="AO209" s="212" t="s">
        <v>280</v>
      </c>
      <c r="AP209" s="212" t="s">
        <v>281</v>
      </c>
      <c r="AQ209" s="214">
        <v>86.175359999999998</v>
      </c>
      <c r="AR209" s="214" t="b">
        <v>0</v>
      </c>
      <c r="AS209" s="212" t="s">
        <v>534</v>
      </c>
      <c r="AU209" s="222" t="s">
        <v>819</v>
      </c>
    </row>
    <row r="210" spans="1:47" s="263" customFormat="1" ht="15" customHeight="1" x14ac:dyDescent="0.25">
      <c r="A210" s="245">
        <f t="shared" si="31"/>
        <v>210</v>
      </c>
      <c r="B210" s="246" t="str">
        <f t="shared" si="24"/>
        <v>Oil Field - Tank</v>
      </c>
      <c r="C210" s="246" t="str">
        <f ca="1">IF(B210="","",VLOOKUP(D210,'Species Data'!B:E,4,FALSE))</f>
        <v>N_nonane</v>
      </c>
      <c r="D210" s="246">
        <f t="shared" ca="1" si="25"/>
        <v>603</v>
      </c>
      <c r="E210" s="246">
        <f t="shared" ca="1" si="26"/>
        <v>0.13930000000000001</v>
      </c>
      <c r="F210" s="246" t="str">
        <f t="shared" ca="1" si="27"/>
        <v>N-nonane</v>
      </c>
      <c r="G210" s="246">
        <f t="shared" ca="1" si="28"/>
        <v>128.2551</v>
      </c>
      <c r="H210" s="204">
        <f ca="1">IF(G210="","",IF(VLOOKUP(Tank!F210,'Species Data'!D:F,3,FALSE)=0,"X",IF(G210&lt;44.1,2,1)))</f>
        <v>1</v>
      </c>
      <c r="I210" s="204">
        <f t="shared" ca="1" si="29"/>
        <v>6.0467247152239355E-2</v>
      </c>
      <c r="J210" s="247">
        <f ca="1">IF(I210="","",IF(COUNTIF($D$12:D210,D210)=1,IF(H210=1,I210*H210,IF(H210="X","X",0)),0))</f>
        <v>0</v>
      </c>
      <c r="K210" s="248">
        <f t="shared" ca="1" si="30"/>
        <v>0</v>
      </c>
      <c r="L210" s="212" t="s">
        <v>679</v>
      </c>
      <c r="M210" s="212" t="s">
        <v>448</v>
      </c>
      <c r="N210" s="212" t="s">
        <v>470</v>
      </c>
      <c r="O210" s="213">
        <v>41419</v>
      </c>
      <c r="P210" s="212" t="s">
        <v>680</v>
      </c>
      <c r="Q210" s="214">
        <v>100</v>
      </c>
      <c r="R210" s="212" t="s">
        <v>445</v>
      </c>
      <c r="S210" s="212" t="s">
        <v>532</v>
      </c>
      <c r="T210" s="212" t="s">
        <v>445</v>
      </c>
      <c r="U210" s="212" t="s">
        <v>446</v>
      </c>
      <c r="V210" s="214" t="b">
        <v>1</v>
      </c>
      <c r="W210" s="214">
        <v>1989</v>
      </c>
      <c r="X210" s="214">
        <v>5</v>
      </c>
      <c r="Y210" s="214">
        <v>2</v>
      </c>
      <c r="Z210" s="214">
        <v>4</v>
      </c>
      <c r="AA210" s="212" t="s">
        <v>447</v>
      </c>
      <c r="AB210" s="212" t="s">
        <v>531</v>
      </c>
      <c r="AC210" s="212" t="s">
        <v>533</v>
      </c>
      <c r="AD210" s="214">
        <v>1.169376</v>
      </c>
      <c r="AE210" s="214">
        <v>603</v>
      </c>
      <c r="AF210" s="214">
        <v>0.13930000000000001</v>
      </c>
      <c r="AG210" s="214">
        <v>-99</v>
      </c>
      <c r="AH210" s="212" t="s">
        <v>224</v>
      </c>
      <c r="AI210" s="212" t="s">
        <v>449</v>
      </c>
      <c r="AJ210" s="212" t="s">
        <v>417</v>
      </c>
      <c r="AK210" s="212" t="s">
        <v>531</v>
      </c>
      <c r="AL210" s="212" t="s">
        <v>453</v>
      </c>
      <c r="AM210" s="214" t="b">
        <v>1</v>
      </c>
      <c r="AN210" s="214" t="b">
        <v>0</v>
      </c>
      <c r="AO210" s="212" t="s">
        <v>418</v>
      </c>
      <c r="AP210" s="212" t="s">
        <v>419</v>
      </c>
      <c r="AQ210" s="214">
        <v>128.2551</v>
      </c>
      <c r="AR210" s="214" t="b">
        <v>0</v>
      </c>
      <c r="AS210" s="212" t="s">
        <v>534</v>
      </c>
      <c r="AU210" s="222" t="s">
        <v>819</v>
      </c>
    </row>
    <row r="211" spans="1:47" s="263" customFormat="1" ht="15" customHeight="1" x14ac:dyDescent="0.25">
      <c r="A211" s="245">
        <f t="shared" si="31"/>
        <v>211</v>
      </c>
      <c r="B211" s="246" t="str">
        <f t="shared" si="24"/>
        <v>Oil Field - Tank</v>
      </c>
      <c r="C211" s="246" t="str">
        <f ca="1">IF(B211="","",VLOOKUP(D211,'Species Data'!B:E,4,FALSE))</f>
        <v>N_octane</v>
      </c>
      <c r="D211" s="246">
        <f t="shared" ca="1" si="25"/>
        <v>604</v>
      </c>
      <c r="E211" s="246">
        <f t="shared" ca="1" si="26"/>
        <v>0.43240000000000001</v>
      </c>
      <c r="F211" s="246" t="str">
        <f t="shared" ca="1" si="27"/>
        <v>N-octane</v>
      </c>
      <c r="G211" s="246">
        <f t="shared" ca="1" si="28"/>
        <v>114.22852</v>
      </c>
      <c r="H211" s="204">
        <f ca="1">IF(G211="","",IF(VLOOKUP(Tank!F211,'Species Data'!D:F,3,FALSE)=0,"X",IF(G211&lt;44.1,2,1)))</f>
        <v>1</v>
      </c>
      <c r="I211" s="204">
        <f t="shared" ca="1" si="29"/>
        <v>0.21590207265989761</v>
      </c>
      <c r="J211" s="247">
        <f ca="1">IF(I211="","",IF(COUNTIF($D$12:D211,D211)=1,IF(H211=1,I211*H211,IF(H211="X","X",0)),0))</f>
        <v>0</v>
      </c>
      <c r="K211" s="248">
        <f t="shared" ca="1" si="30"/>
        <v>0</v>
      </c>
      <c r="L211" s="212" t="s">
        <v>679</v>
      </c>
      <c r="M211" s="212" t="s">
        <v>448</v>
      </c>
      <c r="N211" s="212" t="s">
        <v>470</v>
      </c>
      <c r="O211" s="213">
        <v>41419</v>
      </c>
      <c r="P211" s="212" t="s">
        <v>680</v>
      </c>
      <c r="Q211" s="214">
        <v>100</v>
      </c>
      <c r="R211" s="212" t="s">
        <v>445</v>
      </c>
      <c r="S211" s="212" t="s">
        <v>532</v>
      </c>
      <c r="T211" s="212" t="s">
        <v>445</v>
      </c>
      <c r="U211" s="212" t="s">
        <v>446</v>
      </c>
      <c r="V211" s="214" t="b">
        <v>1</v>
      </c>
      <c r="W211" s="214">
        <v>1989</v>
      </c>
      <c r="X211" s="214">
        <v>5</v>
      </c>
      <c r="Y211" s="214">
        <v>2</v>
      </c>
      <c r="Z211" s="214">
        <v>4</v>
      </c>
      <c r="AA211" s="212" t="s">
        <v>447</v>
      </c>
      <c r="AB211" s="212" t="s">
        <v>531</v>
      </c>
      <c r="AC211" s="212" t="s">
        <v>533</v>
      </c>
      <c r="AD211" s="214">
        <v>1.169376</v>
      </c>
      <c r="AE211" s="214">
        <v>604</v>
      </c>
      <c r="AF211" s="214">
        <v>0.43240000000000001</v>
      </c>
      <c r="AG211" s="214">
        <v>-99</v>
      </c>
      <c r="AH211" s="212" t="s">
        <v>224</v>
      </c>
      <c r="AI211" s="212" t="s">
        <v>449</v>
      </c>
      <c r="AJ211" s="212" t="s">
        <v>282</v>
      </c>
      <c r="AK211" s="212" t="s">
        <v>531</v>
      </c>
      <c r="AL211" s="212" t="s">
        <v>380</v>
      </c>
      <c r="AM211" s="214" t="b">
        <v>1</v>
      </c>
      <c r="AN211" s="214" t="b">
        <v>0</v>
      </c>
      <c r="AO211" s="212" t="s">
        <v>283</v>
      </c>
      <c r="AP211" s="212" t="s">
        <v>284</v>
      </c>
      <c r="AQ211" s="214">
        <v>114.22852</v>
      </c>
      <c r="AR211" s="214" t="b">
        <v>0</v>
      </c>
      <c r="AS211" s="212" t="s">
        <v>534</v>
      </c>
      <c r="AU211" s="222" t="s">
        <v>819</v>
      </c>
    </row>
    <row r="212" spans="1:47" s="263" customFormat="1" ht="15" customHeight="1" x14ac:dyDescent="0.25">
      <c r="A212" s="245">
        <f t="shared" si="31"/>
        <v>212</v>
      </c>
      <c r="B212" s="246" t="str">
        <f t="shared" si="24"/>
        <v>Oil Field - Tank</v>
      </c>
      <c r="C212" s="246" t="str">
        <f ca="1">IF(B212="","",VLOOKUP(D212,'Species Data'!B:E,4,FALSE))</f>
        <v>N_pentane</v>
      </c>
      <c r="D212" s="246">
        <f t="shared" ca="1" si="25"/>
        <v>605</v>
      </c>
      <c r="E212" s="246">
        <f t="shared" ca="1" si="26"/>
        <v>8.3203999999999994</v>
      </c>
      <c r="F212" s="246" t="str">
        <f t="shared" ca="1" si="27"/>
        <v>N-pentane</v>
      </c>
      <c r="G212" s="246">
        <f t="shared" ca="1" si="28"/>
        <v>72.148780000000002</v>
      </c>
      <c r="H212" s="204">
        <f ca="1">IF(G212="","",IF(VLOOKUP(Tank!F212,'Species Data'!D:F,3,FALSE)=0,"X",IF(G212&lt;44.1,2,1)))</f>
        <v>1</v>
      </c>
      <c r="I212" s="204">
        <f t="shared" ca="1" si="29"/>
        <v>3.2465311666992012</v>
      </c>
      <c r="J212" s="247">
        <f ca="1">IF(I212="","",IF(COUNTIF($D$12:D212,D212)=1,IF(H212=1,I212*H212,IF(H212="X","X",0)),0))</f>
        <v>0</v>
      </c>
      <c r="K212" s="248">
        <f t="shared" ca="1" si="30"/>
        <v>0</v>
      </c>
      <c r="L212" s="212" t="s">
        <v>679</v>
      </c>
      <c r="M212" s="212" t="s">
        <v>448</v>
      </c>
      <c r="N212" s="212" t="s">
        <v>470</v>
      </c>
      <c r="O212" s="213">
        <v>41419</v>
      </c>
      <c r="P212" s="212" t="s">
        <v>680</v>
      </c>
      <c r="Q212" s="214">
        <v>100</v>
      </c>
      <c r="R212" s="212" t="s">
        <v>445</v>
      </c>
      <c r="S212" s="212" t="s">
        <v>532</v>
      </c>
      <c r="T212" s="212" t="s">
        <v>445</v>
      </c>
      <c r="U212" s="212" t="s">
        <v>446</v>
      </c>
      <c r="V212" s="214" t="b">
        <v>1</v>
      </c>
      <c r="W212" s="214">
        <v>1989</v>
      </c>
      <c r="X212" s="214">
        <v>5</v>
      </c>
      <c r="Y212" s="214">
        <v>2</v>
      </c>
      <c r="Z212" s="214">
        <v>4</v>
      </c>
      <c r="AA212" s="212" t="s">
        <v>447</v>
      </c>
      <c r="AB212" s="212" t="s">
        <v>531</v>
      </c>
      <c r="AC212" s="212" t="s">
        <v>533</v>
      </c>
      <c r="AD212" s="214">
        <v>1.169376</v>
      </c>
      <c r="AE212" s="214">
        <v>605</v>
      </c>
      <c r="AF212" s="214">
        <v>8.3203999999999994</v>
      </c>
      <c r="AG212" s="214">
        <v>-99</v>
      </c>
      <c r="AH212" s="212" t="s">
        <v>224</v>
      </c>
      <c r="AI212" s="212" t="s">
        <v>449</v>
      </c>
      <c r="AJ212" s="212" t="s">
        <v>285</v>
      </c>
      <c r="AK212" s="212" t="s">
        <v>531</v>
      </c>
      <c r="AL212" s="212" t="s">
        <v>381</v>
      </c>
      <c r="AM212" s="214" t="b">
        <v>1</v>
      </c>
      <c r="AN212" s="214" t="b">
        <v>0</v>
      </c>
      <c r="AO212" s="212" t="s">
        <v>286</v>
      </c>
      <c r="AP212" s="212" t="s">
        <v>287</v>
      </c>
      <c r="AQ212" s="214">
        <v>72.148780000000002</v>
      </c>
      <c r="AR212" s="214" t="b">
        <v>0</v>
      </c>
      <c r="AS212" s="212" t="s">
        <v>534</v>
      </c>
      <c r="AU212" s="222" t="s">
        <v>819</v>
      </c>
    </row>
    <row r="213" spans="1:47" s="263" customFormat="1" ht="15" customHeight="1" x14ac:dyDescent="0.25">
      <c r="A213" s="245">
        <f t="shared" si="31"/>
        <v>213</v>
      </c>
      <c r="B213" s="246" t="str">
        <f t="shared" si="24"/>
        <v>Oil Field - Tank</v>
      </c>
      <c r="C213" s="246" t="str">
        <f ca="1">IF(B213="","",VLOOKUP(D213,'Species Data'!B:E,4,FALSE))</f>
        <v>N_proben</v>
      </c>
      <c r="D213" s="246">
        <f t="shared" ca="1" si="25"/>
        <v>608</v>
      </c>
      <c r="E213" s="246">
        <f t="shared" ca="1" si="26"/>
        <v>3.4500000000000003E-2</v>
      </c>
      <c r="F213" s="246" t="str">
        <f t="shared" ca="1" si="27"/>
        <v>N-propylbenzene</v>
      </c>
      <c r="G213" s="246">
        <f t="shared" ca="1" si="28"/>
        <v>120.19158</v>
      </c>
      <c r="H213" s="204">
        <f ca="1">IF(G213="","",IF(VLOOKUP(Tank!F213,'Species Data'!D:F,3,FALSE)=0,"X",IF(G213&lt;44.1,2,1)))</f>
        <v>1</v>
      </c>
      <c r="I213" s="204">
        <f t="shared" ca="1" si="29"/>
        <v>2.0193527191194376E-2</v>
      </c>
      <c r="J213" s="247">
        <f ca="1">IF(I213="","",IF(COUNTIF($D$12:D213,D213)=1,IF(H213=1,I213*H213,IF(H213="X","X",0)),0))</f>
        <v>0</v>
      </c>
      <c r="K213" s="248">
        <f t="shared" ca="1" si="30"/>
        <v>0</v>
      </c>
      <c r="L213" s="212" t="s">
        <v>679</v>
      </c>
      <c r="M213" s="212" t="s">
        <v>448</v>
      </c>
      <c r="N213" s="212" t="s">
        <v>470</v>
      </c>
      <c r="O213" s="213">
        <v>41419</v>
      </c>
      <c r="P213" s="212" t="s">
        <v>680</v>
      </c>
      <c r="Q213" s="214">
        <v>100</v>
      </c>
      <c r="R213" s="212" t="s">
        <v>445</v>
      </c>
      <c r="S213" s="212" t="s">
        <v>532</v>
      </c>
      <c r="T213" s="212" t="s">
        <v>445</v>
      </c>
      <c r="U213" s="212" t="s">
        <v>446</v>
      </c>
      <c r="V213" s="214" t="b">
        <v>1</v>
      </c>
      <c r="W213" s="214">
        <v>1989</v>
      </c>
      <c r="X213" s="214">
        <v>5</v>
      </c>
      <c r="Y213" s="214">
        <v>2</v>
      </c>
      <c r="Z213" s="214">
        <v>4</v>
      </c>
      <c r="AA213" s="212" t="s">
        <v>447</v>
      </c>
      <c r="AB213" s="212" t="s">
        <v>531</v>
      </c>
      <c r="AC213" s="212" t="s">
        <v>533</v>
      </c>
      <c r="AD213" s="214">
        <v>1.169376</v>
      </c>
      <c r="AE213" s="214">
        <v>608</v>
      </c>
      <c r="AF213" s="214">
        <v>3.4500000000000003E-2</v>
      </c>
      <c r="AG213" s="214">
        <v>-99</v>
      </c>
      <c r="AH213" s="212" t="s">
        <v>224</v>
      </c>
      <c r="AI213" s="212" t="s">
        <v>449</v>
      </c>
      <c r="AJ213" s="212" t="s">
        <v>420</v>
      </c>
      <c r="AK213" s="212" t="s">
        <v>531</v>
      </c>
      <c r="AL213" s="212" t="s">
        <v>454</v>
      </c>
      <c r="AM213" s="214" t="b">
        <v>1</v>
      </c>
      <c r="AN213" s="214" t="b">
        <v>0</v>
      </c>
      <c r="AO213" s="212" t="s">
        <v>421</v>
      </c>
      <c r="AP213" s="212" t="s">
        <v>422</v>
      </c>
      <c r="AQ213" s="214">
        <v>120.19158</v>
      </c>
      <c r="AR213" s="214" t="b">
        <v>0</v>
      </c>
      <c r="AS213" s="212" t="s">
        <v>534</v>
      </c>
      <c r="AU213" s="222" t="s">
        <v>819</v>
      </c>
    </row>
    <row r="214" spans="1:47" s="263" customFormat="1" ht="15" customHeight="1" x14ac:dyDescent="0.25">
      <c r="A214" s="245">
        <f t="shared" si="31"/>
        <v>214</v>
      </c>
      <c r="B214" s="246" t="str">
        <f t="shared" si="24"/>
        <v>Oil Field - Tank</v>
      </c>
      <c r="C214" s="246" t="str">
        <f ca="1">IF(B214="","",VLOOKUP(D214,'Species Data'!B:E,4,FALSE))</f>
        <v>O_xylene</v>
      </c>
      <c r="D214" s="246">
        <f t="shared" ca="1" si="25"/>
        <v>620</v>
      </c>
      <c r="E214" s="246">
        <f t="shared" ca="1" si="26"/>
        <v>8.9099999999999999E-2</v>
      </c>
      <c r="F214" s="246" t="str">
        <f t="shared" ca="1" si="27"/>
        <v>O-xylene</v>
      </c>
      <c r="G214" s="246">
        <f t="shared" ca="1" si="28"/>
        <v>106.16500000000001</v>
      </c>
      <c r="H214" s="204">
        <f ca="1">IF(G214="","",IF(VLOOKUP(Tank!F214,'Species Data'!D:F,3,FALSE)=0,"X",IF(G214&lt;44.1,2,1)))</f>
        <v>1</v>
      </c>
      <c r="I214" s="204">
        <f t="shared" ca="1" si="29"/>
        <v>5.0080480772615434E-2</v>
      </c>
      <c r="J214" s="247">
        <f ca="1">IF(I214="","",IF(COUNTIF($D$12:D214,D214)=1,IF(H214=1,I214*H214,IF(H214="X","X",0)),0))</f>
        <v>0</v>
      </c>
      <c r="K214" s="248">
        <f t="shared" ca="1" si="30"/>
        <v>0</v>
      </c>
      <c r="L214" s="212" t="s">
        <v>679</v>
      </c>
      <c r="M214" s="212" t="s">
        <v>448</v>
      </c>
      <c r="N214" s="212" t="s">
        <v>470</v>
      </c>
      <c r="O214" s="213">
        <v>41419</v>
      </c>
      <c r="P214" s="212" t="s">
        <v>680</v>
      </c>
      <c r="Q214" s="214">
        <v>100</v>
      </c>
      <c r="R214" s="212" t="s">
        <v>445</v>
      </c>
      <c r="S214" s="212" t="s">
        <v>532</v>
      </c>
      <c r="T214" s="212" t="s">
        <v>445</v>
      </c>
      <c r="U214" s="212" t="s">
        <v>446</v>
      </c>
      <c r="V214" s="214" t="b">
        <v>1</v>
      </c>
      <c r="W214" s="214">
        <v>1989</v>
      </c>
      <c r="X214" s="214">
        <v>5</v>
      </c>
      <c r="Y214" s="214">
        <v>2</v>
      </c>
      <c r="Z214" s="214">
        <v>4</v>
      </c>
      <c r="AA214" s="212" t="s">
        <v>447</v>
      </c>
      <c r="AB214" s="212" t="s">
        <v>531</v>
      </c>
      <c r="AC214" s="212" t="s">
        <v>533</v>
      </c>
      <c r="AD214" s="214">
        <v>1.169376</v>
      </c>
      <c r="AE214" s="214">
        <v>620</v>
      </c>
      <c r="AF214" s="214">
        <v>8.9099999999999999E-2</v>
      </c>
      <c r="AG214" s="214">
        <v>-99</v>
      </c>
      <c r="AH214" s="212" t="s">
        <v>224</v>
      </c>
      <c r="AI214" s="212" t="s">
        <v>449</v>
      </c>
      <c r="AJ214" s="212" t="s">
        <v>354</v>
      </c>
      <c r="AK214" s="212" t="s">
        <v>531</v>
      </c>
      <c r="AL214" s="212" t="s">
        <v>398</v>
      </c>
      <c r="AM214" s="214" t="b">
        <v>1</v>
      </c>
      <c r="AN214" s="214" t="b">
        <v>1</v>
      </c>
      <c r="AO214" s="212" t="s">
        <v>355</v>
      </c>
      <c r="AP214" s="212" t="s">
        <v>356</v>
      </c>
      <c r="AQ214" s="214">
        <v>106.16500000000001</v>
      </c>
      <c r="AR214" s="214" t="b">
        <v>0</v>
      </c>
      <c r="AS214" s="212" t="s">
        <v>534</v>
      </c>
      <c r="AU214" s="222" t="s">
        <v>819</v>
      </c>
    </row>
    <row r="215" spans="1:47" s="263" customFormat="1" ht="15" customHeight="1" x14ac:dyDescent="0.25">
      <c r="A215" s="245">
        <f t="shared" si="31"/>
        <v>215</v>
      </c>
      <c r="B215" s="246" t="str">
        <f t="shared" si="24"/>
        <v>Oil Field - Tank</v>
      </c>
      <c r="C215" s="246" t="str">
        <f ca="1">IF(B215="","",VLOOKUP(D215,'Species Data'!B:E,4,FALSE))</f>
        <v>propane</v>
      </c>
      <c r="D215" s="246">
        <f t="shared" ca="1" si="25"/>
        <v>671</v>
      </c>
      <c r="E215" s="246">
        <f t="shared" ca="1" si="26"/>
        <v>20.385999999999999</v>
      </c>
      <c r="F215" s="246" t="str">
        <f t="shared" ca="1" si="27"/>
        <v>Propane</v>
      </c>
      <c r="G215" s="246">
        <f t="shared" ca="1" si="28"/>
        <v>44.095619999999997</v>
      </c>
      <c r="H215" s="204">
        <f ca="1">IF(G215="","",IF(VLOOKUP(Tank!F215,'Species Data'!D:F,3,FALSE)=0,"X",IF(G215&lt;44.1,2,1)))</f>
        <v>2</v>
      </c>
      <c r="I215" s="204">
        <f t="shared" ca="1" si="29"/>
        <v>10.138737331878389</v>
      </c>
      <c r="J215" s="247">
        <f ca="1">IF(I215="","",IF(COUNTIF($D$12:D215,D215)=1,IF(H215=1,I215*H215,IF(H215="X","X",0)),0))</f>
        <v>0</v>
      </c>
      <c r="K215" s="248">
        <f t="shared" ca="1" si="30"/>
        <v>0</v>
      </c>
      <c r="L215" s="212" t="s">
        <v>679</v>
      </c>
      <c r="M215" s="212" t="s">
        <v>448</v>
      </c>
      <c r="N215" s="212" t="s">
        <v>470</v>
      </c>
      <c r="O215" s="213">
        <v>41419</v>
      </c>
      <c r="P215" s="212" t="s">
        <v>680</v>
      </c>
      <c r="Q215" s="214">
        <v>100</v>
      </c>
      <c r="R215" s="212" t="s">
        <v>445</v>
      </c>
      <c r="S215" s="212" t="s">
        <v>532</v>
      </c>
      <c r="T215" s="212" t="s">
        <v>445</v>
      </c>
      <c r="U215" s="212" t="s">
        <v>446</v>
      </c>
      <c r="V215" s="214" t="b">
        <v>1</v>
      </c>
      <c r="W215" s="214">
        <v>1989</v>
      </c>
      <c r="X215" s="214">
        <v>5</v>
      </c>
      <c r="Y215" s="214">
        <v>2</v>
      </c>
      <c r="Z215" s="214">
        <v>4</v>
      </c>
      <c r="AA215" s="212" t="s">
        <v>447</v>
      </c>
      <c r="AB215" s="212" t="s">
        <v>531</v>
      </c>
      <c r="AC215" s="212" t="s">
        <v>533</v>
      </c>
      <c r="AD215" s="214">
        <v>1.169376</v>
      </c>
      <c r="AE215" s="214">
        <v>671</v>
      </c>
      <c r="AF215" s="214">
        <v>20.385999999999999</v>
      </c>
      <c r="AG215" s="214">
        <v>-99</v>
      </c>
      <c r="AH215" s="212" t="s">
        <v>224</v>
      </c>
      <c r="AI215" s="212" t="s">
        <v>449</v>
      </c>
      <c r="AJ215" s="212" t="s">
        <v>288</v>
      </c>
      <c r="AK215" s="212" t="s">
        <v>531</v>
      </c>
      <c r="AL215" s="212" t="s">
        <v>382</v>
      </c>
      <c r="AM215" s="214" t="b">
        <v>1</v>
      </c>
      <c r="AN215" s="214" t="b">
        <v>0</v>
      </c>
      <c r="AO215" s="212" t="s">
        <v>289</v>
      </c>
      <c r="AP215" s="212" t="s">
        <v>290</v>
      </c>
      <c r="AQ215" s="214">
        <v>44.095619999999997</v>
      </c>
      <c r="AR215" s="214" t="b">
        <v>0</v>
      </c>
      <c r="AS215" s="212" t="s">
        <v>534</v>
      </c>
      <c r="AU215" s="222" t="s">
        <v>819</v>
      </c>
    </row>
    <row r="216" spans="1:47" s="263" customFormat="1" ht="15" customHeight="1" x14ac:dyDescent="0.25">
      <c r="A216" s="245">
        <f t="shared" si="31"/>
        <v>216</v>
      </c>
      <c r="B216" s="246" t="str">
        <f t="shared" si="24"/>
        <v>Oil Field - Tank</v>
      </c>
      <c r="C216" s="246" t="str">
        <f ca="1">IF(B216="","",VLOOKUP(D216,'Species Data'!B:E,4,FALSE))</f>
        <v>T_butben</v>
      </c>
      <c r="D216" s="246">
        <f t="shared" ca="1" si="25"/>
        <v>703</v>
      </c>
      <c r="E216" s="246">
        <f t="shared" ca="1" si="26"/>
        <v>1.43E-2</v>
      </c>
      <c r="F216" s="246" t="str">
        <f t="shared" ca="1" si="27"/>
        <v>T-butylbenzene</v>
      </c>
      <c r="G216" s="246">
        <f t="shared" ca="1" si="28"/>
        <v>134.21816000000001</v>
      </c>
      <c r="H216" s="204" t="str">
        <f ca="1">IF(G216="","",IF(VLOOKUP(Tank!F216,'Species Data'!D:F,3,FALSE)=0,"X",IF(G216&lt;44.1,2,1)))</f>
        <v>X</v>
      </c>
      <c r="I216" s="204">
        <f t="shared" ca="1" si="29"/>
        <v>6.7067310512847599E-3</v>
      </c>
      <c r="J216" s="247" t="str">
        <f ca="1">IF(I216="","",IF(COUNTIF($D$12:D216,D216)=1,IF(H216=1,I216*H216,IF(H216="X","X",0)),0))</f>
        <v>X</v>
      </c>
      <c r="K216" s="248">
        <f t="shared" ca="1" si="30"/>
        <v>0</v>
      </c>
      <c r="L216" s="212" t="s">
        <v>679</v>
      </c>
      <c r="M216" s="212" t="s">
        <v>448</v>
      </c>
      <c r="N216" s="212" t="s">
        <v>470</v>
      </c>
      <c r="O216" s="213">
        <v>41419</v>
      </c>
      <c r="P216" s="212" t="s">
        <v>680</v>
      </c>
      <c r="Q216" s="214">
        <v>100</v>
      </c>
      <c r="R216" s="212" t="s">
        <v>445</v>
      </c>
      <c r="S216" s="212" t="s">
        <v>532</v>
      </c>
      <c r="T216" s="212" t="s">
        <v>445</v>
      </c>
      <c r="U216" s="212" t="s">
        <v>446</v>
      </c>
      <c r="V216" s="214" t="b">
        <v>1</v>
      </c>
      <c r="W216" s="214">
        <v>1989</v>
      </c>
      <c r="X216" s="214">
        <v>5</v>
      </c>
      <c r="Y216" s="214">
        <v>2</v>
      </c>
      <c r="Z216" s="214">
        <v>4</v>
      </c>
      <c r="AA216" s="212" t="s">
        <v>447</v>
      </c>
      <c r="AB216" s="212" t="s">
        <v>531</v>
      </c>
      <c r="AC216" s="212" t="s">
        <v>533</v>
      </c>
      <c r="AD216" s="214">
        <v>1.169376</v>
      </c>
      <c r="AE216" s="214">
        <v>703</v>
      </c>
      <c r="AF216" s="214">
        <v>1.43E-2</v>
      </c>
      <c r="AG216" s="214">
        <v>-99</v>
      </c>
      <c r="AH216" s="212" t="s">
        <v>224</v>
      </c>
      <c r="AI216" s="212" t="s">
        <v>449</v>
      </c>
      <c r="AJ216" s="212" t="s">
        <v>423</v>
      </c>
      <c r="AK216" s="212" t="s">
        <v>531</v>
      </c>
      <c r="AL216" s="212" t="s">
        <v>455</v>
      </c>
      <c r="AM216" s="214" t="b">
        <v>0</v>
      </c>
      <c r="AN216" s="214" t="b">
        <v>0</v>
      </c>
      <c r="AO216" s="212" t="s">
        <v>424</v>
      </c>
      <c r="AP216" s="212" t="s">
        <v>531</v>
      </c>
      <c r="AQ216" s="214">
        <v>134.21816000000001</v>
      </c>
      <c r="AR216" s="214" t="b">
        <v>0</v>
      </c>
      <c r="AS216" s="212" t="s">
        <v>534</v>
      </c>
      <c r="AU216" s="222" t="s">
        <v>819</v>
      </c>
    </row>
    <row r="217" spans="1:47" s="263" customFormat="1" ht="15" customHeight="1" x14ac:dyDescent="0.25">
      <c r="A217" s="245">
        <f t="shared" si="31"/>
        <v>217</v>
      </c>
      <c r="B217" s="246" t="str">
        <f t="shared" si="24"/>
        <v>Oil Field - Tank</v>
      </c>
      <c r="C217" s="246" t="str">
        <f ca="1">IF(B217="","",VLOOKUP(D217,'Species Data'!B:E,4,FALSE))</f>
        <v>toluene</v>
      </c>
      <c r="D217" s="246">
        <f t="shared" ca="1" si="25"/>
        <v>717</v>
      </c>
      <c r="E217" s="246">
        <f t="shared" ca="1" si="26"/>
        <v>0.58819999999999995</v>
      </c>
      <c r="F217" s="246" t="str">
        <f t="shared" ca="1" si="27"/>
        <v>Toluene</v>
      </c>
      <c r="G217" s="246">
        <f t="shared" ca="1" si="28"/>
        <v>92.138419999999996</v>
      </c>
      <c r="H217" s="204">
        <f ca="1">IF(G217="","",IF(VLOOKUP(Tank!F217,'Species Data'!D:F,3,FALSE)=0,"X",IF(G217&lt;44.1,2,1)))</f>
        <v>1</v>
      </c>
      <c r="I217" s="204">
        <f t="shared" ca="1" si="29"/>
        <v>0.21631540996126902</v>
      </c>
      <c r="J217" s="247">
        <f ca="1">IF(I217="","",IF(COUNTIF($D$12:D217,D217)=1,IF(H217=1,I217*H217,IF(H217="X","X",0)),0))</f>
        <v>0</v>
      </c>
      <c r="K217" s="248">
        <f t="shared" ca="1" si="30"/>
        <v>0</v>
      </c>
      <c r="L217" s="212" t="s">
        <v>679</v>
      </c>
      <c r="M217" s="212" t="s">
        <v>448</v>
      </c>
      <c r="N217" s="212" t="s">
        <v>470</v>
      </c>
      <c r="O217" s="213">
        <v>41419</v>
      </c>
      <c r="P217" s="212" t="s">
        <v>680</v>
      </c>
      <c r="Q217" s="214">
        <v>100</v>
      </c>
      <c r="R217" s="212" t="s">
        <v>445</v>
      </c>
      <c r="S217" s="212" t="s">
        <v>532</v>
      </c>
      <c r="T217" s="212" t="s">
        <v>445</v>
      </c>
      <c r="U217" s="212" t="s">
        <v>446</v>
      </c>
      <c r="V217" s="214" t="b">
        <v>1</v>
      </c>
      <c r="W217" s="214">
        <v>1989</v>
      </c>
      <c r="X217" s="214">
        <v>5</v>
      </c>
      <c r="Y217" s="214">
        <v>2</v>
      </c>
      <c r="Z217" s="214">
        <v>4</v>
      </c>
      <c r="AA217" s="212" t="s">
        <v>447</v>
      </c>
      <c r="AB217" s="212" t="s">
        <v>531</v>
      </c>
      <c r="AC217" s="212" t="s">
        <v>533</v>
      </c>
      <c r="AD217" s="214">
        <v>1.169376</v>
      </c>
      <c r="AE217" s="214">
        <v>717</v>
      </c>
      <c r="AF217" s="214">
        <v>0.58819999999999995</v>
      </c>
      <c r="AG217" s="214">
        <v>-99</v>
      </c>
      <c r="AH217" s="212" t="s">
        <v>224</v>
      </c>
      <c r="AI217" s="212" t="s">
        <v>449</v>
      </c>
      <c r="AJ217" s="212" t="s">
        <v>294</v>
      </c>
      <c r="AK217" s="212" t="s">
        <v>531</v>
      </c>
      <c r="AL217" s="212" t="s">
        <v>383</v>
      </c>
      <c r="AM217" s="214" t="b">
        <v>1</v>
      </c>
      <c r="AN217" s="214" t="b">
        <v>1</v>
      </c>
      <c r="AO217" s="212" t="s">
        <v>295</v>
      </c>
      <c r="AP217" s="212" t="s">
        <v>296</v>
      </c>
      <c r="AQ217" s="214">
        <v>92.138419999999996</v>
      </c>
      <c r="AR217" s="214" t="b">
        <v>0</v>
      </c>
      <c r="AS217" s="212" t="s">
        <v>534</v>
      </c>
      <c r="AU217" s="222" t="s">
        <v>819</v>
      </c>
    </row>
    <row r="218" spans="1:47" s="263" customFormat="1" ht="15" customHeight="1" x14ac:dyDescent="0.25">
      <c r="A218" s="245">
        <f t="shared" si="31"/>
        <v>218</v>
      </c>
      <c r="B218" s="246" t="str">
        <f t="shared" si="24"/>
        <v>Oil Field - Tank</v>
      </c>
      <c r="C218" s="246" t="str">
        <f ca="1">IF(B218="","",VLOOKUP(D218,'Species Data'!B:E,4,FALSE))</f>
        <v>betben</v>
      </c>
      <c r="D218" s="246">
        <f t="shared" ca="1" si="25"/>
        <v>981</v>
      </c>
      <c r="E218" s="246">
        <f t="shared" ca="1" si="26"/>
        <v>7.7999999999999996E-3</v>
      </c>
      <c r="F218" s="246" t="str">
        <f t="shared" ca="1" si="27"/>
        <v>Butylbenzene</v>
      </c>
      <c r="G218" s="246">
        <f t="shared" ca="1" si="28"/>
        <v>134.21816000000001</v>
      </c>
      <c r="H218" s="204">
        <f ca="1">IF(G218="","",IF(VLOOKUP(Tank!F218,'Species Data'!D:F,3,FALSE)=0,"X",IF(G218&lt;44.1,2,1)))</f>
        <v>1</v>
      </c>
      <c r="I218" s="204">
        <f t="shared" ca="1" si="29"/>
        <v>4.2533741657253248E-3</v>
      </c>
      <c r="J218" s="247">
        <f ca="1">IF(I218="","",IF(COUNTIF($D$12:D218,D218)=1,IF(H218=1,I218*H218,IF(H218="X","X",0)),0))</f>
        <v>4.2533741657253248E-3</v>
      </c>
      <c r="K218" s="248">
        <f t="shared" ca="1" si="30"/>
        <v>1.0757226099188709E-2</v>
      </c>
      <c r="L218" s="212" t="s">
        <v>679</v>
      </c>
      <c r="M218" s="212" t="s">
        <v>448</v>
      </c>
      <c r="N218" s="212" t="s">
        <v>470</v>
      </c>
      <c r="O218" s="213">
        <v>41419</v>
      </c>
      <c r="P218" s="212" t="s">
        <v>680</v>
      </c>
      <c r="Q218" s="214">
        <v>100</v>
      </c>
      <c r="R218" s="212" t="s">
        <v>445</v>
      </c>
      <c r="S218" s="212" t="s">
        <v>532</v>
      </c>
      <c r="T218" s="212" t="s">
        <v>445</v>
      </c>
      <c r="U218" s="212" t="s">
        <v>446</v>
      </c>
      <c r="V218" s="214" t="b">
        <v>1</v>
      </c>
      <c r="W218" s="214">
        <v>1989</v>
      </c>
      <c r="X218" s="214">
        <v>5</v>
      </c>
      <c r="Y218" s="214">
        <v>2</v>
      </c>
      <c r="Z218" s="214">
        <v>4</v>
      </c>
      <c r="AA218" s="212" t="s">
        <v>447</v>
      </c>
      <c r="AB218" s="212" t="s">
        <v>531</v>
      </c>
      <c r="AC218" s="212" t="s">
        <v>533</v>
      </c>
      <c r="AD218" s="214">
        <v>1.169376</v>
      </c>
      <c r="AE218" s="214">
        <v>981</v>
      </c>
      <c r="AF218" s="214">
        <v>7.7999999999999996E-3</v>
      </c>
      <c r="AG218" s="214">
        <v>-99</v>
      </c>
      <c r="AH218" s="212" t="s">
        <v>224</v>
      </c>
      <c r="AI218" s="212" t="s">
        <v>449</v>
      </c>
      <c r="AJ218" s="212" t="s">
        <v>645</v>
      </c>
      <c r="AK218" s="212" t="s">
        <v>531</v>
      </c>
      <c r="AL218" s="212" t="s">
        <v>531</v>
      </c>
      <c r="AM218" s="214" t="b">
        <v>0</v>
      </c>
      <c r="AN218" s="214" t="b">
        <v>0</v>
      </c>
      <c r="AO218" s="212" t="s">
        <v>646</v>
      </c>
      <c r="AP218" s="212" t="s">
        <v>647</v>
      </c>
      <c r="AQ218" s="214">
        <v>134.21816000000001</v>
      </c>
      <c r="AR218" s="214" t="b">
        <v>0</v>
      </c>
      <c r="AS218" s="212" t="s">
        <v>534</v>
      </c>
      <c r="AU218" s="222" t="s">
        <v>819</v>
      </c>
    </row>
    <row r="219" spans="1:47" s="263" customFormat="1" ht="15" customHeight="1" x14ac:dyDescent="0.25">
      <c r="A219" s="245">
        <f t="shared" si="31"/>
        <v>219</v>
      </c>
      <c r="B219" s="246" t="str">
        <f t="shared" si="24"/>
        <v>Oil Field - Tank</v>
      </c>
      <c r="C219" s="246" t="str">
        <f ca="1">IF(B219="","",VLOOKUP(D219,'Species Data'!B:E,4,FALSE))</f>
        <v>c10_comp</v>
      </c>
      <c r="D219" s="246">
        <f t="shared" ca="1" si="25"/>
        <v>1924</v>
      </c>
      <c r="E219" s="246">
        <f t="shared" ca="1" si="26"/>
        <v>0.13350000000000001</v>
      </c>
      <c r="F219" s="246" t="str">
        <f t="shared" ca="1" si="27"/>
        <v>C-10 Compounds</v>
      </c>
      <c r="G219" s="246">
        <f t="shared" ca="1" si="28"/>
        <v>142.28167999999999</v>
      </c>
      <c r="H219" s="204" t="str">
        <f ca="1">IF(G219="","",IF(VLOOKUP(Tank!F219,'Species Data'!D:F,3,FALSE)=0,"X",IF(G219&lt;44.1,2,1)))</f>
        <v>X</v>
      </c>
      <c r="I219" s="204">
        <f t="shared" ca="1" si="29"/>
        <v>0.15904819352932459</v>
      </c>
      <c r="J219" s="247">
        <f ca="1">IF(I219="","",IF(COUNTIF($D$12:D219,D219)=1,IF(H219=1,I219*H219,IF(H219="X","X",0)),0))</f>
        <v>0</v>
      </c>
      <c r="K219" s="248">
        <f t="shared" ca="1" si="30"/>
        <v>0</v>
      </c>
      <c r="L219" s="212" t="s">
        <v>679</v>
      </c>
      <c r="M219" s="212" t="s">
        <v>448</v>
      </c>
      <c r="N219" s="212" t="s">
        <v>470</v>
      </c>
      <c r="O219" s="213">
        <v>41419</v>
      </c>
      <c r="P219" s="212" t="s">
        <v>680</v>
      </c>
      <c r="Q219" s="214">
        <v>100</v>
      </c>
      <c r="R219" s="212" t="s">
        <v>445</v>
      </c>
      <c r="S219" s="212" t="s">
        <v>532</v>
      </c>
      <c r="T219" s="212" t="s">
        <v>445</v>
      </c>
      <c r="U219" s="212" t="s">
        <v>446</v>
      </c>
      <c r="V219" s="214" t="b">
        <v>1</v>
      </c>
      <c r="W219" s="214">
        <v>1989</v>
      </c>
      <c r="X219" s="214">
        <v>5</v>
      </c>
      <c r="Y219" s="214">
        <v>2</v>
      </c>
      <c r="Z219" s="214">
        <v>4</v>
      </c>
      <c r="AA219" s="212" t="s">
        <v>447</v>
      </c>
      <c r="AB219" s="212" t="s">
        <v>531</v>
      </c>
      <c r="AC219" s="212" t="s">
        <v>533</v>
      </c>
      <c r="AD219" s="214">
        <v>1.169376</v>
      </c>
      <c r="AE219" s="214">
        <v>1924</v>
      </c>
      <c r="AF219" s="214">
        <v>0.13350000000000001</v>
      </c>
      <c r="AG219" s="214">
        <v>-99</v>
      </c>
      <c r="AH219" s="212" t="s">
        <v>224</v>
      </c>
      <c r="AI219" s="212" t="s">
        <v>449</v>
      </c>
      <c r="AJ219" s="212" t="s">
        <v>224</v>
      </c>
      <c r="AK219" s="212" t="s">
        <v>531</v>
      </c>
      <c r="AL219" s="212" t="s">
        <v>466</v>
      </c>
      <c r="AM219" s="214" t="b">
        <v>0</v>
      </c>
      <c r="AN219" s="214" t="b">
        <v>0</v>
      </c>
      <c r="AO219" s="212" t="s">
        <v>535</v>
      </c>
      <c r="AP219" s="212" t="s">
        <v>536</v>
      </c>
      <c r="AQ219" s="214">
        <v>142.28167999999999</v>
      </c>
      <c r="AR219" s="214" t="b">
        <v>0</v>
      </c>
      <c r="AS219" s="212" t="s">
        <v>534</v>
      </c>
      <c r="AU219" s="222" t="s">
        <v>819</v>
      </c>
    </row>
    <row r="220" spans="1:47" s="263" customFormat="1" ht="15" customHeight="1" x14ac:dyDescent="0.25">
      <c r="A220" s="245">
        <f t="shared" si="31"/>
        <v>220</v>
      </c>
      <c r="B220" s="246" t="str">
        <f t="shared" si="24"/>
        <v>Oil Field - Tank</v>
      </c>
      <c r="C220" s="246" t="str">
        <f ca="1">IF(B220="","",VLOOKUP(D220,'Species Data'!B:E,4,FALSE))</f>
        <v>c11_comp</v>
      </c>
      <c r="D220" s="246">
        <f t="shared" ca="1" si="25"/>
        <v>1929</v>
      </c>
      <c r="E220" s="246">
        <f t="shared" ca="1" si="26"/>
        <v>3.9399999999999998E-2</v>
      </c>
      <c r="F220" s="246" t="str">
        <f t="shared" ca="1" si="27"/>
        <v>C-11 Compounds</v>
      </c>
      <c r="G220" s="246">
        <f t="shared" ca="1" si="28"/>
        <v>156.30826000000002</v>
      </c>
      <c r="H220" s="204" t="str">
        <f ca="1">IF(G220="","",IF(VLOOKUP(Tank!F220,'Species Data'!D:F,3,FALSE)=0,"X",IF(G220&lt;44.1,2,1)))</f>
        <v>X</v>
      </c>
      <c r="I220" s="204">
        <f t="shared" ca="1" si="29"/>
        <v>2.464690327693813E-2</v>
      </c>
      <c r="J220" s="247">
        <f ca="1">IF(I220="","",IF(COUNTIF($D$12:D220,D220)=1,IF(H220=1,I220*H220,IF(H220="X","X",0)),0))</f>
        <v>0</v>
      </c>
      <c r="K220" s="248">
        <f t="shared" ca="1" si="30"/>
        <v>0</v>
      </c>
      <c r="L220" s="212" t="s">
        <v>679</v>
      </c>
      <c r="M220" s="212" t="s">
        <v>448</v>
      </c>
      <c r="N220" s="212" t="s">
        <v>470</v>
      </c>
      <c r="O220" s="213">
        <v>41419</v>
      </c>
      <c r="P220" s="212" t="s">
        <v>680</v>
      </c>
      <c r="Q220" s="214">
        <v>100</v>
      </c>
      <c r="R220" s="212" t="s">
        <v>445</v>
      </c>
      <c r="S220" s="212" t="s">
        <v>532</v>
      </c>
      <c r="T220" s="212" t="s">
        <v>445</v>
      </c>
      <c r="U220" s="212" t="s">
        <v>446</v>
      </c>
      <c r="V220" s="214" t="b">
        <v>1</v>
      </c>
      <c r="W220" s="214">
        <v>1989</v>
      </c>
      <c r="X220" s="214">
        <v>5</v>
      </c>
      <c r="Y220" s="214">
        <v>2</v>
      </c>
      <c r="Z220" s="214">
        <v>4</v>
      </c>
      <c r="AA220" s="212" t="s">
        <v>447</v>
      </c>
      <c r="AB220" s="212" t="s">
        <v>531</v>
      </c>
      <c r="AC220" s="212" t="s">
        <v>533</v>
      </c>
      <c r="AD220" s="214">
        <v>1.169376</v>
      </c>
      <c r="AE220" s="214">
        <v>1929</v>
      </c>
      <c r="AF220" s="214">
        <v>3.9399999999999998E-2</v>
      </c>
      <c r="AG220" s="214">
        <v>-99</v>
      </c>
      <c r="AH220" s="212" t="s">
        <v>224</v>
      </c>
      <c r="AI220" s="212" t="s">
        <v>449</v>
      </c>
      <c r="AJ220" s="212" t="s">
        <v>224</v>
      </c>
      <c r="AK220" s="212" t="s">
        <v>531</v>
      </c>
      <c r="AL220" s="212" t="s">
        <v>467</v>
      </c>
      <c r="AM220" s="214" t="b">
        <v>0</v>
      </c>
      <c r="AN220" s="214" t="b">
        <v>0</v>
      </c>
      <c r="AO220" s="212" t="s">
        <v>468</v>
      </c>
      <c r="AP220" s="212" t="s">
        <v>469</v>
      </c>
      <c r="AQ220" s="214">
        <v>156.30826000000002</v>
      </c>
      <c r="AR220" s="214" t="b">
        <v>0</v>
      </c>
      <c r="AS220" s="212" t="s">
        <v>534</v>
      </c>
      <c r="AU220" s="222" t="s">
        <v>819</v>
      </c>
    </row>
    <row r="221" spans="1:47" s="263" customFormat="1" ht="15" customHeight="1" x14ac:dyDescent="0.25">
      <c r="A221" s="245">
        <f t="shared" si="31"/>
        <v>221</v>
      </c>
      <c r="B221" s="246" t="str">
        <f t="shared" si="24"/>
        <v>Oil Field - Tank</v>
      </c>
      <c r="C221" s="246" t="str">
        <f ca="1">IF(B221="","",VLOOKUP(D221,'Species Data'!B:E,4,FALSE))</f>
        <v>c5_comp</v>
      </c>
      <c r="D221" s="246">
        <f t="shared" ca="1" si="25"/>
        <v>1986</v>
      </c>
      <c r="E221" s="246">
        <f t="shared" ca="1" si="26"/>
        <v>2.8126000000000002</v>
      </c>
      <c r="F221" s="246" t="str">
        <f t="shared" ca="1" si="27"/>
        <v>C-5 Compounds</v>
      </c>
      <c r="G221" s="246">
        <f t="shared" ca="1" si="28"/>
        <v>72.148780000000002</v>
      </c>
      <c r="H221" s="204" t="str">
        <f ca="1">IF(G221="","",IF(VLOOKUP(Tank!F221,'Species Data'!D:F,3,FALSE)=0,"X",IF(G221&lt;44.1,2,1)))</f>
        <v>X</v>
      </c>
      <c r="I221" s="204">
        <f t="shared" ca="1" si="29"/>
        <v>2.1162936497523712</v>
      </c>
      <c r="J221" s="247">
        <f ca="1">IF(I221="","",IF(COUNTIF($D$12:D221,D221)=1,IF(H221=1,I221*H221,IF(H221="X","X",0)),0))</f>
        <v>0</v>
      </c>
      <c r="K221" s="248">
        <f t="shared" ca="1" si="30"/>
        <v>0</v>
      </c>
      <c r="L221" s="212" t="s">
        <v>679</v>
      </c>
      <c r="M221" s="212" t="s">
        <v>448</v>
      </c>
      <c r="N221" s="212" t="s">
        <v>470</v>
      </c>
      <c r="O221" s="213">
        <v>41419</v>
      </c>
      <c r="P221" s="212" t="s">
        <v>680</v>
      </c>
      <c r="Q221" s="214">
        <v>100</v>
      </c>
      <c r="R221" s="212" t="s">
        <v>445</v>
      </c>
      <c r="S221" s="212" t="s">
        <v>532</v>
      </c>
      <c r="T221" s="212" t="s">
        <v>445</v>
      </c>
      <c r="U221" s="212" t="s">
        <v>446</v>
      </c>
      <c r="V221" s="214" t="b">
        <v>1</v>
      </c>
      <c r="W221" s="214">
        <v>1989</v>
      </c>
      <c r="X221" s="214">
        <v>5</v>
      </c>
      <c r="Y221" s="214">
        <v>2</v>
      </c>
      <c r="Z221" s="214">
        <v>4</v>
      </c>
      <c r="AA221" s="212" t="s">
        <v>447</v>
      </c>
      <c r="AB221" s="212" t="s">
        <v>531</v>
      </c>
      <c r="AC221" s="212" t="s">
        <v>533</v>
      </c>
      <c r="AD221" s="214">
        <v>1.169376</v>
      </c>
      <c r="AE221" s="214">
        <v>1986</v>
      </c>
      <c r="AF221" s="214">
        <v>2.8126000000000002</v>
      </c>
      <c r="AG221" s="214">
        <v>-99</v>
      </c>
      <c r="AH221" s="212" t="s">
        <v>224</v>
      </c>
      <c r="AI221" s="212" t="s">
        <v>449</v>
      </c>
      <c r="AJ221" s="212" t="s">
        <v>224</v>
      </c>
      <c r="AK221" s="212" t="s">
        <v>531</v>
      </c>
      <c r="AL221" s="212" t="s">
        <v>537</v>
      </c>
      <c r="AM221" s="214" t="b">
        <v>0</v>
      </c>
      <c r="AN221" s="214" t="b">
        <v>0</v>
      </c>
      <c r="AO221" s="212" t="s">
        <v>538</v>
      </c>
      <c r="AP221" s="212" t="s">
        <v>539</v>
      </c>
      <c r="AQ221" s="214">
        <v>72.148780000000002</v>
      </c>
      <c r="AR221" s="214" t="b">
        <v>0</v>
      </c>
      <c r="AS221" s="212" t="s">
        <v>534</v>
      </c>
      <c r="AU221" s="222" t="s">
        <v>819</v>
      </c>
    </row>
    <row r="222" spans="1:47" s="263" customFormat="1" ht="15" customHeight="1" x14ac:dyDescent="0.25">
      <c r="A222" s="245">
        <f t="shared" si="31"/>
        <v>222</v>
      </c>
      <c r="B222" s="246" t="str">
        <f t="shared" si="24"/>
        <v>Oil Field - Tank</v>
      </c>
      <c r="C222" s="246" t="str">
        <f ca="1">IF(B222="","",VLOOKUP(D222,'Species Data'!B:E,4,FALSE))</f>
        <v>c6_comp</v>
      </c>
      <c r="D222" s="246">
        <f t="shared" ca="1" si="25"/>
        <v>1999</v>
      </c>
      <c r="E222" s="246">
        <f t="shared" ca="1" si="26"/>
        <v>6.9257999999999997</v>
      </c>
      <c r="F222" s="246" t="str">
        <f t="shared" ca="1" si="27"/>
        <v>C-6 Compounds</v>
      </c>
      <c r="G222" s="246">
        <f t="shared" ca="1" si="28"/>
        <v>86.175359999999998</v>
      </c>
      <c r="H222" s="204" t="str">
        <f ca="1">IF(G222="","",IF(VLOOKUP(Tank!F222,'Species Data'!D:F,3,FALSE)=0,"X",IF(G222&lt;44.1,2,1)))</f>
        <v>X</v>
      </c>
      <c r="I222" s="204">
        <f t="shared" ca="1" si="29"/>
        <v>3.9709781213899662</v>
      </c>
      <c r="J222" s="247">
        <f ca="1">IF(I222="","",IF(COUNTIF($D$12:D222,D222)=1,IF(H222=1,I222*H222,IF(H222="X","X",0)),0))</f>
        <v>0</v>
      </c>
      <c r="K222" s="248">
        <f t="shared" ca="1" si="30"/>
        <v>0</v>
      </c>
      <c r="L222" s="212" t="s">
        <v>679</v>
      </c>
      <c r="M222" s="212" t="s">
        <v>448</v>
      </c>
      <c r="N222" s="212" t="s">
        <v>470</v>
      </c>
      <c r="O222" s="213">
        <v>41419</v>
      </c>
      <c r="P222" s="212" t="s">
        <v>680</v>
      </c>
      <c r="Q222" s="214">
        <v>100</v>
      </c>
      <c r="R222" s="212" t="s">
        <v>445</v>
      </c>
      <c r="S222" s="212" t="s">
        <v>532</v>
      </c>
      <c r="T222" s="212" t="s">
        <v>445</v>
      </c>
      <c r="U222" s="212" t="s">
        <v>446</v>
      </c>
      <c r="V222" s="214" t="b">
        <v>1</v>
      </c>
      <c r="W222" s="214">
        <v>1989</v>
      </c>
      <c r="X222" s="214">
        <v>5</v>
      </c>
      <c r="Y222" s="214">
        <v>2</v>
      </c>
      <c r="Z222" s="214">
        <v>4</v>
      </c>
      <c r="AA222" s="212" t="s">
        <v>447</v>
      </c>
      <c r="AB222" s="212" t="s">
        <v>531</v>
      </c>
      <c r="AC222" s="212" t="s">
        <v>533</v>
      </c>
      <c r="AD222" s="214">
        <v>1.169376</v>
      </c>
      <c r="AE222" s="214">
        <v>1999</v>
      </c>
      <c r="AF222" s="214">
        <v>6.9257999999999997</v>
      </c>
      <c r="AG222" s="214">
        <v>-99</v>
      </c>
      <c r="AH222" s="212" t="s">
        <v>224</v>
      </c>
      <c r="AI222" s="212" t="s">
        <v>449</v>
      </c>
      <c r="AJ222" s="212" t="s">
        <v>224</v>
      </c>
      <c r="AK222" s="212" t="s">
        <v>531</v>
      </c>
      <c r="AL222" s="212" t="s">
        <v>540</v>
      </c>
      <c r="AM222" s="214" t="b">
        <v>0</v>
      </c>
      <c r="AN222" s="214" t="b">
        <v>0</v>
      </c>
      <c r="AO222" s="212" t="s">
        <v>541</v>
      </c>
      <c r="AP222" s="212" t="s">
        <v>542</v>
      </c>
      <c r="AQ222" s="214">
        <v>86.175359999999998</v>
      </c>
      <c r="AR222" s="214" t="b">
        <v>0</v>
      </c>
      <c r="AS222" s="212" t="s">
        <v>534</v>
      </c>
      <c r="AU222" s="222" t="s">
        <v>819</v>
      </c>
    </row>
    <row r="223" spans="1:47" s="263" customFormat="1" ht="15" customHeight="1" x14ac:dyDescent="0.25">
      <c r="A223" s="245">
        <f t="shared" si="31"/>
        <v>223</v>
      </c>
      <c r="B223" s="246" t="str">
        <f t="shared" si="24"/>
        <v>Oil Field - Tank</v>
      </c>
      <c r="C223" s="246" t="str">
        <f ca="1">IF(B223="","",VLOOKUP(D223,'Species Data'!B:E,4,FALSE))</f>
        <v>c7_comp</v>
      </c>
      <c r="D223" s="246">
        <f t="shared" ca="1" si="25"/>
        <v>2005</v>
      </c>
      <c r="E223" s="246">
        <f t="shared" ca="1" si="26"/>
        <v>3.0712999999999999</v>
      </c>
      <c r="F223" s="246" t="str">
        <f t="shared" ca="1" si="27"/>
        <v>C-7 Compounds</v>
      </c>
      <c r="G223" s="246">
        <f t="shared" ca="1" si="28"/>
        <v>100.20194000000001</v>
      </c>
      <c r="H223" s="204" t="str">
        <f ca="1">IF(G223="","",IF(VLOOKUP(Tank!F223,'Species Data'!D:F,3,FALSE)=0,"X",IF(G223&lt;44.1,2,1)))</f>
        <v>X</v>
      </c>
      <c r="I223" s="204">
        <f t="shared" ca="1" si="29"/>
        <v>2.5253842436887401</v>
      </c>
      <c r="J223" s="247">
        <f ca="1">IF(I223="","",IF(COUNTIF($D$12:D223,D223)=1,IF(H223=1,I223*H223,IF(H223="X","X",0)),0))</f>
        <v>0</v>
      </c>
      <c r="K223" s="248">
        <f t="shared" ca="1" si="30"/>
        <v>0</v>
      </c>
      <c r="L223" s="212" t="s">
        <v>679</v>
      </c>
      <c r="M223" s="212" t="s">
        <v>448</v>
      </c>
      <c r="N223" s="212" t="s">
        <v>470</v>
      </c>
      <c r="O223" s="213">
        <v>41419</v>
      </c>
      <c r="P223" s="212" t="s">
        <v>680</v>
      </c>
      <c r="Q223" s="214">
        <v>100</v>
      </c>
      <c r="R223" s="212" t="s">
        <v>445</v>
      </c>
      <c r="S223" s="212" t="s">
        <v>532</v>
      </c>
      <c r="T223" s="212" t="s">
        <v>445</v>
      </c>
      <c r="U223" s="212" t="s">
        <v>446</v>
      </c>
      <c r="V223" s="214" t="b">
        <v>1</v>
      </c>
      <c r="W223" s="214">
        <v>1989</v>
      </c>
      <c r="X223" s="214">
        <v>5</v>
      </c>
      <c r="Y223" s="214">
        <v>2</v>
      </c>
      <c r="Z223" s="214">
        <v>4</v>
      </c>
      <c r="AA223" s="212" t="s">
        <v>447</v>
      </c>
      <c r="AB223" s="212" t="s">
        <v>531</v>
      </c>
      <c r="AC223" s="212" t="s">
        <v>533</v>
      </c>
      <c r="AD223" s="214">
        <v>1.169376</v>
      </c>
      <c r="AE223" s="214">
        <v>2005</v>
      </c>
      <c r="AF223" s="214">
        <v>3.0712999999999999</v>
      </c>
      <c r="AG223" s="214">
        <v>-99</v>
      </c>
      <c r="AH223" s="212" t="s">
        <v>224</v>
      </c>
      <c r="AI223" s="212" t="s">
        <v>449</v>
      </c>
      <c r="AJ223" s="212" t="s">
        <v>224</v>
      </c>
      <c r="AK223" s="212" t="s">
        <v>531</v>
      </c>
      <c r="AL223" s="212" t="s">
        <v>543</v>
      </c>
      <c r="AM223" s="214" t="b">
        <v>0</v>
      </c>
      <c r="AN223" s="214" t="b">
        <v>0</v>
      </c>
      <c r="AO223" s="212" t="s">
        <v>544</v>
      </c>
      <c r="AP223" s="212" t="s">
        <v>545</v>
      </c>
      <c r="AQ223" s="214">
        <v>100.20194000000001</v>
      </c>
      <c r="AR223" s="214" t="b">
        <v>0</v>
      </c>
      <c r="AS223" s="212" t="s">
        <v>534</v>
      </c>
      <c r="AU223" s="222" t="s">
        <v>819</v>
      </c>
    </row>
    <row r="224" spans="1:47" s="263" customFormat="1" ht="15" customHeight="1" x14ac:dyDescent="0.25">
      <c r="A224" s="245">
        <f t="shared" si="31"/>
        <v>224</v>
      </c>
      <c r="B224" s="246" t="str">
        <f t="shared" si="24"/>
        <v>Oil Field - Tank</v>
      </c>
      <c r="C224" s="246" t="str">
        <f ca="1">IF(B224="","",VLOOKUP(D224,'Species Data'!B:E,4,FALSE))</f>
        <v>c8_comp</v>
      </c>
      <c r="D224" s="246">
        <f t="shared" ca="1" si="25"/>
        <v>2011</v>
      </c>
      <c r="E224" s="246">
        <f t="shared" ca="1" si="26"/>
        <v>1.8956</v>
      </c>
      <c r="F224" s="246" t="str">
        <f t="shared" ca="1" si="27"/>
        <v>C-8 Compounds</v>
      </c>
      <c r="G224" s="246">
        <f t="shared" ca="1" si="28"/>
        <v>113.21160686946486</v>
      </c>
      <c r="H224" s="204" t="str">
        <f ca="1">IF(G224="","",IF(VLOOKUP(Tank!F224,'Species Data'!D:F,3,FALSE)=0,"X",IF(G224&lt;44.1,2,1)))</f>
        <v>X</v>
      </c>
      <c r="I224" s="204">
        <f t="shared" ca="1" si="29"/>
        <v>1.3164259710226556</v>
      </c>
      <c r="J224" s="247">
        <f ca="1">IF(I224="","",IF(COUNTIF($D$12:D224,D224)=1,IF(H224=1,I224*H224,IF(H224="X","X",0)),0))</f>
        <v>0</v>
      </c>
      <c r="K224" s="248">
        <f t="shared" ca="1" si="30"/>
        <v>0</v>
      </c>
      <c r="L224" s="212" t="s">
        <v>679</v>
      </c>
      <c r="M224" s="212" t="s">
        <v>448</v>
      </c>
      <c r="N224" s="212" t="s">
        <v>470</v>
      </c>
      <c r="O224" s="213">
        <v>41419</v>
      </c>
      <c r="P224" s="212" t="s">
        <v>680</v>
      </c>
      <c r="Q224" s="214">
        <v>100</v>
      </c>
      <c r="R224" s="212" t="s">
        <v>445</v>
      </c>
      <c r="S224" s="212" t="s">
        <v>532</v>
      </c>
      <c r="T224" s="212" t="s">
        <v>445</v>
      </c>
      <c r="U224" s="212" t="s">
        <v>446</v>
      </c>
      <c r="V224" s="214" t="b">
        <v>1</v>
      </c>
      <c r="W224" s="214">
        <v>1989</v>
      </c>
      <c r="X224" s="214">
        <v>5</v>
      </c>
      <c r="Y224" s="214">
        <v>2</v>
      </c>
      <c r="Z224" s="214">
        <v>4</v>
      </c>
      <c r="AA224" s="212" t="s">
        <v>447</v>
      </c>
      <c r="AB224" s="212" t="s">
        <v>531</v>
      </c>
      <c r="AC224" s="212" t="s">
        <v>533</v>
      </c>
      <c r="AD224" s="214">
        <v>1.169376</v>
      </c>
      <c r="AE224" s="214">
        <v>2011</v>
      </c>
      <c r="AF224" s="214">
        <v>1.8956</v>
      </c>
      <c r="AG224" s="214">
        <v>-99</v>
      </c>
      <c r="AH224" s="212" t="s">
        <v>224</v>
      </c>
      <c r="AI224" s="212" t="s">
        <v>449</v>
      </c>
      <c r="AJ224" s="212" t="s">
        <v>224</v>
      </c>
      <c r="AK224" s="212" t="s">
        <v>531</v>
      </c>
      <c r="AL224" s="212" t="s">
        <v>546</v>
      </c>
      <c r="AM224" s="214" t="b">
        <v>0</v>
      </c>
      <c r="AN224" s="214" t="b">
        <v>0</v>
      </c>
      <c r="AO224" s="212" t="s">
        <v>547</v>
      </c>
      <c r="AP224" s="212" t="s">
        <v>548</v>
      </c>
      <c r="AQ224" s="214">
        <v>113.21160686946486</v>
      </c>
      <c r="AR224" s="214" t="b">
        <v>0</v>
      </c>
      <c r="AS224" s="212" t="s">
        <v>534</v>
      </c>
      <c r="AU224" s="222" t="s">
        <v>819</v>
      </c>
    </row>
    <row r="225" spans="1:47" s="263" customFormat="1" ht="15" customHeight="1" x14ac:dyDescent="0.25">
      <c r="A225" s="245">
        <f t="shared" si="31"/>
        <v>225</v>
      </c>
      <c r="B225" s="246" t="str">
        <f t="shared" si="24"/>
        <v>Oil Field - Tank</v>
      </c>
      <c r="C225" s="246" t="str">
        <f ca="1">IF(B225="","",VLOOKUP(D225,'Species Data'!B:E,4,FALSE))</f>
        <v>c9_comp</v>
      </c>
      <c r="D225" s="246">
        <f t="shared" ca="1" si="25"/>
        <v>2018</v>
      </c>
      <c r="E225" s="246">
        <f t="shared" ca="1" si="26"/>
        <v>0.70189999999999997</v>
      </c>
      <c r="F225" s="246" t="str">
        <f t="shared" ca="1" si="27"/>
        <v>C-9 Compounds</v>
      </c>
      <c r="G225" s="246">
        <f t="shared" ca="1" si="28"/>
        <v>127.23917598649743</v>
      </c>
      <c r="H225" s="204" t="str">
        <f ca="1">IF(G225="","",IF(VLOOKUP(Tank!F225,'Species Data'!D:F,3,FALSE)=0,"X",IF(G225&lt;44.1,2,1)))</f>
        <v>X</v>
      </c>
      <c r="I225" s="204">
        <f t="shared" ca="1" si="29"/>
        <v>0.54975194428533192</v>
      </c>
      <c r="J225" s="247">
        <f ca="1">IF(I225="","",IF(COUNTIF($D$12:D225,D225)=1,IF(H225=1,I225*H225,IF(H225="X","X",0)),0))</f>
        <v>0</v>
      </c>
      <c r="K225" s="248">
        <f t="shared" ca="1" si="30"/>
        <v>0</v>
      </c>
      <c r="L225" s="212" t="s">
        <v>679</v>
      </c>
      <c r="M225" s="212" t="s">
        <v>448</v>
      </c>
      <c r="N225" s="212" t="s">
        <v>470</v>
      </c>
      <c r="O225" s="213">
        <v>41419</v>
      </c>
      <c r="P225" s="212" t="s">
        <v>680</v>
      </c>
      <c r="Q225" s="214">
        <v>100</v>
      </c>
      <c r="R225" s="212" t="s">
        <v>445</v>
      </c>
      <c r="S225" s="212" t="s">
        <v>532</v>
      </c>
      <c r="T225" s="212" t="s">
        <v>445</v>
      </c>
      <c r="U225" s="212" t="s">
        <v>446</v>
      </c>
      <c r="V225" s="214" t="b">
        <v>1</v>
      </c>
      <c r="W225" s="214">
        <v>1989</v>
      </c>
      <c r="X225" s="214">
        <v>5</v>
      </c>
      <c r="Y225" s="214">
        <v>2</v>
      </c>
      <c r="Z225" s="214">
        <v>4</v>
      </c>
      <c r="AA225" s="212" t="s">
        <v>447</v>
      </c>
      <c r="AB225" s="212" t="s">
        <v>531</v>
      </c>
      <c r="AC225" s="212" t="s">
        <v>533</v>
      </c>
      <c r="AD225" s="214">
        <v>1.169376</v>
      </c>
      <c r="AE225" s="214">
        <v>2018</v>
      </c>
      <c r="AF225" s="214">
        <v>0.70189999999999997</v>
      </c>
      <c r="AG225" s="214">
        <v>-99</v>
      </c>
      <c r="AH225" s="212" t="s">
        <v>224</v>
      </c>
      <c r="AI225" s="212" t="s">
        <v>449</v>
      </c>
      <c r="AJ225" s="212" t="s">
        <v>224</v>
      </c>
      <c r="AK225" s="212" t="s">
        <v>531</v>
      </c>
      <c r="AL225" s="212" t="s">
        <v>464</v>
      </c>
      <c r="AM225" s="214" t="b">
        <v>0</v>
      </c>
      <c r="AN225" s="214" t="b">
        <v>0</v>
      </c>
      <c r="AO225" s="212" t="s">
        <v>549</v>
      </c>
      <c r="AP225" s="212" t="s">
        <v>550</v>
      </c>
      <c r="AQ225" s="214">
        <v>127.23917598649743</v>
      </c>
      <c r="AR225" s="214" t="b">
        <v>0</v>
      </c>
      <c r="AS225" s="212" t="s">
        <v>534</v>
      </c>
      <c r="AU225" s="222" t="s">
        <v>819</v>
      </c>
    </row>
    <row r="226" spans="1:47" s="263" customFormat="1" ht="15" customHeight="1" x14ac:dyDescent="0.25">
      <c r="A226" s="245">
        <f t="shared" si="31"/>
        <v>226</v>
      </c>
      <c r="B226" s="246" t="str">
        <f t="shared" si="24"/>
        <v>Oil Field - Tank</v>
      </c>
      <c r="C226" s="246" t="str">
        <f ca="1">IF(B226="","",VLOOKUP(D226,'Species Data'!B:E,4,FALSE))</f>
        <v>isobutben</v>
      </c>
      <c r="D226" s="246">
        <f t="shared" ca="1" si="25"/>
        <v>3</v>
      </c>
      <c r="E226" s="246">
        <f t="shared" ca="1" si="26"/>
        <v>4.1999999999999997E-3</v>
      </c>
      <c r="F226" s="246" t="str">
        <f t="shared" ca="1" si="27"/>
        <v>(2-methylpropyl)benzene; isobutylbenzene</v>
      </c>
      <c r="G226" s="246">
        <f t="shared" ca="1" si="28"/>
        <v>134.21816000000001</v>
      </c>
      <c r="H226" s="204" t="str">
        <f ca="1">IF(G226="","",IF(VLOOKUP(Tank!F226,'Species Data'!D:F,3,FALSE)=0,"X",IF(G226&lt;44.1,2,1)))</f>
        <v>X</v>
      </c>
      <c r="I226" s="204">
        <f t="shared" ca="1" si="29"/>
        <v>1.3866799787944635E-3</v>
      </c>
      <c r="J226" s="247">
        <f ca="1">IF(I226="","",IF(COUNTIF($D$12:D226,D226)=1,IF(H226=1,I226*H226,IF(H226="X","X",0)),0))</f>
        <v>0</v>
      </c>
      <c r="K226" s="248">
        <f t="shared" ca="1" si="30"/>
        <v>0</v>
      </c>
      <c r="L226" s="212" t="s">
        <v>679</v>
      </c>
      <c r="M226" s="212" t="s">
        <v>448</v>
      </c>
      <c r="N226" s="212" t="s">
        <v>470</v>
      </c>
      <c r="O226" s="213">
        <v>41419</v>
      </c>
      <c r="P226" s="212" t="s">
        <v>531</v>
      </c>
      <c r="Q226" s="214">
        <v>100</v>
      </c>
      <c r="R226" s="212" t="s">
        <v>445</v>
      </c>
      <c r="S226" s="212" t="s">
        <v>532</v>
      </c>
      <c r="T226" s="212" t="s">
        <v>445</v>
      </c>
      <c r="U226" s="212" t="s">
        <v>446</v>
      </c>
      <c r="V226" s="214" t="b">
        <v>1</v>
      </c>
      <c r="W226" s="214">
        <v>1989</v>
      </c>
      <c r="X226" s="214">
        <v>5</v>
      </c>
      <c r="Y226" s="214">
        <v>2</v>
      </c>
      <c r="Z226" s="214">
        <v>4</v>
      </c>
      <c r="AA226" s="212" t="s">
        <v>447</v>
      </c>
      <c r="AB226" s="212" t="s">
        <v>531</v>
      </c>
      <c r="AC226" s="212" t="s">
        <v>533</v>
      </c>
      <c r="AD226" s="214">
        <v>2.069318</v>
      </c>
      <c r="AE226" s="214">
        <v>3</v>
      </c>
      <c r="AF226" s="214">
        <v>4.1999999999999997E-3</v>
      </c>
      <c r="AG226" s="214">
        <v>-99</v>
      </c>
      <c r="AH226" s="212" t="s">
        <v>224</v>
      </c>
      <c r="AI226" s="212" t="s">
        <v>449</v>
      </c>
      <c r="AJ226" s="212" t="s">
        <v>425</v>
      </c>
      <c r="AK226" s="212" t="s">
        <v>531</v>
      </c>
      <c r="AL226" s="212" t="s">
        <v>456</v>
      </c>
      <c r="AM226" s="214" t="b">
        <v>0</v>
      </c>
      <c r="AN226" s="214" t="b">
        <v>0</v>
      </c>
      <c r="AO226" s="212" t="s">
        <v>426</v>
      </c>
      <c r="AP226" s="212" t="s">
        <v>531</v>
      </c>
      <c r="AQ226" s="214">
        <v>134.21816000000001</v>
      </c>
      <c r="AR226" s="214" t="b">
        <v>0</v>
      </c>
      <c r="AS226" s="212" t="s">
        <v>534</v>
      </c>
      <c r="AU226" s="222" t="s">
        <v>819</v>
      </c>
    </row>
    <row r="227" spans="1:47" s="263" customFormat="1" x14ac:dyDescent="0.25">
      <c r="A227" s="245">
        <f t="shared" si="31"/>
        <v>227</v>
      </c>
      <c r="B227" s="246" t="str">
        <f t="shared" si="24"/>
        <v>Oil Field - Tank</v>
      </c>
      <c r="C227" s="246" t="str">
        <f ca="1">IF(B227="","",VLOOKUP(D227,'Species Data'!B:E,4,FALSE))</f>
        <v>trimetben124</v>
      </c>
      <c r="D227" s="246">
        <f t="shared" ca="1" si="25"/>
        <v>30</v>
      </c>
      <c r="E227" s="246">
        <f t="shared" ca="1" si="26"/>
        <v>4.5999999999999999E-3</v>
      </c>
      <c r="F227" s="246" t="str">
        <f t="shared" ca="1" si="27"/>
        <v>1,2,4-trimethylbenzene  (1,3,4-trimethylbenzene)</v>
      </c>
      <c r="G227" s="246">
        <f t="shared" ca="1" si="28"/>
        <v>120.19158</v>
      </c>
      <c r="H227" s="204">
        <f ca="1">IF(G227="","",IF(VLOOKUP(Tank!F227,'Species Data'!D:F,3,FALSE)=0,"X",IF(G227&lt;44.1,2,1)))</f>
        <v>1</v>
      </c>
      <c r="I227" s="204">
        <f t="shared" ca="1" si="29"/>
        <v>1.1400109441050636E-2</v>
      </c>
      <c r="J227" s="247">
        <f ca="1">IF(I227="","",IF(COUNTIF($D$12:D227,D227)=1,IF(H227=1,I227*H227,IF(H227="X","X",0)),0))</f>
        <v>0</v>
      </c>
      <c r="K227" s="248">
        <f t="shared" ca="1" si="30"/>
        <v>0</v>
      </c>
      <c r="L227" s="212" t="s">
        <v>679</v>
      </c>
      <c r="M227" s="212" t="s">
        <v>448</v>
      </c>
      <c r="N227" s="212" t="s">
        <v>470</v>
      </c>
      <c r="O227" s="213">
        <v>41419</v>
      </c>
      <c r="P227" s="212" t="s">
        <v>531</v>
      </c>
      <c r="Q227" s="214">
        <v>100</v>
      </c>
      <c r="R227" s="212" t="s">
        <v>445</v>
      </c>
      <c r="S227" s="212" t="s">
        <v>532</v>
      </c>
      <c r="T227" s="212" t="s">
        <v>445</v>
      </c>
      <c r="U227" s="212" t="s">
        <v>446</v>
      </c>
      <c r="V227" s="214" t="b">
        <v>1</v>
      </c>
      <c r="W227" s="214">
        <v>1989</v>
      </c>
      <c r="X227" s="214">
        <v>5</v>
      </c>
      <c r="Y227" s="214">
        <v>2</v>
      </c>
      <c r="Z227" s="214">
        <v>4</v>
      </c>
      <c r="AA227" s="212" t="s">
        <v>447</v>
      </c>
      <c r="AB227" s="212" t="s">
        <v>531</v>
      </c>
      <c r="AC227" s="212" t="s">
        <v>533</v>
      </c>
      <c r="AD227" s="214">
        <v>2.069318</v>
      </c>
      <c r="AE227" s="214">
        <v>30</v>
      </c>
      <c r="AF227" s="214">
        <v>4.5999999999999999E-3</v>
      </c>
      <c r="AG227" s="214">
        <v>-99</v>
      </c>
      <c r="AH227" s="212" t="s">
        <v>224</v>
      </c>
      <c r="AI227" s="212" t="s">
        <v>449</v>
      </c>
      <c r="AJ227" s="212" t="s">
        <v>359</v>
      </c>
      <c r="AK227" s="212" t="s">
        <v>531</v>
      </c>
      <c r="AL227" s="212" t="s">
        <v>531</v>
      </c>
      <c r="AM227" s="214" t="b">
        <v>1</v>
      </c>
      <c r="AN227" s="214" t="b">
        <v>0</v>
      </c>
      <c r="AO227" s="212" t="s">
        <v>360</v>
      </c>
      <c r="AP227" s="212" t="s">
        <v>361</v>
      </c>
      <c r="AQ227" s="214">
        <v>120.19158</v>
      </c>
      <c r="AR227" s="214" t="b">
        <v>0</v>
      </c>
      <c r="AS227" s="212" t="s">
        <v>534</v>
      </c>
      <c r="AU227" s="222" t="s">
        <v>819</v>
      </c>
    </row>
    <row r="228" spans="1:47" s="263" customFormat="1" x14ac:dyDescent="0.25">
      <c r="A228" s="245">
        <f t="shared" si="31"/>
        <v>228</v>
      </c>
      <c r="B228" s="246" t="str">
        <f t="shared" si="24"/>
        <v>Oil Field - Tank</v>
      </c>
      <c r="C228" s="246" t="str">
        <f ca="1">IF(B228="","",VLOOKUP(D228,'Species Data'!B:E,4,FALSE))</f>
        <v>trimethben135</v>
      </c>
      <c r="D228" s="246">
        <f t="shared" ca="1" si="25"/>
        <v>44</v>
      </c>
      <c r="E228" s="246">
        <f t="shared" ca="1" si="26"/>
        <v>1.8700000000000001E-2</v>
      </c>
      <c r="F228" s="246" t="str">
        <f t="shared" ca="1" si="27"/>
        <v>1,3,5-trimethylbenzene</v>
      </c>
      <c r="G228" s="246">
        <f t="shared" ca="1" si="28"/>
        <v>120.19158</v>
      </c>
      <c r="H228" s="204">
        <f ca="1">IF(G228="","",IF(VLOOKUP(Tank!F228,'Species Data'!D:F,3,FALSE)=0,"X",IF(G228&lt;44.1,2,1)))</f>
        <v>1</v>
      </c>
      <c r="I228" s="204">
        <f t="shared" ca="1" si="29"/>
        <v>1.3046791915869061E-2</v>
      </c>
      <c r="J228" s="247">
        <f ca="1">IF(I228="","",IF(COUNTIF($D$12:D228,D228)=1,IF(H228=1,I228*H228,IF(H228="X","X",0)),0))</f>
        <v>0</v>
      </c>
      <c r="K228" s="248">
        <f t="shared" ca="1" si="30"/>
        <v>0</v>
      </c>
      <c r="L228" s="212" t="s">
        <v>679</v>
      </c>
      <c r="M228" s="212" t="s">
        <v>448</v>
      </c>
      <c r="N228" s="212" t="s">
        <v>470</v>
      </c>
      <c r="O228" s="213">
        <v>41419</v>
      </c>
      <c r="P228" s="212" t="s">
        <v>531</v>
      </c>
      <c r="Q228" s="214">
        <v>100</v>
      </c>
      <c r="R228" s="212" t="s">
        <v>445</v>
      </c>
      <c r="S228" s="212" t="s">
        <v>532</v>
      </c>
      <c r="T228" s="212" t="s">
        <v>445</v>
      </c>
      <c r="U228" s="212" t="s">
        <v>446</v>
      </c>
      <c r="V228" s="214" t="b">
        <v>1</v>
      </c>
      <c r="W228" s="214">
        <v>1989</v>
      </c>
      <c r="X228" s="214">
        <v>5</v>
      </c>
      <c r="Y228" s="214">
        <v>2</v>
      </c>
      <c r="Z228" s="214">
        <v>4</v>
      </c>
      <c r="AA228" s="212" t="s">
        <v>447</v>
      </c>
      <c r="AB228" s="212" t="s">
        <v>531</v>
      </c>
      <c r="AC228" s="212" t="s">
        <v>533</v>
      </c>
      <c r="AD228" s="214">
        <v>2.069318</v>
      </c>
      <c r="AE228" s="214">
        <v>44</v>
      </c>
      <c r="AF228" s="214">
        <v>1.8700000000000001E-2</v>
      </c>
      <c r="AG228" s="214">
        <v>-99</v>
      </c>
      <c r="AH228" s="212" t="s">
        <v>224</v>
      </c>
      <c r="AI228" s="212" t="s">
        <v>449</v>
      </c>
      <c r="AJ228" s="212" t="s">
        <v>400</v>
      </c>
      <c r="AK228" s="212" t="s">
        <v>531</v>
      </c>
      <c r="AL228" s="212" t="s">
        <v>401</v>
      </c>
      <c r="AM228" s="214" t="b">
        <v>1</v>
      </c>
      <c r="AN228" s="214" t="b">
        <v>0</v>
      </c>
      <c r="AO228" s="212" t="s">
        <v>402</v>
      </c>
      <c r="AP228" s="212" t="s">
        <v>403</v>
      </c>
      <c r="AQ228" s="214">
        <v>120.19158</v>
      </c>
      <c r="AR228" s="214" t="b">
        <v>0</v>
      </c>
      <c r="AS228" s="212" t="s">
        <v>534</v>
      </c>
      <c r="AU228" s="222" t="s">
        <v>819</v>
      </c>
    </row>
    <row r="229" spans="1:47" s="263" customFormat="1" x14ac:dyDescent="0.25">
      <c r="A229" s="245">
        <f t="shared" si="31"/>
        <v>229</v>
      </c>
      <c r="B229" s="246" t="str">
        <f t="shared" si="24"/>
        <v>Oil Field - Tank</v>
      </c>
      <c r="C229" s="246" t="str">
        <f ca="1">IF(B229="","",VLOOKUP(D229,'Species Data'!B:E,4,FALSE))</f>
        <v>dietben13</v>
      </c>
      <c r="D229" s="246">
        <f t="shared" ca="1" si="25"/>
        <v>51</v>
      </c>
      <c r="E229" s="246">
        <f t="shared" ca="1" si="26"/>
        <v>6.4000000000000003E-3</v>
      </c>
      <c r="F229" s="246" t="str">
        <f t="shared" ca="1" si="27"/>
        <v>1,3-diethylbenzene (meta)</v>
      </c>
      <c r="G229" s="246">
        <f t="shared" ca="1" si="28"/>
        <v>134.21816000000001</v>
      </c>
      <c r="H229" s="204" t="str">
        <f ca="1">IF(G229="","",IF(VLOOKUP(Tank!F229,'Species Data'!D:F,3,FALSE)=0,"X",IF(G229&lt;44.1,2,1)))</f>
        <v>X</v>
      </c>
      <c r="I229" s="204">
        <f t="shared" ca="1" si="29"/>
        <v>1.9800190081824794E-3</v>
      </c>
      <c r="J229" s="247">
        <f ca="1">IF(I229="","",IF(COUNTIF($D$12:D229,D229)=1,IF(H229=1,I229*H229,IF(H229="X","X",0)),0))</f>
        <v>0</v>
      </c>
      <c r="K229" s="248">
        <f t="shared" ca="1" si="30"/>
        <v>0</v>
      </c>
      <c r="L229" s="212" t="s">
        <v>679</v>
      </c>
      <c r="M229" s="212" t="s">
        <v>448</v>
      </c>
      <c r="N229" s="212" t="s">
        <v>470</v>
      </c>
      <c r="O229" s="213">
        <v>41419</v>
      </c>
      <c r="P229" s="212" t="s">
        <v>531</v>
      </c>
      <c r="Q229" s="214">
        <v>100</v>
      </c>
      <c r="R229" s="212" t="s">
        <v>445</v>
      </c>
      <c r="S229" s="212" t="s">
        <v>532</v>
      </c>
      <c r="T229" s="212" t="s">
        <v>445</v>
      </c>
      <c r="U229" s="212" t="s">
        <v>446</v>
      </c>
      <c r="V229" s="214" t="b">
        <v>1</v>
      </c>
      <c r="W229" s="214">
        <v>1989</v>
      </c>
      <c r="X229" s="214">
        <v>5</v>
      </c>
      <c r="Y229" s="214">
        <v>2</v>
      </c>
      <c r="Z229" s="214">
        <v>4</v>
      </c>
      <c r="AA229" s="212" t="s">
        <v>447</v>
      </c>
      <c r="AB229" s="212" t="s">
        <v>531</v>
      </c>
      <c r="AC229" s="212" t="s">
        <v>533</v>
      </c>
      <c r="AD229" s="214">
        <v>2.069318</v>
      </c>
      <c r="AE229" s="214">
        <v>51</v>
      </c>
      <c r="AF229" s="214">
        <v>6.4000000000000003E-3</v>
      </c>
      <c r="AG229" s="214">
        <v>-99</v>
      </c>
      <c r="AH229" s="212" t="s">
        <v>224</v>
      </c>
      <c r="AI229" s="212" t="s">
        <v>449</v>
      </c>
      <c r="AJ229" s="212" t="s">
        <v>634</v>
      </c>
      <c r="AK229" s="212" t="s">
        <v>531</v>
      </c>
      <c r="AL229" s="212" t="s">
        <v>635</v>
      </c>
      <c r="AM229" s="214" t="b">
        <v>1</v>
      </c>
      <c r="AN229" s="214" t="b">
        <v>0</v>
      </c>
      <c r="AO229" s="212" t="s">
        <v>636</v>
      </c>
      <c r="AP229" s="212" t="s">
        <v>637</v>
      </c>
      <c r="AQ229" s="214">
        <v>134.21816000000001</v>
      </c>
      <c r="AR229" s="214" t="b">
        <v>0</v>
      </c>
      <c r="AS229" s="212" t="s">
        <v>534</v>
      </c>
      <c r="AU229" s="222" t="s">
        <v>819</v>
      </c>
    </row>
    <row r="230" spans="1:47" s="263" customFormat="1" x14ac:dyDescent="0.25">
      <c r="A230" s="245">
        <f t="shared" si="31"/>
        <v>230</v>
      </c>
      <c r="B230" s="246" t="str">
        <f t="shared" si="24"/>
        <v>Oil Field - Tank</v>
      </c>
      <c r="C230" s="246" t="str">
        <f ca="1">IF(B230="","",VLOOKUP(D230,'Species Data'!B:E,4,FALSE))</f>
        <v>dietben14</v>
      </c>
      <c r="D230" s="246">
        <f t="shared" ca="1" si="25"/>
        <v>59</v>
      </c>
      <c r="E230" s="246">
        <f t="shared" ca="1" si="26"/>
        <v>9.4999999999999998E-3</v>
      </c>
      <c r="F230" s="246" t="str">
        <f t="shared" ca="1" si="27"/>
        <v>1,4-diethylbenzene (para)</v>
      </c>
      <c r="G230" s="246">
        <f t="shared" ca="1" si="28"/>
        <v>134.21816000000001</v>
      </c>
      <c r="H230" s="204" t="str">
        <f ca="1">IF(G230="","",IF(VLOOKUP(Tank!F230,'Species Data'!D:F,3,FALSE)=0,"X",IF(G230&lt;44.1,2,1)))</f>
        <v>X</v>
      </c>
      <c r="I230" s="204">
        <f t="shared" ca="1" si="29"/>
        <v>4.2867078190617306E-3</v>
      </c>
      <c r="J230" s="247" t="str">
        <f ca="1">IF(I230="","",IF(COUNTIF($D$12:D230,D230)=1,IF(H230=1,I230*H230,IF(H230="X","X",0)),0))</f>
        <v>X</v>
      </c>
      <c r="K230" s="248">
        <f t="shared" ca="1" si="30"/>
        <v>0</v>
      </c>
      <c r="L230" s="212" t="s">
        <v>679</v>
      </c>
      <c r="M230" s="212" t="s">
        <v>448</v>
      </c>
      <c r="N230" s="212" t="s">
        <v>470</v>
      </c>
      <c r="O230" s="213">
        <v>41419</v>
      </c>
      <c r="P230" s="212" t="s">
        <v>531</v>
      </c>
      <c r="Q230" s="214">
        <v>100</v>
      </c>
      <c r="R230" s="212" t="s">
        <v>445</v>
      </c>
      <c r="S230" s="212" t="s">
        <v>532</v>
      </c>
      <c r="T230" s="212" t="s">
        <v>445</v>
      </c>
      <c r="U230" s="212" t="s">
        <v>446</v>
      </c>
      <c r="V230" s="214" t="b">
        <v>1</v>
      </c>
      <c r="W230" s="214">
        <v>1989</v>
      </c>
      <c r="X230" s="214">
        <v>5</v>
      </c>
      <c r="Y230" s="214">
        <v>2</v>
      </c>
      <c r="Z230" s="214">
        <v>4</v>
      </c>
      <c r="AA230" s="212" t="s">
        <v>447</v>
      </c>
      <c r="AB230" s="212" t="s">
        <v>531</v>
      </c>
      <c r="AC230" s="212" t="s">
        <v>533</v>
      </c>
      <c r="AD230" s="214">
        <v>2.069318</v>
      </c>
      <c r="AE230" s="214">
        <v>59</v>
      </c>
      <c r="AF230" s="214">
        <v>9.4999999999999998E-3</v>
      </c>
      <c r="AG230" s="214">
        <v>-99</v>
      </c>
      <c r="AH230" s="212" t="s">
        <v>224</v>
      </c>
      <c r="AI230" s="212" t="s">
        <v>449</v>
      </c>
      <c r="AJ230" s="212" t="s">
        <v>638</v>
      </c>
      <c r="AK230" s="212" t="s">
        <v>531</v>
      </c>
      <c r="AL230" s="212" t="s">
        <v>639</v>
      </c>
      <c r="AM230" s="214" t="b">
        <v>1</v>
      </c>
      <c r="AN230" s="214" t="b">
        <v>0</v>
      </c>
      <c r="AO230" s="212" t="s">
        <v>640</v>
      </c>
      <c r="AP230" s="212" t="s">
        <v>641</v>
      </c>
      <c r="AQ230" s="214">
        <v>134.21816000000001</v>
      </c>
      <c r="AR230" s="214" t="b">
        <v>0</v>
      </c>
      <c r="AS230" s="212" t="s">
        <v>534</v>
      </c>
      <c r="AU230" s="222" t="s">
        <v>819</v>
      </c>
    </row>
    <row r="231" spans="1:47" s="263" customFormat="1" x14ac:dyDescent="0.25">
      <c r="A231" s="245">
        <f t="shared" si="31"/>
        <v>231</v>
      </c>
      <c r="B231" s="246" t="str">
        <f t="shared" si="24"/>
        <v>Oil Field - Tank</v>
      </c>
      <c r="C231" s="246" t="str">
        <f ca="1">IF(B231="","",VLOOKUP(D231,'Species Data'!B:E,4,FALSE))</f>
        <v>ethben12</v>
      </c>
      <c r="D231" s="246">
        <f t="shared" ca="1" si="25"/>
        <v>80</v>
      </c>
      <c r="E231" s="246">
        <f t="shared" ca="1" si="26"/>
        <v>1.8200000000000001E-2</v>
      </c>
      <c r="F231" s="246" t="str">
        <f t="shared" ca="1" si="27"/>
        <v>1-Methyl-2-ethylbenzene</v>
      </c>
      <c r="G231" s="246">
        <f t="shared" ca="1" si="28"/>
        <v>120.19158</v>
      </c>
      <c r="H231" s="204">
        <f ca="1">IF(G231="","",IF(VLOOKUP(Tank!F231,'Species Data'!D:F,3,FALSE)=0,"X",IF(G231&lt;44.1,2,1)))</f>
        <v>1</v>
      </c>
      <c r="I231" s="204">
        <f t="shared" ca="1" si="29"/>
        <v>1.2980124609196252E-2</v>
      </c>
      <c r="J231" s="247">
        <f ca="1">IF(I231="","",IF(COUNTIF($D$12:D231,D231)=1,IF(H231=1,I231*H231,IF(H231="X","X",0)),0))</f>
        <v>0</v>
      </c>
      <c r="K231" s="248">
        <f t="shared" ca="1" si="30"/>
        <v>0</v>
      </c>
      <c r="L231" s="212" t="s">
        <v>679</v>
      </c>
      <c r="M231" s="212" t="s">
        <v>448</v>
      </c>
      <c r="N231" s="212" t="s">
        <v>470</v>
      </c>
      <c r="O231" s="213">
        <v>41419</v>
      </c>
      <c r="P231" s="212" t="s">
        <v>531</v>
      </c>
      <c r="Q231" s="214">
        <v>100</v>
      </c>
      <c r="R231" s="212" t="s">
        <v>445</v>
      </c>
      <c r="S231" s="212" t="s">
        <v>532</v>
      </c>
      <c r="T231" s="212" t="s">
        <v>445</v>
      </c>
      <c r="U231" s="212" t="s">
        <v>446</v>
      </c>
      <c r="V231" s="214" t="b">
        <v>1</v>
      </c>
      <c r="W231" s="214">
        <v>1989</v>
      </c>
      <c r="X231" s="214">
        <v>5</v>
      </c>
      <c r="Y231" s="214">
        <v>2</v>
      </c>
      <c r="Z231" s="214">
        <v>4</v>
      </c>
      <c r="AA231" s="212" t="s">
        <v>447</v>
      </c>
      <c r="AB231" s="212" t="s">
        <v>531</v>
      </c>
      <c r="AC231" s="212" t="s">
        <v>533</v>
      </c>
      <c r="AD231" s="214">
        <v>2.069318</v>
      </c>
      <c r="AE231" s="214">
        <v>80</v>
      </c>
      <c r="AF231" s="214">
        <v>1.8200000000000001E-2</v>
      </c>
      <c r="AG231" s="214">
        <v>-99</v>
      </c>
      <c r="AH231" s="212" t="s">
        <v>224</v>
      </c>
      <c r="AI231" s="212" t="s">
        <v>449</v>
      </c>
      <c r="AJ231" s="212" t="s">
        <v>408</v>
      </c>
      <c r="AK231" s="212" t="s">
        <v>531</v>
      </c>
      <c r="AL231" s="212" t="s">
        <v>450</v>
      </c>
      <c r="AM231" s="214" t="b">
        <v>1</v>
      </c>
      <c r="AN231" s="214" t="b">
        <v>0</v>
      </c>
      <c r="AO231" s="212" t="s">
        <v>409</v>
      </c>
      <c r="AP231" s="212" t="s">
        <v>410</v>
      </c>
      <c r="AQ231" s="214">
        <v>120.19158</v>
      </c>
      <c r="AR231" s="214" t="b">
        <v>0</v>
      </c>
      <c r="AS231" s="212" t="s">
        <v>534</v>
      </c>
      <c r="AU231" s="222" t="s">
        <v>819</v>
      </c>
    </row>
    <row r="232" spans="1:47" s="263" customFormat="1" x14ac:dyDescent="0.25">
      <c r="A232" s="245">
        <f t="shared" si="31"/>
        <v>232</v>
      </c>
      <c r="B232" s="246" t="str">
        <f t="shared" si="24"/>
        <v>Oil Field - Tank</v>
      </c>
      <c r="C232" s="246" t="str">
        <f ca="1">IF(B232="","",VLOOKUP(D232,'Species Data'!B:E,4,FALSE))</f>
        <v>ethben13</v>
      </c>
      <c r="D232" s="246">
        <f t="shared" ca="1" si="25"/>
        <v>89</v>
      </c>
      <c r="E232" s="246">
        <f t="shared" ca="1" si="26"/>
        <v>1.1599999999999999E-2</v>
      </c>
      <c r="F232" s="246" t="str">
        <f t="shared" ca="1" si="27"/>
        <v>1-Methyl-3-ethylbenzene (3-Ethyltoluene)</v>
      </c>
      <c r="G232" s="246">
        <f t="shared" ca="1" si="28"/>
        <v>120.19158</v>
      </c>
      <c r="H232" s="204">
        <f ca="1">IF(G232="","",IF(VLOOKUP(Tank!F232,'Species Data'!D:F,3,FALSE)=0,"X",IF(G232&lt;44.1,2,1)))</f>
        <v>1</v>
      </c>
      <c r="I232" s="204">
        <f t="shared" ca="1" si="29"/>
        <v>1.0893437910337275E-2</v>
      </c>
      <c r="J232" s="247">
        <f ca="1">IF(I232="","",IF(COUNTIF($D$12:D232,D232)=1,IF(H232=1,I232*H232,IF(H232="X","X",0)),0))</f>
        <v>0</v>
      </c>
      <c r="K232" s="248">
        <f t="shared" ca="1" si="30"/>
        <v>0</v>
      </c>
      <c r="L232" s="212" t="s">
        <v>679</v>
      </c>
      <c r="M232" s="212" t="s">
        <v>448</v>
      </c>
      <c r="N232" s="212" t="s">
        <v>470</v>
      </c>
      <c r="O232" s="213">
        <v>41419</v>
      </c>
      <c r="P232" s="212" t="s">
        <v>531</v>
      </c>
      <c r="Q232" s="214">
        <v>100</v>
      </c>
      <c r="R232" s="212" t="s">
        <v>445</v>
      </c>
      <c r="S232" s="212" t="s">
        <v>532</v>
      </c>
      <c r="T232" s="212" t="s">
        <v>445</v>
      </c>
      <c r="U232" s="212" t="s">
        <v>446</v>
      </c>
      <c r="V232" s="214" t="b">
        <v>1</v>
      </c>
      <c r="W232" s="214">
        <v>1989</v>
      </c>
      <c r="X232" s="214">
        <v>5</v>
      </c>
      <c r="Y232" s="214">
        <v>2</v>
      </c>
      <c r="Z232" s="214">
        <v>4</v>
      </c>
      <c r="AA232" s="212" t="s">
        <v>447</v>
      </c>
      <c r="AB232" s="212" t="s">
        <v>531</v>
      </c>
      <c r="AC232" s="212" t="s">
        <v>533</v>
      </c>
      <c r="AD232" s="214">
        <v>2.069318</v>
      </c>
      <c r="AE232" s="214">
        <v>89</v>
      </c>
      <c r="AF232" s="214">
        <v>1.1599999999999999E-2</v>
      </c>
      <c r="AG232" s="214">
        <v>-99</v>
      </c>
      <c r="AH232" s="212" t="s">
        <v>224</v>
      </c>
      <c r="AI232" s="212" t="s">
        <v>449</v>
      </c>
      <c r="AJ232" s="212" t="s">
        <v>411</v>
      </c>
      <c r="AK232" s="212" t="s">
        <v>531</v>
      </c>
      <c r="AL232" s="212" t="s">
        <v>451</v>
      </c>
      <c r="AM232" s="214" t="b">
        <v>1</v>
      </c>
      <c r="AN232" s="214" t="b">
        <v>0</v>
      </c>
      <c r="AO232" s="212" t="s">
        <v>412</v>
      </c>
      <c r="AP232" s="212" t="s">
        <v>413</v>
      </c>
      <c r="AQ232" s="214">
        <v>120.19158</v>
      </c>
      <c r="AR232" s="214" t="b">
        <v>0</v>
      </c>
      <c r="AS232" s="212" t="s">
        <v>534</v>
      </c>
      <c r="AU232" s="222" t="s">
        <v>819</v>
      </c>
    </row>
    <row r="233" spans="1:47" s="263" customFormat="1" x14ac:dyDescent="0.25">
      <c r="A233" s="245">
        <f t="shared" si="31"/>
        <v>233</v>
      </c>
      <c r="B233" s="246" t="str">
        <f t="shared" si="24"/>
        <v>Oil Field - Tank</v>
      </c>
      <c r="C233" s="246" t="str">
        <f ca="1">IF(B233="","",VLOOKUP(D233,'Species Data'!B:E,4,FALSE))</f>
        <v>dimetbut22</v>
      </c>
      <c r="D233" s="246">
        <f t="shared" ca="1" si="25"/>
        <v>122</v>
      </c>
      <c r="E233" s="246">
        <f t="shared" ca="1" si="26"/>
        <v>4.07E-2</v>
      </c>
      <c r="F233" s="246" t="str">
        <f t="shared" ca="1" si="27"/>
        <v>2,2-dimethylbutane</v>
      </c>
      <c r="G233" s="246">
        <f t="shared" ca="1" si="28"/>
        <v>86.175359999999998</v>
      </c>
      <c r="H233" s="204">
        <f ca="1">IF(G233="","",IF(VLOOKUP(Tank!F233,'Species Data'!D:F,3,FALSE)=0,"X",IF(G233&lt;44.1,2,1)))</f>
        <v>1</v>
      </c>
      <c r="I233" s="204">
        <f t="shared" ca="1" si="29"/>
        <v>8.538748638653601E-2</v>
      </c>
      <c r="J233" s="247">
        <f ca="1">IF(I233="","",IF(COUNTIF($D$12:D233,D233)=1,IF(H233=1,I233*H233,IF(H233="X","X",0)),0))</f>
        <v>0</v>
      </c>
      <c r="K233" s="248">
        <f t="shared" ca="1" si="30"/>
        <v>0</v>
      </c>
      <c r="L233" s="212" t="s">
        <v>679</v>
      </c>
      <c r="M233" s="212" t="s">
        <v>448</v>
      </c>
      <c r="N233" s="212" t="s">
        <v>470</v>
      </c>
      <c r="O233" s="213">
        <v>41419</v>
      </c>
      <c r="P233" s="212" t="s">
        <v>531</v>
      </c>
      <c r="Q233" s="214">
        <v>100</v>
      </c>
      <c r="R233" s="212" t="s">
        <v>445</v>
      </c>
      <c r="S233" s="212" t="s">
        <v>532</v>
      </c>
      <c r="T233" s="212" t="s">
        <v>445</v>
      </c>
      <c r="U233" s="212" t="s">
        <v>446</v>
      </c>
      <c r="V233" s="214" t="b">
        <v>1</v>
      </c>
      <c r="W233" s="214">
        <v>1989</v>
      </c>
      <c r="X233" s="214">
        <v>5</v>
      </c>
      <c r="Y233" s="214">
        <v>2</v>
      </c>
      <c r="Z233" s="214">
        <v>4</v>
      </c>
      <c r="AA233" s="212" t="s">
        <v>447</v>
      </c>
      <c r="AB233" s="212" t="s">
        <v>531</v>
      </c>
      <c r="AC233" s="212" t="s">
        <v>533</v>
      </c>
      <c r="AD233" s="214">
        <v>2.069318</v>
      </c>
      <c r="AE233" s="214">
        <v>122</v>
      </c>
      <c r="AF233" s="214">
        <v>4.07E-2</v>
      </c>
      <c r="AG233" s="214">
        <v>-99</v>
      </c>
      <c r="AH233" s="212" t="s">
        <v>224</v>
      </c>
      <c r="AI233" s="212" t="s">
        <v>449</v>
      </c>
      <c r="AJ233" s="212" t="s">
        <v>301</v>
      </c>
      <c r="AK233" s="212" t="s">
        <v>531</v>
      </c>
      <c r="AL233" s="212" t="s">
        <v>384</v>
      </c>
      <c r="AM233" s="214" t="b">
        <v>1</v>
      </c>
      <c r="AN233" s="214" t="b">
        <v>0</v>
      </c>
      <c r="AO233" s="212" t="s">
        <v>302</v>
      </c>
      <c r="AP233" s="212" t="s">
        <v>303</v>
      </c>
      <c r="AQ233" s="214">
        <v>86.175359999999998</v>
      </c>
      <c r="AR233" s="214" t="b">
        <v>0</v>
      </c>
      <c r="AS233" s="212" t="s">
        <v>534</v>
      </c>
      <c r="AU233" s="222" t="s">
        <v>819</v>
      </c>
    </row>
    <row r="234" spans="1:47" s="263" customFormat="1" x14ac:dyDescent="0.25">
      <c r="A234" s="245">
        <f t="shared" si="31"/>
        <v>234</v>
      </c>
      <c r="B234" s="246" t="str">
        <f t="shared" si="24"/>
        <v>Oil Field - Tank</v>
      </c>
      <c r="C234" s="246" t="str">
        <f ca="1">IF(B234="","",VLOOKUP(D234,'Species Data'!B:E,4,FALSE))</f>
        <v>dimethpro</v>
      </c>
      <c r="D234" s="246">
        <f t="shared" ca="1" si="25"/>
        <v>127</v>
      </c>
      <c r="E234" s="246">
        <f t="shared" ca="1" si="26"/>
        <v>1.8499999999999999E-2</v>
      </c>
      <c r="F234" s="246" t="str">
        <f t="shared" ca="1" si="27"/>
        <v>2,2-dimethylpropane</v>
      </c>
      <c r="G234" s="246">
        <f t="shared" ca="1" si="28"/>
        <v>72.148780000000002</v>
      </c>
      <c r="H234" s="204">
        <f ca="1">IF(G234="","",IF(VLOOKUP(Tank!F234,'Species Data'!D:F,3,FALSE)=0,"X",IF(G234&lt;44.1,2,1)))</f>
        <v>1</v>
      </c>
      <c r="I234" s="204">
        <f t="shared" ca="1" si="29"/>
        <v>9.7614270430329483E-2</v>
      </c>
      <c r="J234" s="247">
        <f ca="1">IF(I234="","",IF(COUNTIF($D$12:D234,D234)=1,IF(H234=1,I234*H234,IF(H234="X","X",0)),0))</f>
        <v>0</v>
      </c>
      <c r="K234" s="248">
        <f t="shared" ca="1" si="30"/>
        <v>0</v>
      </c>
      <c r="L234" s="212" t="s">
        <v>679</v>
      </c>
      <c r="M234" s="212" t="s">
        <v>448</v>
      </c>
      <c r="N234" s="212" t="s">
        <v>470</v>
      </c>
      <c r="O234" s="213">
        <v>41419</v>
      </c>
      <c r="P234" s="212" t="s">
        <v>531</v>
      </c>
      <c r="Q234" s="214">
        <v>100</v>
      </c>
      <c r="R234" s="212" t="s">
        <v>445</v>
      </c>
      <c r="S234" s="212" t="s">
        <v>532</v>
      </c>
      <c r="T234" s="212" t="s">
        <v>445</v>
      </c>
      <c r="U234" s="212" t="s">
        <v>446</v>
      </c>
      <c r="V234" s="214" t="b">
        <v>1</v>
      </c>
      <c r="W234" s="214">
        <v>1989</v>
      </c>
      <c r="X234" s="214">
        <v>5</v>
      </c>
      <c r="Y234" s="214">
        <v>2</v>
      </c>
      <c r="Z234" s="214">
        <v>4</v>
      </c>
      <c r="AA234" s="212" t="s">
        <v>447</v>
      </c>
      <c r="AB234" s="212" t="s">
        <v>531</v>
      </c>
      <c r="AC234" s="212" t="s">
        <v>533</v>
      </c>
      <c r="AD234" s="214">
        <v>2.069318</v>
      </c>
      <c r="AE234" s="214">
        <v>127</v>
      </c>
      <c r="AF234" s="214">
        <v>1.8499999999999999E-2</v>
      </c>
      <c r="AG234" s="214">
        <v>-99</v>
      </c>
      <c r="AH234" s="212" t="s">
        <v>224</v>
      </c>
      <c r="AI234" s="212" t="s">
        <v>449</v>
      </c>
      <c r="AJ234" s="212" t="s">
        <v>441</v>
      </c>
      <c r="AK234" s="212" t="s">
        <v>531</v>
      </c>
      <c r="AL234" s="212" t="s">
        <v>462</v>
      </c>
      <c r="AM234" s="214" t="b">
        <v>0</v>
      </c>
      <c r="AN234" s="214" t="b">
        <v>0</v>
      </c>
      <c r="AO234" s="212" t="s">
        <v>442</v>
      </c>
      <c r="AP234" s="212" t="s">
        <v>531</v>
      </c>
      <c r="AQ234" s="214">
        <v>72.148780000000002</v>
      </c>
      <c r="AR234" s="214" t="b">
        <v>0</v>
      </c>
      <c r="AS234" s="212" t="s">
        <v>534</v>
      </c>
      <c r="AU234" s="222" t="s">
        <v>819</v>
      </c>
    </row>
    <row r="235" spans="1:47" s="263" customFormat="1" x14ac:dyDescent="0.25">
      <c r="A235" s="245">
        <f t="shared" si="31"/>
        <v>235</v>
      </c>
      <c r="B235" s="246" t="str">
        <f t="shared" si="24"/>
        <v>Oil Field - Tank</v>
      </c>
      <c r="C235" s="246" t="str">
        <f ca="1">IF(B235="","",VLOOKUP(D235,'Species Data'!B:E,4,FALSE))</f>
        <v>trimentpen3</v>
      </c>
      <c r="D235" s="246">
        <f t="shared" ca="1" si="25"/>
        <v>130</v>
      </c>
      <c r="E235" s="246">
        <f t="shared" ca="1" si="26"/>
        <v>0.55420000000000003</v>
      </c>
      <c r="F235" s="246" t="str">
        <f t="shared" ca="1" si="27"/>
        <v>2,3,4-trimethylpentane</v>
      </c>
      <c r="G235" s="246">
        <f t="shared" ca="1" si="28"/>
        <v>114.22852</v>
      </c>
      <c r="H235" s="204">
        <f ca="1">IF(G235="","",IF(VLOOKUP(Tank!F235,'Species Data'!D:F,3,FALSE)=0,"X",IF(G235&lt;44.1,2,1)))</f>
        <v>1</v>
      </c>
      <c r="I235" s="204">
        <f t="shared" ca="1" si="29"/>
        <v>0.22004211240427912</v>
      </c>
      <c r="J235" s="247">
        <f ca="1">IF(I235="","",IF(COUNTIF($D$12:D235,D235)=1,IF(H235=1,I235*H235,IF(H235="X","X",0)),0))</f>
        <v>0</v>
      </c>
      <c r="K235" s="248">
        <f t="shared" ca="1" si="30"/>
        <v>0</v>
      </c>
      <c r="L235" s="212" t="s">
        <v>679</v>
      </c>
      <c r="M235" s="212" t="s">
        <v>448</v>
      </c>
      <c r="N235" s="212" t="s">
        <v>470</v>
      </c>
      <c r="O235" s="213">
        <v>41419</v>
      </c>
      <c r="P235" s="212" t="s">
        <v>531</v>
      </c>
      <c r="Q235" s="214">
        <v>100</v>
      </c>
      <c r="R235" s="212" t="s">
        <v>445</v>
      </c>
      <c r="S235" s="212" t="s">
        <v>532</v>
      </c>
      <c r="T235" s="212" t="s">
        <v>445</v>
      </c>
      <c r="U235" s="212" t="s">
        <v>446</v>
      </c>
      <c r="V235" s="214" t="b">
        <v>1</v>
      </c>
      <c r="W235" s="214">
        <v>1989</v>
      </c>
      <c r="X235" s="214">
        <v>5</v>
      </c>
      <c r="Y235" s="214">
        <v>2</v>
      </c>
      <c r="Z235" s="214">
        <v>4</v>
      </c>
      <c r="AA235" s="212" t="s">
        <v>447</v>
      </c>
      <c r="AB235" s="212" t="s">
        <v>531</v>
      </c>
      <c r="AC235" s="212" t="s">
        <v>533</v>
      </c>
      <c r="AD235" s="214">
        <v>2.069318</v>
      </c>
      <c r="AE235" s="214">
        <v>130</v>
      </c>
      <c r="AF235" s="214">
        <v>0.55420000000000003</v>
      </c>
      <c r="AG235" s="214">
        <v>-99</v>
      </c>
      <c r="AH235" s="212" t="s">
        <v>224</v>
      </c>
      <c r="AI235" s="212" t="s">
        <v>449</v>
      </c>
      <c r="AJ235" s="212" t="s">
        <v>404</v>
      </c>
      <c r="AK235" s="212" t="s">
        <v>531</v>
      </c>
      <c r="AL235" s="212" t="s">
        <v>405</v>
      </c>
      <c r="AM235" s="214" t="b">
        <v>1</v>
      </c>
      <c r="AN235" s="214" t="b">
        <v>0</v>
      </c>
      <c r="AO235" s="212" t="s">
        <v>406</v>
      </c>
      <c r="AP235" s="212" t="s">
        <v>407</v>
      </c>
      <c r="AQ235" s="214">
        <v>114.22852</v>
      </c>
      <c r="AR235" s="214" t="b">
        <v>0</v>
      </c>
      <c r="AS235" s="212" t="s">
        <v>534</v>
      </c>
      <c r="AU235" s="222" t="s">
        <v>819</v>
      </c>
    </row>
    <row r="236" spans="1:47" s="263" customFormat="1" x14ac:dyDescent="0.25">
      <c r="A236" s="245">
        <f t="shared" si="31"/>
        <v>236</v>
      </c>
      <c r="B236" s="246" t="str">
        <f t="shared" si="24"/>
        <v>Oil Field - Tank</v>
      </c>
      <c r="C236" s="246" t="str">
        <f ca="1">IF(B236="","",VLOOKUP(D236,'Species Data'!B:E,4,FALSE))</f>
        <v>dimethhex23</v>
      </c>
      <c r="D236" s="246">
        <f t="shared" ca="1" si="25"/>
        <v>138</v>
      </c>
      <c r="E236" s="246">
        <f t="shared" ca="1" si="26"/>
        <v>3.1E-2</v>
      </c>
      <c r="F236" s="246" t="str">
        <f t="shared" ca="1" si="27"/>
        <v>2,3-dimethylhexane</v>
      </c>
      <c r="G236" s="246">
        <f t="shared" ca="1" si="28"/>
        <v>114.22852</v>
      </c>
      <c r="H236" s="204">
        <f ca="1">IF(G236="","",IF(VLOOKUP(Tank!F236,'Species Data'!D:F,3,FALSE)=0,"X",IF(G236&lt;44.1,2,1)))</f>
        <v>1</v>
      </c>
      <c r="I236" s="204">
        <f t="shared" ca="1" si="29"/>
        <v>2.958028397072613E-2</v>
      </c>
      <c r="J236" s="247">
        <f ca="1">IF(I236="","",IF(COUNTIF($D$12:D236,D236)=1,IF(H236=1,I236*H236,IF(H236="X","X",0)),0))</f>
        <v>0</v>
      </c>
      <c r="K236" s="248">
        <f t="shared" ca="1" si="30"/>
        <v>0</v>
      </c>
      <c r="L236" s="212" t="s">
        <v>679</v>
      </c>
      <c r="M236" s="212" t="s">
        <v>448</v>
      </c>
      <c r="N236" s="212" t="s">
        <v>470</v>
      </c>
      <c r="O236" s="213">
        <v>41419</v>
      </c>
      <c r="P236" s="212" t="s">
        <v>531</v>
      </c>
      <c r="Q236" s="214">
        <v>100</v>
      </c>
      <c r="R236" s="212" t="s">
        <v>445</v>
      </c>
      <c r="S236" s="212" t="s">
        <v>532</v>
      </c>
      <c r="T236" s="212" t="s">
        <v>445</v>
      </c>
      <c r="U236" s="212" t="s">
        <v>446</v>
      </c>
      <c r="V236" s="214" t="b">
        <v>1</v>
      </c>
      <c r="W236" s="214">
        <v>1989</v>
      </c>
      <c r="X236" s="214">
        <v>5</v>
      </c>
      <c r="Y236" s="214">
        <v>2</v>
      </c>
      <c r="Z236" s="214">
        <v>4</v>
      </c>
      <c r="AA236" s="212" t="s">
        <v>447</v>
      </c>
      <c r="AB236" s="212" t="s">
        <v>531</v>
      </c>
      <c r="AC236" s="212" t="s">
        <v>533</v>
      </c>
      <c r="AD236" s="214">
        <v>2.069318</v>
      </c>
      <c r="AE236" s="214">
        <v>138</v>
      </c>
      <c r="AF236" s="214">
        <v>3.1E-2</v>
      </c>
      <c r="AG236" s="214">
        <v>-99</v>
      </c>
      <c r="AH236" s="212" t="s">
        <v>224</v>
      </c>
      <c r="AI236" s="212" t="s">
        <v>449</v>
      </c>
      <c r="AJ236" s="212" t="s">
        <v>443</v>
      </c>
      <c r="AK236" s="212" t="s">
        <v>531</v>
      </c>
      <c r="AL236" s="212" t="s">
        <v>463</v>
      </c>
      <c r="AM236" s="214" t="b">
        <v>0</v>
      </c>
      <c r="AN236" s="214" t="b">
        <v>0</v>
      </c>
      <c r="AO236" s="212" t="s">
        <v>444</v>
      </c>
      <c r="AP236" s="212" t="s">
        <v>531</v>
      </c>
      <c r="AQ236" s="214">
        <v>114.22852</v>
      </c>
      <c r="AR236" s="214" t="b">
        <v>0</v>
      </c>
      <c r="AS236" s="212" t="s">
        <v>534</v>
      </c>
      <c r="AU236" s="222" t="s">
        <v>819</v>
      </c>
    </row>
    <row r="237" spans="1:47" s="263" customFormat="1" x14ac:dyDescent="0.25">
      <c r="A237" s="245">
        <f t="shared" si="31"/>
        <v>237</v>
      </c>
      <c r="B237" s="246" t="str">
        <f t="shared" si="24"/>
        <v>Oil Field - Tank</v>
      </c>
      <c r="C237" s="246" t="str">
        <f ca="1">IF(B237="","",VLOOKUP(D237,'Species Data'!B:E,4,FALSE))</f>
        <v>dimetpen3</v>
      </c>
      <c r="D237" s="246">
        <f t="shared" ca="1" si="25"/>
        <v>140</v>
      </c>
      <c r="E237" s="246">
        <f t="shared" ca="1" si="26"/>
        <v>0.21740000000000001</v>
      </c>
      <c r="F237" s="246" t="str">
        <f t="shared" ca="1" si="27"/>
        <v>2,3-dimethylpentane</v>
      </c>
      <c r="G237" s="246">
        <f t="shared" ca="1" si="28"/>
        <v>100.20194000000001</v>
      </c>
      <c r="H237" s="204">
        <f ca="1">IF(G237="","",IF(VLOOKUP(Tank!F237,'Species Data'!D:F,3,FALSE)=0,"X",IF(G237&lt;44.1,2,1)))</f>
        <v>1</v>
      </c>
      <c r="I237" s="204">
        <f t="shared" ca="1" si="29"/>
        <v>0.24488235087056845</v>
      </c>
      <c r="J237" s="247">
        <f ca="1">IF(I237="","",IF(COUNTIF($D$12:D237,D237)=1,IF(H237=1,I237*H237,IF(H237="X","X",0)),0))</f>
        <v>0</v>
      </c>
      <c r="K237" s="248">
        <f t="shared" ca="1" si="30"/>
        <v>0</v>
      </c>
      <c r="L237" s="212" t="s">
        <v>679</v>
      </c>
      <c r="M237" s="212" t="s">
        <v>448</v>
      </c>
      <c r="N237" s="212" t="s">
        <v>470</v>
      </c>
      <c r="O237" s="213">
        <v>41419</v>
      </c>
      <c r="P237" s="212" t="s">
        <v>531</v>
      </c>
      <c r="Q237" s="214">
        <v>100</v>
      </c>
      <c r="R237" s="212" t="s">
        <v>445</v>
      </c>
      <c r="S237" s="212" t="s">
        <v>532</v>
      </c>
      <c r="T237" s="212" t="s">
        <v>445</v>
      </c>
      <c r="U237" s="212" t="s">
        <v>446</v>
      </c>
      <c r="V237" s="214" t="b">
        <v>1</v>
      </c>
      <c r="W237" s="214">
        <v>1989</v>
      </c>
      <c r="X237" s="214">
        <v>5</v>
      </c>
      <c r="Y237" s="214">
        <v>2</v>
      </c>
      <c r="Z237" s="214">
        <v>4</v>
      </c>
      <c r="AA237" s="212" t="s">
        <v>447</v>
      </c>
      <c r="AB237" s="212" t="s">
        <v>531</v>
      </c>
      <c r="AC237" s="212" t="s">
        <v>533</v>
      </c>
      <c r="AD237" s="214">
        <v>2.069318</v>
      </c>
      <c r="AE237" s="214">
        <v>140</v>
      </c>
      <c r="AF237" s="214">
        <v>0.21740000000000001</v>
      </c>
      <c r="AG237" s="214">
        <v>-99</v>
      </c>
      <c r="AH237" s="212" t="s">
        <v>224</v>
      </c>
      <c r="AI237" s="212" t="s">
        <v>449</v>
      </c>
      <c r="AJ237" s="212" t="s">
        <v>307</v>
      </c>
      <c r="AK237" s="212" t="s">
        <v>531</v>
      </c>
      <c r="AL237" s="212" t="s">
        <v>385</v>
      </c>
      <c r="AM237" s="214" t="b">
        <v>1</v>
      </c>
      <c r="AN237" s="214" t="b">
        <v>0</v>
      </c>
      <c r="AO237" s="212" t="s">
        <v>308</v>
      </c>
      <c r="AP237" s="212" t="s">
        <v>309</v>
      </c>
      <c r="AQ237" s="214">
        <v>100.20194000000001</v>
      </c>
      <c r="AR237" s="214" t="b">
        <v>0</v>
      </c>
      <c r="AS237" s="212" t="s">
        <v>534</v>
      </c>
      <c r="AU237" s="222" t="s">
        <v>819</v>
      </c>
    </row>
    <row r="238" spans="1:47" s="263" customFormat="1" x14ac:dyDescent="0.25">
      <c r="A238" s="245">
        <f t="shared" si="31"/>
        <v>238</v>
      </c>
      <c r="B238" s="246" t="str">
        <f t="shared" si="24"/>
        <v>Oil Field - Tank</v>
      </c>
      <c r="C238" s="246" t="str">
        <f ca="1">IF(B238="","",VLOOKUP(D238,'Species Data'!B:E,4,FALSE))</f>
        <v>dimethhex24</v>
      </c>
      <c r="D238" s="246">
        <f t="shared" ca="1" si="25"/>
        <v>149</v>
      </c>
      <c r="E238" s="246">
        <f t="shared" ca="1" si="26"/>
        <v>3.6400000000000002E-2</v>
      </c>
      <c r="F238" s="246" t="str">
        <f t="shared" ca="1" si="27"/>
        <v>2,4-dimethylhexane</v>
      </c>
      <c r="G238" s="246">
        <f t="shared" ca="1" si="28"/>
        <v>114.22852</v>
      </c>
      <c r="H238" s="204">
        <f ca="1">IF(G238="","",IF(VLOOKUP(Tank!F238,'Species Data'!D:F,3,FALSE)=0,"X",IF(G238&lt;44.1,2,1)))</f>
        <v>1</v>
      </c>
      <c r="I238" s="204">
        <f t="shared" ca="1" si="29"/>
        <v>6.6793974555489091E-2</v>
      </c>
      <c r="J238" s="247">
        <f ca="1">IF(I238="","",IF(COUNTIF($D$12:D238,D238)=1,IF(H238=1,I238*H238,IF(H238="X","X",0)),0))</f>
        <v>0</v>
      </c>
      <c r="K238" s="248">
        <f t="shared" ca="1" si="30"/>
        <v>0</v>
      </c>
      <c r="L238" s="212" t="s">
        <v>679</v>
      </c>
      <c r="M238" s="212" t="s">
        <v>448</v>
      </c>
      <c r="N238" s="212" t="s">
        <v>470</v>
      </c>
      <c r="O238" s="213">
        <v>41419</v>
      </c>
      <c r="P238" s="212" t="s">
        <v>531</v>
      </c>
      <c r="Q238" s="214">
        <v>100</v>
      </c>
      <c r="R238" s="212" t="s">
        <v>445</v>
      </c>
      <c r="S238" s="212" t="s">
        <v>532</v>
      </c>
      <c r="T238" s="212" t="s">
        <v>445</v>
      </c>
      <c r="U238" s="212" t="s">
        <v>446</v>
      </c>
      <c r="V238" s="214" t="b">
        <v>1</v>
      </c>
      <c r="W238" s="214">
        <v>1989</v>
      </c>
      <c r="X238" s="214">
        <v>5</v>
      </c>
      <c r="Y238" s="214">
        <v>2</v>
      </c>
      <c r="Z238" s="214">
        <v>4</v>
      </c>
      <c r="AA238" s="212" t="s">
        <v>447</v>
      </c>
      <c r="AB238" s="212" t="s">
        <v>531</v>
      </c>
      <c r="AC238" s="212" t="s">
        <v>533</v>
      </c>
      <c r="AD238" s="214">
        <v>2.069318</v>
      </c>
      <c r="AE238" s="214">
        <v>149</v>
      </c>
      <c r="AF238" s="214">
        <v>3.6400000000000002E-2</v>
      </c>
      <c r="AG238" s="214">
        <v>-99</v>
      </c>
      <c r="AH238" s="212" t="s">
        <v>224</v>
      </c>
      <c r="AI238" s="212" t="s">
        <v>449</v>
      </c>
      <c r="AJ238" s="212" t="s">
        <v>427</v>
      </c>
      <c r="AK238" s="212" t="s">
        <v>531</v>
      </c>
      <c r="AL238" s="212" t="s">
        <v>457</v>
      </c>
      <c r="AM238" s="214" t="b">
        <v>0</v>
      </c>
      <c r="AN238" s="214" t="b">
        <v>0</v>
      </c>
      <c r="AO238" s="212" t="s">
        <v>428</v>
      </c>
      <c r="AP238" s="212" t="s">
        <v>429</v>
      </c>
      <c r="AQ238" s="214">
        <v>114.22852</v>
      </c>
      <c r="AR238" s="214" t="b">
        <v>0</v>
      </c>
      <c r="AS238" s="212" t="s">
        <v>534</v>
      </c>
      <c r="AU238" s="222" t="s">
        <v>819</v>
      </c>
    </row>
    <row r="239" spans="1:47" s="263" customFormat="1" x14ac:dyDescent="0.25">
      <c r="A239" s="245">
        <f t="shared" si="31"/>
        <v>239</v>
      </c>
      <c r="B239" s="246" t="str">
        <f t="shared" si="24"/>
        <v>Oil Field - Tank</v>
      </c>
      <c r="C239" s="246" t="str">
        <f ca="1">IF(B239="","",VLOOKUP(D239,'Species Data'!B:E,4,FALSE))</f>
        <v>dimetpen4</v>
      </c>
      <c r="D239" s="246">
        <f t="shared" ca="1" si="25"/>
        <v>152</v>
      </c>
      <c r="E239" s="246">
        <f t="shared" ca="1" si="26"/>
        <v>5.9499999999999997E-2</v>
      </c>
      <c r="F239" s="246" t="str">
        <f t="shared" ca="1" si="27"/>
        <v>2,4-dimethylpentane</v>
      </c>
      <c r="G239" s="246">
        <f t="shared" ca="1" si="28"/>
        <v>100.20194000000001</v>
      </c>
      <c r="H239" s="204">
        <f ca="1">IF(G239="","",IF(VLOOKUP(Tank!F239,'Species Data'!D:F,3,FALSE)=0,"X",IF(G239&lt;44.1,2,1)))</f>
        <v>1</v>
      </c>
      <c r="I239" s="204">
        <f t="shared" ca="1" si="29"/>
        <v>7.947409628465768E-2</v>
      </c>
      <c r="J239" s="247">
        <f ca="1">IF(I239="","",IF(COUNTIF($D$12:D239,D239)=1,IF(H239=1,I239*H239,IF(H239="X","X",0)),0))</f>
        <v>0</v>
      </c>
      <c r="K239" s="248">
        <f t="shared" ca="1" si="30"/>
        <v>0</v>
      </c>
      <c r="L239" s="212" t="s">
        <v>679</v>
      </c>
      <c r="M239" s="212" t="s">
        <v>448</v>
      </c>
      <c r="N239" s="212" t="s">
        <v>470</v>
      </c>
      <c r="O239" s="213">
        <v>41419</v>
      </c>
      <c r="P239" s="212" t="s">
        <v>531</v>
      </c>
      <c r="Q239" s="214">
        <v>100</v>
      </c>
      <c r="R239" s="212" t="s">
        <v>445</v>
      </c>
      <c r="S239" s="212" t="s">
        <v>532</v>
      </c>
      <c r="T239" s="212" t="s">
        <v>445</v>
      </c>
      <c r="U239" s="212" t="s">
        <v>446</v>
      </c>
      <c r="V239" s="214" t="b">
        <v>1</v>
      </c>
      <c r="W239" s="214">
        <v>1989</v>
      </c>
      <c r="X239" s="214">
        <v>5</v>
      </c>
      <c r="Y239" s="214">
        <v>2</v>
      </c>
      <c r="Z239" s="214">
        <v>4</v>
      </c>
      <c r="AA239" s="212" t="s">
        <v>447</v>
      </c>
      <c r="AB239" s="212" t="s">
        <v>531</v>
      </c>
      <c r="AC239" s="212" t="s">
        <v>533</v>
      </c>
      <c r="AD239" s="214">
        <v>2.069318</v>
      </c>
      <c r="AE239" s="214">
        <v>152</v>
      </c>
      <c r="AF239" s="214">
        <v>5.9499999999999997E-2</v>
      </c>
      <c r="AG239" s="214">
        <v>-99</v>
      </c>
      <c r="AH239" s="212" t="s">
        <v>224</v>
      </c>
      <c r="AI239" s="212" t="s">
        <v>449</v>
      </c>
      <c r="AJ239" s="212" t="s">
        <v>310</v>
      </c>
      <c r="AK239" s="212" t="s">
        <v>531</v>
      </c>
      <c r="AL239" s="212" t="s">
        <v>386</v>
      </c>
      <c r="AM239" s="214" t="b">
        <v>1</v>
      </c>
      <c r="AN239" s="214" t="b">
        <v>0</v>
      </c>
      <c r="AO239" s="212" t="s">
        <v>311</v>
      </c>
      <c r="AP239" s="212" t="s">
        <v>312</v>
      </c>
      <c r="AQ239" s="214">
        <v>100.20194000000001</v>
      </c>
      <c r="AR239" s="214" t="b">
        <v>0</v>
      </c>
      <c r="AS239" s="212" t="s">
        <v>534</v>
      </c>
      <c r="AU239" s="222" t="s">
        <v>819</v>
      </c>
    </row>
    <row r="240" spans="1:47" s="263" customFormat="1" x14ac:dyDescent="0.25">
      <c r="A240" s="245">
        <f t="shared" si="31"/>
        <v>240</v>
      </c>
      <c r="B240" s="246" t="str">
        <f t="shared" si="24"/>
        <v>Oil Field - Tank</v>
      </c>
      <c r="C240" s="246" t="str">
        <f ca="1">IF(B240="","",VLOOKUP(D240,'Species Data'!B:E,4,FALSE))</f>
        <v>methep2</v>
      </c>
      <c r="D240" s="246">
        <f t="shared" ca="1" si="25"/>
        <v>193</v>
      </c>
      <c r="E240" s="246">
        <f t="shared" ca="1" si="26"/>
        <v>4.3900000000000002E-2</v>
      </c>
      <c r="F240" s="246" t="str">
        <f t="shared" ca="1" si="27"/>
        <v>2-methylheptane</v>
      </c>
      <c r="G240" s="246">
        <f t="shared" ca="1" si="28"/>
        <v>114.22852</v>
      </c>
      <c r="H240" s="204">
        <f ca="1">IF(G240="","",IF(VLOOKUP(Tank!F240,'Species Data'!D:F,3,FALSE)=0,"X",IF(G240&lt;44.1,2,1)))</f>
        <v>1</v>
      </c>
      <c r="I240" s="204">
        <f t="shared" ca="1" si="29"/>
        <v>0.11845447049625013</v>
      </c>
      <c r="J240" s="247">
        <f ca="1">IF(I240="","",IF(COUNTIF($D$12:D240,D240)=1,IF(H240=1,I240*H240,IF(H240="X","X",0)),0))</f>
        <v>0</v>
      </c>
      <c r="K240" s="248">
        <f t="shared" ca="1" si="30"/>
        <v>0</v>
      </c>
      <c r="L240" s="212" t="s">
        <v>679</v>
      </c>
      <c r="M240" s="212" t="s">
        <v>448</v>
      </c>
      <c r="N240" s="212" t="s">
        <v>470</v>
      </c>
      <c r="O240" s="213">
        <v>41419</v>
      </c>
      <c r="P240" s="212" t="s">
        <v>531</v>
      </c>
      <c r="Q240" s="214">
        <v>100</v>
      </c>
      <c r="R240" s="212" t="s">
        <v>445</v>
      </c>
      <c r="S240" s="212" t="s">
        <v>532</v>
      </c>
      <c r="T240" s="212" t="s">
        <v>445</v>
      </c>
      <c r="U240" s="212" t="s">
        <v>446</v>
      </c>
      <c r="V240" s="214" t="b">
        <v>1</v>
      </c>
      <c r="W240" s="214">
        <v>1989</v>
      </c>
      <c r="X240" s="214">
        <v>5</v>
      </c>
      <c r="Y240" s="214">
        <v>2</v>
      </c>
      <c r="Z240" s="214">
        <v>4</v>
      </c>
      <c r="AA240" s="212" t="s">
        <v>447</v>
      </c>
      <c r="AB240" s="212" t="s">
        <v>531</v>
      </c>
      <c r="AC240" s="212" t="s">
        <v>533</v>
      </c>
      <c r="AD240" s="214">
        <v>2.069318</v>
      </c>
      <c r="AE240" s="214">
        <v>193</v>
      </c>
      <c r="AF240" s="214">
        <v>4.3900000000000002E-2</v>
      </c>
      <c r="AG240" s="214">
        <v>-99</v>
      </c>
      <c r="AH240" s="212" t="s">
        <v>224</v>
      </c>
      <c r="AI240" s="212" t="s">
        <v>449</v>
      </c>
      <c r="AJ240" s="212" t="s">
        <v>313</v>
      </c>
      <c r="AK240" s="212" t="s">
        <v>531</v>
      </c>
      <c r="AL240" s="212" t="s">
        <v>387</v>
      </c>
      <c r="AM240" s="214" t="b">
        <v>1</v>
      </c>
      <c r="AN240" s="214" t="b">
        <v>0</v>
      </c>
      <c r="AO240" s="212" t="s">
        <v>314</v>
      </c>
      <c r="AP240" s="212" t="s">
        <v>315</v>
      </c>
      <c r="AQ240" s="214">
        <v>114.22852</v>
      </c>
      <c r="AR240" s="214" t="b">
        <v>0</v>
      </c>
      <c r="AS240" s="212" t="s">
        <v>534</v>
      </c>
      <c r="AU240" s="222" t="s">
        <v>819</v>
      </c>
    </row>
    <row r="241" spans="1:47" s="263" customFormat="1" x14ac:dyDescent="0.25">
      <c r="A241" s="245">
        <f t="shared" si="31"/>
        <v>241</v>
      </c>
      <c r="B241" s="246" t="str">
        <f t="shared" si="24"/>
        <v>Oil Field - Tank</v>
      </c>
      <c r="C241" s="246" t="str">
        <f ca="1">IF(B241="","",VLOOKUP(D241,'Species Data'!B:E,4,FALSE))</f>
        <v>twomethex</v>
      </c>
      <c r="D241" s="246">
        <f t="shared" ca="1" si="25"/>
        <v>194</v>
      </c>
      <c r="E241" s="246">
        <f t="shared" ca="1" si="26"/>
        <v>0.32419999999999999</v>
      </c>
      <c r="F241" s="246" t="str">
        <f t="shared" ca="1" si="27"/>
        <v>2-methylhexane</v>
      </c>
      <c r="G241" s="246">
        <f t="shared" ca="1" si="28"/>
        <v>100.20194000000001</v>
      </c>
      <c r="H241" s="204">
        <f ca="1">IF(G241="","",IF(VLOOKUP(Tank!F241,'Species Data'!D:F,3,FALSE)=0,"X",IF(G241&lt;44.1,2,1)))</f>
        <v>1</v>
      </c>
      <c r="I241" s="204">
        <f t="shared" ca="1" si="29"/>
        <v>0.30248957056654424</v>
      </c>
      <c r="J241" s="247">
        <f ca="1">IF(I241="","",IF(COUNTIF($D$12:D241,D241)=1,IF(H241=1,I241*H241,IF(H241="X","X",0)),0))</f>
        <v>0</v>
      </c>
      <c r="K241" s="248">
        <f t="shared" ca="1" si="30"/>
        <v>0</v>
      </c>
      <c r="L241" s="212" t="s">
        <v>679</v>
      </c>
      <c r="M241" s="212" t="s">
        <v>448</v>
      </c>
      <c r="N241" s="212" t="s">
        <v>470</v>
      </c>
      <c r="O241" s="213">
        <v>41419</v>
      </c>
      <c r="P241" s="212" t="s">
        <v>531</v>
      </c>
      <c r="Q241" s="214">
        <v>100</v>
      </c>
      <c r="R241" s="212" t="s">
        <v>445</v>
      </c>
      <c r="S241" s="212" t="s">
        <v>532</v>
      </c>
      <c r="T241" s="212" t="s">
        <v>445</v>
      </c>
      <c r="U241" s="212" t="s">
        <v>446</v>
      </c>
      <c r="V241" s="214" t="b">
        <v>1</v>
      </c>
      <c r="W241" s="214">
        <v>1989</v>
      </c>
      <c r="X241" s="214">
        <v>5</v>
      </c>
      <c r="Y241" s="214">
        <v>2</v>
      </c>
      <c r="Z241" s="214">
        <v>4</v>
      </c>
      <c r="AA241" s="212" t="s">
        <v>447</v>
      </c>
      <c r="AB241" s="212" t="s">
        <v>531</v>
      </c>
      <c r="AC241" s="212" t="s">
        <v>533</v>
      </c>
      <c r="AD241" s="214">
        <v>2.069318</v>
      </c>
      <c r="AE241" s="214">
        <v>194</v>
      </c>
      <c r="AF241" s="214">
        <v>0.32419999999999999</v>
      </c>
      <c r="AG241" s="214">
        <v>-99</v>
      </c>
      <c r="AH241" s="212" t="s">
        <v>224</v>
      </c>
      <c r="AI241" s="212" t="s">
        <v>449</v>
      </c>
      <c r="AJ241" s="212" t="s">
        <v>316</v>
      </c>
      <c r="AK241" s="212" t="s">
        <v>531</v>
      </c>
      <c r="AL241" s="212" t="s">
        <v>388</v>
      </c>
      <c r="AM241" s="214" t="b">
        <v>1</v>
      </c>
      <c r="AN241" s="214" t="b">
        <v>0</v>
      </c>
      <c r="AO241" s="212" t="s">
        <v>317</v>
      </c>
      <c r="AP241" s="212" t="s">
        <v>318</v>
      </c>
      <c r="AQ241" s="214">
        <v>100.20194000000001</v>
      </c>
      <c r="AR241" s="214" t="b">
        <v>0</v>
      </c>
      <c r="AS241" s="212" t="s">
        <v>534</v>
      </c>
      <c r="AU241" s="222" t="s">
        <v>819</v>
      </c>
    </row>
    <row r="242" spans="1:47" s="263" customFormat="1" x14ac:dyDescent="0.25">
      <c r="A242" s="245">
        <f t="shared" si="31"/>
        <v>242</v>
      </c>
      <c r="B242" s="246" t="str">
        <f t="shared" si="24"/>
        <v>Oil Field - Tank</v>
      </c>
      <c r="C242" s="246" t="str">
        <f ca="1">IF(B242="","",VLOOKUP(D242,'Species Data'!B:E,4,FALSE))</f>
        <v>twometpen</v>
      </c>
      <c r="D242" s="246">
        <f t="shared" ca="1" si="25"/>
        <v>199</v>
      </c>
      <c r="E242" s="246">
        <f t="shared" ca="1" si="26"/>
        <v>1.3756999999999999</v>
      </c>
      <c r="F242" s="246" t="str">
        <f t="shared" ca="1" si="27"/>
        <v>2-methylpentane (isohexane)</v>
      </c>
      <c r="G242" s="246">
        <f t="shared" ca="1" si="28"/>
        <v>86.175359999999998</v>
      </c>
      <c r="H242" s="204">
        <f ca="1">IF(G242="","",IF(VLOOKUP(Tank!F242,'Species Data'!D:F,3,FALSE)=0,"X",IF(G242&lt;44.1,2,1)))</f>
        <v>1</v>
      </c>
      <c r="I242" s="204">
        <f t="shared" ca="1" si="29"/>
        <v>0.93120227287515311</v>
      </c>
      <c r="J242" s="247">
        <f ca="1">IF(I242="","",IF(COUNTIF($D$12:D242,D242)=1,IF(H242=1,I242*H242,IF(H242="X","X",0)),0))</f>
        <v>0</v>
      </c>
      <c r="K242" s="248">
        <f t="shared" ca="1" si="30"/>
        <v>0</v>
      </c>
      <c r="L242" s="212" t="s">
        <v>679</v>
      </c>
      <c r="M242" s="212" t="s">
        <v>448</v>
      </c>
      <c r="N242" s="212" t="s">
        <v>470</v>
      </c>
      <c r="O242" s="213">
        <v>41419</v>
      </c>
      <c r="P242" s="212" t="s">
        <v>531</v>
      </c>
      <c r="Q242" s="214">
        <v>100</v>
      </c>
      <c r="R242" s="212" t="s">
        <v>445</v>
      </c>
      <c r="S242" s="212" t="s">
        <v>532</v>
      </c>
      <c r="T242" s="212" t="s">
        <v>445</v>
      </c>
      <c r="U242" s="212" t="s">
        <v>446</v>
      </c>
      <c r="V242" s="214" t="b">
        <v>1</v>
      </c>
      <c r="W242" s="214">
        <v>1989</v>
      </c>
      <c r="X242" s="214">
        <v>5</v>
      </c>
      <c r="Y242" s="214">
        <v>2</v>
      </c>
      <c r="Z242" s="214">
        <v>4</v>
      </c>
      <c r="AA242" s="212" t="s">
        <v>447</v>
      </c>
      <c r="AB242" s="212" t="s">
        <v>531</v>
      </c>
      <c r="AC242" s="212" t="s">
        <v>533</v>
      </c>
      <c r="AD242" s="214">
        <v>2.069318</v>
      </c>
      <c r="AE242" s="214">
        <v>199</v>
      </c>
      <c r="AF242" s="214">
        <v>1.3756999999999999</v>
      </c>
      <c r="AG242" s="214">
        <v>-99</v>
      </c>
      <c r="AH242" s="212" t="s">
        <v>224</v>
      </c>
      <c r="AI242" s="212" t="s">
        <v>449</v>
      </c>
      <c r="AJ242" s="212" t="s">
        <v>319</v>
      </c>
      <c r="AK242" s="212" t="s">
        <v>531</v>
      </c>
      <c r="AL242" s="212" t="s">
        <v>389</v>
      </c>
      <c r="AM242" s="214" t="b">
        <v>1</v>
      </c>
      <c r="AN242" s="214" t="b">
        <v>0</v>
      </c>
      <c r="AO242" s="212" t="s">
        <v>320</v>
      </c>
      <c r="AP242" s="212" t="s">
        <v>321</v>
      </c>
      <c r="AQ242" s="214">
        <v>86.175359999999998</v>
      </c>
      <c r="AR242" s="214" t="b">
        <v>0</v>
      </c>
      <c r="AS242" s="212" t="s">
        <v>534</v>
      </c>
      <c r="AU242" s="222" t="s">
        <v>819</v>
      </c>
    </row>
    <row r="243" spans="1:47" s="263" customFormat="1" x14ac:dyDescent="0.25">
      <c r="A243" s="245">
        <f t="shared" si="31"/>
        <v>243</v>
      </c>
      <c r="B243" s="246" t="str">
        <f t="shared" si="24"/>
        <v>Oil Field - Tank</v>
      </c>
      <c r="C243" s="246" t="str">
        <f ca="1">IF(B243="","",VLOOKUP(D243,'Species Data'!B:E,4,FALSE))</f>
        <v>ethylhexane</v>
      </c>
      <c r="D243" s="246">
        <f t="shared" ca="1" si="25"/>
        <v>226</v>
      </c>
      <c r="E243" s="246">
        <f t="shared" ca="1" si="26"/>
        <v>0.1203</v>
      </c>
      <c r="F243" s="246" t="str">
        <f t="shared" ca="1" si="27"/>
        <v>3-ethylhexane</v>
      </c>
      <c r="G243" s="246">
        <f t="shared" ca="1" si="28"/>
        <v>114.22852</v>
      </c>
      <c r="H243" s="204" t="str">
        <f ca="1">IF(G243="","",IF(VLOOKUP(Tank!F243,'Species Data'!D:F,3,FALSE)=0,"X",IF(G243&lt;44.1,2,1)))</f>
        <v>X</v>
      </c>
      <c r="I243" s="204">
        <f t="shared" ca="1" si="29"/>
        <v>9.0107531698970997E-2</v>
      </c>
      <c r="J243" s="247">
        <f ca="1">IF(I243="","",IF(COUNTIF($D$12:D243,D243)=1,IF(H243=1,I243*H243,IF(H243="X","X",0)),0))</f>
        <v>0</v>
      </c>
      <c r="K243" s="248">
        <f t="shared" ca="1" si="30"/>
        <v>0</v>
      </c>
      <c r="L243" s="212" t="s">
        <v>679</v>
      </c>
      <c r="M243" s="212" t="s">
        <v>448</v>
      </c>
      <c r="N243" s="212" t="s">
        <v>470</v>
      </c>
      <c r="O243" s="213">
        <v>41419</v>
      </c>
      <c r="P243" s="212" t="s">
        <v>531</v>
      </c>
      <c r="Q243" s="214">
        <v>100</v>
      </c>
      <c r="R243" s="212" t="s">
        <v>445</v>
      </c>
      <c r="S243" s="212" t="s">
        <v>532</v>
      </c>
      <c r="T243" s="212" t="s">
        <v>445</v>
      </c>
      <c r="U243" s="212" t="s">
        <v>446</v>
      </c>
      <c r="V243" s="214" t="b">
        <v>1</v>
      </c>
      <c r="W243" s="214">
        <v>1989</v>
      </c>
      <c r="X243" s="214">
        <v>5</v>
      </c>
      <c r="Y243" s="214">
        <v>2</v>
      </c>
      <c r="Z243" s="214">
        <v>4</v>
      </c>
      <c r="AA243" s="212" t="s">
        <v>447</v>
      </c>
      <c r="AB243" s="212" t="s">
        <v>531</v>
      </c>
      <c r="AC243" s="212" t="s">
        <v>533</v>
      </c>
      <c r="AD243" s="214">
        <v>2.069318</v>
      </c>
      <c r="AE243" s="214">
        <v>226</v>
      </c>
      <c r="AF243" s="214">
        <v>0.1203</v>
      </c>
      <c r="AG243" s="214">
        <v>-99</v>
      </c>
      <c r="AH243" s="212" t="s">
        <v>224</v>
      </c>
      <c r="AI243" s="212" t="s">
        <v>449</v>
      </c>
      <c r="AJ243" s="212" t="s">
        <v>439</v>
      </c>
      <c r="AK243" s="212" t="s">
        <v>531</v>
      </c>
      <c r="AL243" s="212" t="s">
        <v>461</v>
      </c>
      <c r="AM243" s="214" t="b">
        <v>0</v>
      </c>
      <c r="AN243" s="214" t="b">
        <v>0</v>
      </c>
      <c r="AO243" s="212" t="s">
        <v>440</v>
      </c>
      <c r="AP243" s="212" t="s">
        <v>531</v>
      </c>
      <c r="AQ243" s="214">
        <v>114.22852</v>
      </c>
      <c r="AR243" s="214" t="b">
        <v>0</v>
      </c>
      <c r="AS243" s="212" t="s">
        <v>534</v>
      </c>
      <c r="AU243" s="222" t="s">
        <v>819</v>
      </c>
    </row>
    <row r="244" spans="1:47" s="263" customFormat="1" x14ac:dyDescent="0.25">
      <c r="A244" s="245">
        <f t="shared" si="31"/>
        <v>244</v>
      </c>
      <c r="B244" s="246" t="str">
        <f t="shared" si="24"/>
        <v>Oil Field - Tank</v>
      </c>
      <c r="C244" s="246" t="str">
        <f ca="1">IF(B244="","",VLOOKUP(D244,'Species Data'!B:E,4,FALSE))</f>
        <v>threemethex</v>
      </c>
      <c r="D244" s="246">
        <f t="shared" ca="1" si="25"/>
        <v>245</v>
      </c>
      <c r="E244" s="246">
        <f t="shared" ca="1" si="26"/>
        <v>0.46210000000000001</v>
      </c>
      <c r="F244" s="246" t="str">
        <f t="shared" ca="1" si="27"/>
        <v>3-methylhexane</v>
      </c>
      <c r="G244" s="246">
        <f t="shared" ca="1" si="28"/>
        <v>100.20194000000001</v>
      </c>
      <c r="H244" s="204">
        <f ca="1">IF(G244="","",IF(VLOOKUP(Tank!F244,'Species Data'!D:F,3,FALSE)=0,"X",IF(G244&lt;44.1,2,1)))</f>
        <v>1</v>
      </c>
      <c r="I244" s="204">
        <f t="shared" ca="1" si="29"/>
        <v>0.33724323753508045</v>
      </c>
      <c r="J244" s="247">
        <f ca="1">IF(I244="","",IF(COUNTIF($D$12:D244,D244)=1,IF(H244=1,I244*H244,IF(H244="X","X",0)),0))</f>
        <v>0</v>
      </c>
      <c r="K244" s="248">
        <f t="shared" ca="1" si="30"/>
        <v>0</v>
      </c>
      <c r="L244" s="212" t="s">
        <v>679</v>
      </c>
      <c r="M244" s="212" t="s">
        <v>448</v>
      </c>
      <c r="N244" s="212" t="s">
        <v>470</v>
      </c>
      <c r="O244" s="213">
        <v>41419</v>
      </c>
      <c r="P244" s="212" t="s">
        <v>531</v>
      </c>
      <c r="Q244" s="214">
        <v>100</v>
      </c>
      <c r="R244" s="212" t="s">
        <v>445</v>
      </c>
      <c r="S244" s="212" t="s">
        <v>532</v>
      </c>
      <c r="T244" s="212" t="s">
        <v>445</v>
      </c>
      <c r="U244" s="212" t="s">
        <v>446</v>
      </c>
      <c r="V244" s="214" t="b">
        <v>1</v>
      </c>
      <c r="W244" s="214">
        <v>1989</v>
      </c>
      <c r="X244" s="214">
        <v>5</v>
      </c>
      <c r="Y244" s="214">
        <v>2</v>
      </c>
      <c r="Z244" s="214">
        <v>4</v>
      </c>
      <c r="AA244" s="212" t="s">
        <v>447</v>
      </c>
      <c r="AB244" s="212" t="s">
        <v>531</v>
      </c>
      <c r="AC244" s="212" t="s">
        <v>533</v>
      </c>
      <c r="AD244" s="214">
        <v>2.069318</v>
      </c>
      <c r="AE244" s="214">
        <v>245</v>
      </c>
      <c r="AF244" s="214">
        <v>0.46210000000000001</v>
      </c>
      <c r="AG244" s="214">
        <v>-99</v>
      </c>
      <c r="AH244" s="212" t="s">
        <v>224</v>
      </c>
      <c r="AI244" s="212" t="s">
        <v>449</v>
      </c>
      <c r="AJ244" s="212" t="s">
        <v>325</v>
      </c>
      <c r="AK244" s="212" t="s">
        <v>531</v>
      </c>
      <c r="AL244" s="212" t="s">
        <v>390</v>
      </c>
      <c r="AM244" s="214" t="b">
        <v>1</v>
      </c>
      <c r="AN244" s="214" t="b">
        <v>0</v>
      </c>
      <c r="AO244" s="212" t="s">
        <v>326</v>
      </c>
      <c r="AP244" s="212" t="s">
        <v>327</v>
      </c>
      <c r="AQ244" s="214">
        <v>100.20194000000001</v>
      </c>
      <c r="AR244" s="214" t="b">
        <v>0</v>
      </c>
      <c r="AS244" s="212" t="s">
        <v>534</v>
      </c>
      <c r="AU244" s="222" t="s">
        <v>819</v>
      </c>
    </row>
    <row r="245" spans="1:47" s="262" customFormat="1" x14ac:dyDescent="0.25">
      <c r="A245" s="245">
        <f t="shared" si="31"/>
        <v>245</v>
      </c>
      <c r="B245" s="246" t="str">
        <f t="shared" si="24"/>
        <v>Oil Field - Tank</v>
      </c>
      <c r="C245" s="246" t="str">
        <f ca="1">IF(B245="","",VLOOKUP(D245,'Species Data'!B:E,4,FALSE))</f>
        <v>threemetpen</v>
      </c>
      <c r="D245" s="246">
        <f t="shared" ca="1" si="25"/>
        <v>248</v>
      </c>
      <c r="E245" s="246">
        <f t="shared" ca="1" si="26"/>
        <v>0.94769999999999999</v>
      </c>
      <c r="F245" s="246" t="str">
        <f t="shared" ca="1" si="27"/>
        <v>3-methylpentane</v>
      </c>
      <c r="G245" s="246">
        <f t="shared" ca="1" si="28"/>
        <v>86.175359999999998</v>
      </c>
      <c r="H245" s="204">
        <f ca="1">IF(G245="","",IF(VLOOKUP(Tank!F245,'Species Data'!D:F,3,FALSE)=0,"X",IF(G245&lt;44.1,2,1)))</f>
        <v>1</v>
      </c>
      <c r="I245" s="204">
        <f t="shared" ca="1" si="29"/>
        <v>0.72479362468546382</v>
      </c>
      <c r="J245" s="247">
        <f ca="1">IF(I245="","",IF(COUNTIF($D$12:D245,D245)=1,IF(H245=1,I245*H245,IF(H245="X","X",0)),0))</f>
        <v>0</v>
      </c>
      <c r="K245" s="248">
        <f t="shared" ca="1" si="30"/>
        <v>0</v>
      </c>
      <c r="L245" s="212" t="s">
        <v>679</v>
      </c>
      <c r="M245" s="212" t="s">
        <v>448</v>
      </c>
      <c r="N245" s="212" t="s">
        <v>470</v>
      </c>
      <c r="O245" s="213">
        <v>41419</v>
      </c>
      <c r="P245" s="212" t="s">
        <v>531</v>
      </c>
      <c r="Q245" s="214">
        <v>100</v>
      </c>
      <c r="R245" s="212" t="s">
        <v>445</v>
      </c>
      <c r="S245" s="212" t="s">
        <v>532</v>
      </c>
      <c r="T245" s="212" t="s">
        <v>445</v>
      </c>
      <c r="U245" s="212" t="s">
        <v>446</v>
      </c>
      <c r="V245" s="214" t="b">
        <v>1</v>
      </c>
      <c r="W245" s="214">
        <v>1989</v>
      </c>
      <c r="X245" s="214">
        <v>5</v>
      </c>
      <c r="Y245" s="214">
        <v>2</v>
      </c>
      <c r="Z245" s="214">
        <v>4</v>
      </c>
      <c r="AA245" s="212" t="s">
        <v>447</v>
      </c>
      <c r="AB245" s="212" t="s">
        <v>531</v>
      </c>
      <c r="AC245" s="212" t="s">
        <v>533</v>
      </c>
      <c r="AD245" s="214">
        <v>2.069318</v>
      </c>
      <c r="AE245" s="214">
        <v>248</v>
      </c>
      <c r="AF245" s="214">
        <v>0.94769999999999999</v>
      </c>
      <c r="AG245" s="214">
        <v>-99</v>
      </c>
      <c r="AH245" s="212" t="s">
        <v>224</v>
      </c>
      <c r="AI245" s="212" t="s">
        <v>449</v>
      </c>
      <c r="AJ245" s="212" t="s">
        <v>328</v>
      </c>
      <c r="AK245" s="212" t="s">
        <v>531</v>
      </c>
      <c r="AL245" s="212" t="s">
        <v>391</v>
      </c>
      <c r="AM245" s="214" t="b">
        <v>1</v>
      </c>
      <c r="AN245" s="214" t="b">
        <v>0</v>
      </c>
      <c r="AO245" s="212" t="s">
        <v>329</v>
      </c>
      <c r="AP245" s="212" t="s">
        <v>330</v>
      </c>
      <c r="AQ245" s="214">
        <v>86.175359999999998</v>
      </c>
      <c r="AR245" s="214" t="b">
        <v>0</v>
      </c>
      <c r="AS245" s="212" t="s">
        <v>534</v>
      </c>
      <c r="AU245" s="222" t="s">
        <v>819</v>
      </c>
    </row>
    <row r="246" spans="1:47" s="262" customFormat="1" x14ac:dyDescent="0.25">
      <c r="A246" s="245">
        <f t="shared" si="31"/>
        <v>246</v>
      </c>
      <c r="B246" s="246" t="str">
        <f t="shared" si="24"/>
        <v>Oil Field - Tank</v>
      </c>
      <c r="C246" s="246" t="str">
        <f ca="1">IF(B246="","",VLOOKUP(D246,'Species Data'!B:E,4,FALSE))</f>
        <v>benzene</v>
      </c>
      <c r="D246" s="246">
        <f t="shared" ca="1" si="25"/>
        <v>302</v>
      </c>
      <c r="E246" s="246">
        <f t="shared" ca="1" si="26"/>
        <v>8.72E-2</v>
      </c>
      <c r="F246" s="246" t="str">
        <f t="shared" ca="1" si="27"/>
        <v>Benzene</v>
      </c>
      <c r="G246" s="246">
        <f t="shared" ca="1" si="28"/>
        <v>78.111840000000001</v>
      </c>
      <c r="H246" s="204">
        <f ca="1">IF(G246="","",IF(VLOOKUP(Tank!F246,'Species Data'!D:F,3,FALSE)=0,"X",IF(G246&lt;44.1,2,1)))</f>
        <v>1</v>
      </c>
      <c r="I246" s="204">
        <f t="shared" ca="1" si="29"/>
        <v>0.24518902048126334</v>
      </c>
      <c r="J246" s="247">
        <f ca="1">IF(I246="","",IF(COUNTIF($D$12:D246,D246)=1,IF(H246=1,I246*H246,IF(H246="X","X",0)),0))</f>
        <v>0</v>
      </c>
      <c r="K246" s="248">
        <f t="shared" ca="1" si="30"/>
        <v>0</v>
      </c>
      <c r="L246" s="212" t="s">
        <v>679</v>
      </c>
      <c r="M246" s="212" t="s">
        <v>448</v>
      </c>
      <c r="N246" s="212" t="s">
        <v>470</v>
      </c>
      <c r="O246" s="213">
        <v>41419</v>
      </c>
      <c r="P246" s="212" t="s">
        <v>531</v>
      </c>
      <c r="Q246" s="214">
        <v>100</v>
      </c>
      <c r="R246" s="212" t="s">
        <v>445</v>
      </c>
      <c r="S246" s="212" t="s">
        <v>532</v>
      </c>
      <c r="T246" s="212" t="s">
        <v>445</v>
      </c>
      <c r="U246" s="212" t="s">
        <v>446</v>
      </c>
      <c r="V246" s="214" t="b">
        <v>1</v>
      </c>
      <c r="W246" s="214">
        <v>1989</v>
      </c>
      <c r="X246" s="214">
        <v>5</v>
      </c>
      <c r="Y246" s="214">
        <v>2</v>
      </c>
      <c r="Z246" s="214">
        <v>4</v>
      </c>
      <c r="AA246" s="212" t="s">
        <v>447</v>
      </c>
      <c r="AB246" s="212" t="s">
        <v>531</v>
      </c>
      <c r="AC246" s="212" t="s">
        <v>533</v>
      </c>
      <c r="AD246" s="214">
        <v>2.069318</v>
      </c>
      <c r="AE246" s="214">
        <v>302</v>
      </c>
      <c r="AF246" s="214">
        <v>8.72E-2</v>
      </c>
      <c r="AG246" s="214">
        <v>-99</v>
      </c>
      <c r="AH246" s="212" t="s">
        <v>224</v>
      </c>
      <c r="AI246" s="212" t="s">
        <v>449</v>
      </c>
      <c r="AJ246" s="212" t="s">
        <v>262</v>
      </c>
      <c r="AK246" s="212" t="s">
        <v>531</v>
      </c>
      <c r="AL246" s="212" t="s">
        <v>373</v>
      </c>
      <c r="AM246" s="214" t="b">
        <v>1</v>
      </c>
      <c r="AN246" s="214" t="b">
        <v>1</v>
      </c>
      <c r="AO246" s="212" t="s">
        <v>263</v>
      </c>
      <c r="AP246" s="212" t="s">
        <v>264</v>
      </c>
      <c r="AQ246" s="214">
        <v>78.111840000000001</v>
      </c>
      <c r="AR246" s="214" t="b">
        <v>0</v>
      </c>
      <c r="AS246" s="212" t="s">
        <v>534</v>
      </c>
      <c r="AU246" s="222" t="s">
        <v>819</v>
      </c>
    </row>
    <row r="247" spans="1:47" s="262" customFormat="1" x14ac:dyDescent="0.25">
      <c r="A247" s="245">
        <f t="shared" si="31"/>
        <v>247</v>
      </c>
      <c r="B247" s="246" t="str">
        <f t="shared" si="24"/>
        <v>Oil Field - Tank</v>
      </c>
      <c r="C247" s="246" t="str">
        <f ca="1">IF(B247="","",VLOOKUP(D247,'Species Data'!B:E,4,FALSE))</f>
        <v>cyclohexane</v>
      </c>
      <c r="D247" s="246">
        <f t="shared" ca="1" si="25"/>
        <v>385</v>
      </c>
      <c r="E247" s="246">
        <f t="shared" ca="1" si="26"/>
        <v>1.09E-2</v>
      </c>
      <c r="F247" s="246" t="str">
        <f t="shared" ca="1" si="27"/>
        <v>Cyclohexane</v>
      </c>
      <c r="G247" s="246">
        <f t="shared" ca="1" si="28"/>
        <v>84.159480000000002</v>
      </c>
      <c r="H247" s="204">
        <f ca="1">IF(G247="","",IF(VLOOKUP(Tank!F247,'Species Data'!D:F,3,FALSE)=0,"X",IF(G247&lt;44.1,2,1)))</f>
        <v>1</v>
      </c>
      <c r="I247" s="204">
        <f t="shared" ca="1" si="29"/>
        <v>1.8406843372363042E-2</v>
      </c>
      <c r="J247" s="247">
        <f ca="1">IF(I247="","",IF(COUNTIF($D$12:D247,D247)=1,IF(H247=1,I247*H247,IF(H247="X","X",0)),0))</f>
        <v>0</v>
      </c>
      <c r="K247" s="248">
        <f t="shared" ca="1" si="30"/>
        <v>0</v>
      </c>
      <c r="L247" s="212" t="s">
        <v>679</v>
      </c>
      <c r="M247" s="212" t="s">
        <v>448</v>
      </c>
      <c r="N247" s="212" t="s">
        <v>470</v>
      </c>
      <c r="O247" s="213">
        <v>41419</v>
      </c>
      <c r="P247" s="212" t="s">
        <v>531</v>
      </c>
      <c r="Q247" s="214">
        <v>100</v>
      </c>
      <c r="R247" s="212" t="s">
        <v>445</v>
      </c>
      <c r="S247" s="212" t="s">
        <v>532</v>
      </c>
      <c r="T247" s="212" t="s">
        <v>445</v>
      </c>
      <c r="U247" s="212" t="s">
        <v>446</v>
      </c>
      <c r="V247" s="214" t="b">
        <v>1</v>
      </c>
      <c r="W247" s="214">
        <v>1989</v>
      </c>
      <c r="X247" s="214">
        <v>5</v>
      </c>
      <c r="Y247" s="214">
        <v>2</v>
      </c>
      <c r="Z247" s="214">
        <v>4</v>
      </c>
      <c r="AA247" s="212" t="s">
        <v>447</v>
      </c>
      <c r="AB247" s="212" t="s">
        <v>531</v>
      </c>
      <c r="AC247" s="212" t="s">
        <v>533</v>
      </c>
      <c r="AD247" s="214">
        <v>2.069318</v>
      </c>
      <c r="AE247" s="214">
        <v>385</v>
      </c>
      <c r="AF247" s="214">
        <v>1.09E-2</v>
      </c>
      <c r="AG247" s="214">
        <v>-99</v>
      </c>
      <c r="AH247" s="212" t="s">
        <v>224</v>
      </c>
      <c r="AI247" s="212" t="s">
        <v>449</v>
      </c>
      <c r="AJ247" s="212" t="s">
        <v>331</v>
      </c>
      <c r="AK247" s="212" t="s">
        <v>531</v>
      </c>
      <c r="AL247" s="212" t="s">
        <v>392</v>
      </c>
      <c r="AM247" s="214" t="b">
        <v>1</v>
      </c>
      <c r="AN247" s="214" t="b">
        <v>0</v>
      </c>
      <c r="AO247" s="212" t="s">
        <v>332</v>
      </c>
      <c r="AP247" s="212" t="s">
        <v>333</v>
      </c>
      <c r="AQ247" s="214">
        <v>84.159480000000002</v>
      </c>
      <c r="AR247" s="214" t="b">
        <v>0</v>
      </c>
      <c r="AS247" s="212" t="s">
        <v>534</v>
      </c>
      <c r="AU247" s="222" t="s">
        <v>819</v>
      </c>
    </row>
    <row r="248" spans="1:47" s="262" customFormat="1" x14ac:dyDescent="0.25">
      <c r="A248" s="245">
        <f t="shared" si="31"/>
        <v>248</v>
      </c>
      <c r="B248" s="246" t="str">
        <f t="shared" si="24"/>
        <v>Oil Field - Tank</v>
      </c>
      <c r="C248" s="246" t="str">
        <f ca="1">IF(B248="","",VLOOKUP(D248,'Species Data'!B:E,4,FALSE))</f>
        <v>cyclopentane</v>
      </c>
      <c r="D248" s="246">
        <f t="shared" ca="1" si="25"/>
        <v>390</v>
      </c>
      <c r="E248" s="246">
        <f t="shared" ca="1" si="26"/>
        <v>0.18010000000000001</v>
      </c>
      <c r="F248" s="246" t="str">
        <f t="shared" ca="1" si="27"/>
        <v>Cyclopentane</v>
      </c>
      <c r="G248" s="246">
        <f t="shared" ca="1" si="28"/>
        <v>70.132900000000006</v>
      </c>
      <c r="H248" s="204">
        <f ca="1">IF(G248="","",IF(VLOOKUP(Tank!F248,'Species Data'!D:F,3,FALSE)=0,"X",IF(G248&lt;44.1,2,1)))</f>
        <v>1</v>
      </c>
      <c r="I248" s="204">
        <f t="shared" ca="1" si="29"/>
        <v>0.15432814821688956</v>
      </c>
      <c r="J248" s="247">
        <f ca="1">IF(I248="","",IF(COUNTIF($D$12:D248,D248)=1,IF(H248=1,I248*H248,IF(H248="X","X",0)),0))</f>
        <v>0</v>
      </c>
      <c r="K248" s="248">
        <f t="shared" ca="1" si="30"/>
        <v>0</v>
      </c>
      <c r="L248" s="212" t="s">
        <v>679</v>
      </c>
      <c r="M248" s="212" t="s">
        <v>448</v>
      </c>
      <c r="N248" s="212" t="s">
        <v>470</v>
      </c>
      <c r="O248" s="213">
        <v>41419</v>
      </c>
      <c r="P248" s="212" t="s">
        <v>531</v>
      </c>
      <c r="Q248" s="214">
        <v>100</v>
      </c>
      <c r="R248" s="212" t="s">
        <v>445</v>
      </c>
      <c r="S248" s="212" t="s">
        <v>532</v>
      </c>
      <c r="T248" s="212" t="s">
        <v>445</v>
      </c>
      <c r="U248" s="212" t="s">
        <v>446</v>
      </c>
      <c r="V248" s="214" t="b">
        <v>1</v>
      </c>
      <c r="W248" s="214">
        <v>1989</v>
      </c>
      <c r="X248" s="214">
        <v>5</v>
      </c>
      <c r="Y248" s="214">
        <v>2</v>
      </c>
      <c r="Z248" s="214">
        <v>4</v>
      </c>
      <c r="AA248" s="212" t="s">
        <v>447</v>
      </c>
      <c r="AB248" s="212" t="s">
        <v>531</v>
      </c>
      <c r="AC248" s="212" t="s">
        <v>533</v>
      </c>
      <c r="AD248" s="214">
        <v>2.069318</v>
      </c>
      <c r="AE248" s="214">
        <v>390</v>
      </c>
      <c r="AF248" s="214">
        <v>0.18010000000000001</v>
      </c>
      <c r="AG248" s="214">
        <v>-99</v>
      </c>
      <c r="AH248" s="212" t="s">
        <v>224</v>
      </c>
      <c r="AI248" s="212" t="s">
        <v>449</v>
      </c>
      <c r="AJ248" s="212" t="s">
        <v>334</v>
      </c>
      <c r="AK248" s="212" t="s">
        <v>531</v>
      </c>
      <c r="AL248" s="212" t="s">
        <v>393</v>
      </c>
      <c r="AM248" s="214" t="b">
        <v>1</v>
      </c>
      <c r="AN248" s="214" t="b">
        <v>0</v>
      </c>
      <c r="AO248" s="212" t="s">
        <v>335</v>
      </c>
      <c r="AP248" s="212" t="s">
        <v>336</v>
      </c>
      <c r="AQ248" s="214">
        <v>70.132900000000006</v>
      </c>
      <c r="AR248" s="214" t="b">
        <v>0</v>
      </c>
      <c r="AS248" s="212" t="s">
        <v>534</v>
      </c>
      <c r="AU248" s="222" t="s">
        <v>819</v>
      </c>
    </row>
    <row r="249" spans="1:47" s="262" customFormat="1" x14ac:dyDescent="0.25">
      <c r="A249" s="245">
        <f t="shared" si="31"/>
        <v>249</v>
      </c>
      <c r="B249" s="246" t="str">
        <f t="shared" si="24"/>
        <v>Oil Field - Tank</v>
      </c>
      <c r="C249" s="246" t="str">
        <f ca="1">IF(B249="","",VLOOKUP(D249,'Species Data'!B:E,4,FALSE))</f>
        <v>ethane</v>
      </c>
      <c r="D249" s="246">
        <f t="shared" ca="1" si="25"/>
        <v>438</v>
      </c>
      <c r="E249" s="246">
        <f t="shared" ca="1" si="26"/>
        <v>6.8113000000000001</v>
      </c>
      <c r="F249" s="246" t="str">
        <f t="shared" ca="1" si="27"/>
        <v>Ethane</v>
      </c>
      <c r="G249" s="246">
        <f t="shared" ca="1" si="28"/>
        <v>30.069040000000005</v>
      </c>
      <c r="H249" s="204">
        <f ca="1">IF(G249="","",IF(VLOOKUP(Tank!F249,'Species Data'!D:F,3,FALSE)=0,"X",IF(G249&lt;44.1,2,1)))</f>
        <v>2</v>
      </c>
      <c r="I249" s="204">
        <f t="shared" ca="1" si="29"/>
        <v>5.717421553913586</v>
      </c>
      <c r="J249" s="247">
        <f ca="1">IF(I249="","",IF(COUNTIF($D$12:D249,D249)=1,IF(H249=1,I249*H249,IF(H249="X","X",0)),0))</f>
        <v>0</v>
      </c>
      <c r="K249" s="248">
        <f t="shared" ca="1" si="30"/>
        <v>0</v>
      </c>
      <c r="L249" s="212" t="s">
        <v>679</v>
      </c>
      <c r="M249" s="212" t="s">
        <v>448</v>
      </c>
      <c r="N249" s="212" t="s">
        <v>470</v>
      </c>
      <c r="O249" s="213">
        <v>41419</v>
      </c>
      <c r="P249" s="212" t="s">
        <v>531</v>
      </c>
      <c r="Q249" s="214">
        <v>100</v>
      </c>
      <c r="R249" s="212" t="s">
        <v>445</v>
      </c>
      <c r="S249" s="212" t="s">
        <v>532</v>
      </c>
      <c r="T249" s="212" t="s">
        <v>445</v>
      </c>
      <c r="U249" s="212" t="s">
        <v>446</v>
      </c>
      <c r="V249" s="214" t="b">
        <v>1</v>
      </c>
      <c r="W249" s="214">
        <v>1989</v>
      </c>
      <c r="X249" s="214">
        <v>5</v>
      </c>
      <c r="Y249" s="214">
        <v>2</v>
      </c>
      <c r="Z249" s="214">
        <v>4</v>
      </c>
      <c r="AA249" s="212" t="s">
        <v>447</v>
      </c>
      <c r="AB249" s="212" t="s">
        <v>531</v>
      </c>
      <c r="AC249" s="212" t="s">
        <v>533</v>
      </c>
      <c r="AD249" s="214">
        <v>2.069318</v>
      </c>
      <c r="AE249" s="214">
        <v>438</v>
      </c>
      <c r="AF249" s="214">
        <v>6.8113000000000001</v>
      </c>
      <c r="AG249" s="214">
        <v>-99</v>
      </c>
      <c r="AH249" s="212" t="s">
        <v>224</v>
      </c>
      <c r="AI249" s="212" t="s">
        <v>449</v>
      </c>
      <c r="AJ249" s="212" t="s">
        <v>265</v>
      </c>
      <c r="AK249" s="212" t="s">
        <v>531</v>
      </c>
      <c r="AL249" s="212" t="s">
        <v>374</v>
      </c>
      <c r="AM249" s="214" t="b">
        <v>1</v>
      </c>
      <c r="AN249" s="214" t="b">
        <v>0</v>
      </c>
      <c r="AO249" s="212" t="s">
        <v>266</v>
      </c>
      <c r="AP249" s="212" t="s">
        <v>267</v>
      </c>
      <c r="AQ249" s="214">
        <v>30.069040000000005</v>
      </c>
      <c r="AR249" s="214" t="b">
        <v>1</v>
      </c>
      <c r="AS249" s="212" t="s">
        <v>534</v>
      </c>
      <c r="AU249" s="222" t="s">
        <v>819</v>
      </c>
    </row>
    <row r="250" spans="1:47" s="262" customFormat="1" x14ac:dyDescent="0.25">
      <c r="A250" s="245">
        <f t="shared" si="31"/>
        <v>250</v>
      </c>
      <c r="B250" s="246" t="str">
        <f t="shared" si="24"/>
        <v>Oil Field - Tank</v>
      </c>
      <c r="C250" s="246" t="str">
        <f ca="1">IF(B250="","",VLOOKUP(D250,'Species Data'!B:E,4,FALSE))</f>
        <v>ethyl_benz</v>
      </c>
      <c r="D250" s="246">
        <f t="shared" ca="1" si="25"/>
        <v>449</v>
      </c>
      <c r="E250" s="246">
        <f t="shared" ca="1" si="26"/>
        <v>0.15529999999999999</v>
      </c>
      <c r="F250" s="246" t="str">
        <f t="shared" ca="1" si="27"/>
        <v>Ethylbenzene</v>
      </c>
      <c r="G250" s="246">
        <f t="shared" ca="1" si="28"/>
        <v>106.16500000000001</v>
      </c>
      <c r="H250" s="204">
        <f ca="1">IF(G250="","",IF(VLOOKUP(Tank!F250,'Species Data'!D:F,3,FALSE)=0,"X",IF(G250&lt;44.1,2,1)))</f>
        <v>1</v>
      </c>
      <c r="I250" s="204">
        <f t="shared" ca="1" si="29"/>
        <v>0.12062115796311647</v>
      </c>
      <c r="J250" s="247">
        <f ca="1">IF(I250="","",IF(COUNTIF($D$12:D250,D250)=1,IF(H250=1,I250*H250,IF(H250="X","X",0)),0))</f>
        <v>0</v>
      </c>
      <c r="K250" s="248">
        <f t="shared" ca="1" si="30"/>
        <v>0</v>
      </c>
      <c r="L250" s="212" t="s">
        <v>679</v>
      </c>
      <c r="M250" s="212" t="s">
        <v>448</v>
      </c>
      <c r="N250" s="212" t="s">
        <v>470</v>
      </c>
      <c r="O250" s="213">
        <v>41419</v>
      </c>
      <c r="P250" s="212" t="s">
        <v>531</v>
      </c>
      <c r="Q250" s="214">
        <v>100</v>
      </c>
      <c r="R250" s="212" t="s">
        <v>445</v>
      </c>
      <c r="S250" s="212" t="s">
        <v>532</v>
      </c>
      <c r="T250" s="212" t="s">
        <v>445</v>
      </c>
      <c r="U250" s="212" t="s">
        <v>446</v>
      </c>
      <c r="V250" s="214" t="b">
        <v>1</v>
      </c>
      <c r="W250" s="214">
        <v>1989</v>
      </c>
      <c r="X250" s="214">
        <v>5</v>
      </c>
      <c r="Y250" s="214">
        <v>2</v>
      </c>
      <c r="Z250" s="214">
        <v>4</v>
      </c>
      <c r="AA250" s="212" t="s">
        <v>447</v>
      </c>
      <c r="AB250" s="212" t="s">
        <v>531</v>
      </c>
      <c r="AC250" s="212" t="s">
        <v>533</v>
      </c>
      <c r="AD250" s="214">
        <v>2.069318</v>
      </c>
      <c r="AE250" s="214">
        <v>449</v>
      </c>
      <c r="AF250" s="214">
        <v>0.15529999999999999</v>
      </c>
      <c r="AG250" s="214">
        <v>-99</v>
      </c>
      <c r="AH250" s="212" t="s">
        <v>224</v>
      </c>
      <c r="AI250" s="212" t="s">
        <v>449</v>
      </c>
      <c r="AJ250" s="212" t="s">
        <v>337</v>
      </c>
      <c r="AK250" s="212" t="s">
        <v>531</v>
      </c>
      <c r="AL250" s="212" t="s">
        <v>394</v>
      </c>
      <c r="AM250" s="214" t="b">
        <v>1</v>
      </c>
      <c r="AN250" s="214" t="b">
        <v>1</v>
      </c>
      <c r="AO250" s="212" t="s">
        <v>338</v>
      </c>
      <c r="AP250" s="212" t="s">
        <v>339</v>
      </c>
      <c r="AQ250" s="214">
        <v>106.16500000000001</v>
      </c>
      <c r="AR250" s="214" t="b">
        <v>0</v>
      </c>
      <c r="AS250" s="212" t="s">
        <v>534</v>
      </c>
      <c r="AU250" s="222" t="s">
        <v>819</v>
      </c>
    </row>
    <row r="251" spans="1:47" s="262" customFormat="1" x14ac:dyDescent="0.25">
      <c r="A251" s="245">
        <f t="shared" si="31"/>
        <v>251</v>
      </c>
      <c r="B251" s="246" t="str">
        <f t="shared" si="24"/>
        <v>Oil Field - Tank</v>
      </c>
      <c r="C251" s="246" t="str">
        <f ca="1">IF(B251="","",VLOOKUP(D251,'Species Data'!B:E,4,FALSE))</f>
        <v>isobut</v>
      </c>
      <c r="D251" s="246">
        <f t="shared" ca="1" si="25"/>
        <v>491</v>
      </c>
      <c r="E251" s="246">
        <f t="shared" ca="1" si="26"/>
        <v>2.5030999999999999</v>
      </c>
      <c r="F251" s="246" t="str">
        <f t="shared" ca="1" si="27"/>
        <v>Isobutane</v>
      </c>
      <c r="G251" s="246">
        <f t="shared" ca="1" si="28"/>
        <v>58.122199999999992</v>
      </c>
      <c r="H251" s="204">
        <f ca="1">IF(G251="","",IF(VLOOKUP(Tank!F251,'Species Data'!D:F,3,FALSE)=0,"X",IF(G251&lt;44.1,2,1)))</f>
        <v>1</v>
      </c>
      <c r="I251" s="204">
        <f t="shared" ca="1" si="29"/>
        <v>3.2562712602040991</v>
      </c>
      <c r="J251" s="247">
        <f ca="1">IF(I251="","",IF(COUNTIF($D$12:D251,D251)=1,IF(H251=1,I251*H251,IF(H251="X","X",0)),0))</f>
        <v>0</v>
      </c>
      <c r="K251" s="248">
        <f t="shared" ca="1" si="30"/>
        <v>0</v>
      </c>
      <c r="L251" s="212" t="s">
        <v>679</v>
      </c>
      <c r="M251" s="212" t="s">
        <v>448</v>
      </c>
      <c r="N251" s="212" t="s">
        <v>470</v>
      </c>
      <c r="O251" s="213">
        <v>41419</v>
      </c>
      <c r="P251" s="212" t="s">
        <v>531</v>
      </c>
      <c r="Q251" s="214">
        <v>100</v>
      </c>
      <c r="R251" s="212" t="s">
        <v>445</v>
      </c>
      <c r="S251" s="212" t="s">
        <v>532</v>
      </c>
      <c r="T251" s="212" t="s">
        <v>445</v>
      </c>
      <c r="U251" s="212" t="s">
        <v>446</v>
      </c>
      <c r="V251" s="214" t="b">
        <v>1</v>
      </c>
      <c r="W251" s="214">
        <v>1989</v>
      </c>
      <c r="X251" s="214">
        <v>5</v>
      </c>
      <c r="Y251" s="214">
        <v>2</v>
      </c>
      <c r="Z251" s="214">
        <v>4</v>
      </c>
      <c r="AA251" s="212" t="s">
        <v>447</v>
      </c>
      <c r="AB251" s="212" t="s">
        <v>531</v>
      </c>
      <c r="AC251" s="212" t="s">
        <v>533</v>
      </c>
      <c r="AD251" s="214">
        <v>2.069318</v>
      </c>
      <c r="AE251" s="214">
        <v>491</v>
      </c>
      <c r="AF251" s="214">
        <v>2.5030999999999999</v>
      </c>
      <c r="AG251" s="214">
        <v>-99</v>
      </c>
      <c r="AH251" s="212" t="s">
        <v>224</v>
      </c>
      <c r="AI251" s="212" t="s">
        <v>449</v>
      </c>
      <c r="AJ251" s="212" t="s">
        <v>268</v>
      </c>
      <c r="AK251" s="212" t="s">
        <v>531</v>
      </c>
      <c r="AL251" s="212" t="s">
        <v>375</v>
      </c>
      <c r="AM251" s="214" t="b">
        <v>1</v>
      </c>
      <c r="AN251" s="214" t="b">
        <v>0</v>
      </c>
      <c r="AO251" s="212" t="s">
        <v>269</v>
      </c>
      <c r="AP251" s="212" t="s">
        <v>270</v>
      </c>
      <c r="AQ251" s="214">
        <v>58.122199999999992</v>
      </c>
      <c r="AR251" s="214" t="b">
        <v>0</v>
      </c>
      <c r="AS251" s="212" t="s">
        <v>534</v>
      </c>
      <c r="AU251" s="222" t="s">
        <v>819</v>
      </c>
    </row>
    <row r="252" spans="1:47" s="262" customFormat="1" x14ac:dyDescent="0.25">
      <c r="A252" s="245">
        <f t="shared" si="31"/>
        <v>252</v>
      </c>
      <c r="B252" s="246" t="str">
        <f t="shared" si="24"/>
        <v>Oil Field - Tank</v>
      </c>
      <c r="C252" s="246" t="str">
        <f ca="1">IF(B252="","",VLOOKUP(D252,'Species Data'!B:E,4,FALSE))</f>
        <v>i_but</v>
      </c>
      <c r="D252" s="246">
        <f t="shared" ca="1" si="25"/>
        <v>499</v>
      </c>
      <c r="E252" s="246">
        <f t="shared" ca="1" si="26"/>
        <v>4.4999999999999997E-3</v>
      </c>
      <c r="F252" s="246" t="str">
        <f t="shared" ca="1" si="27"/>
        <v>Isomers of butylbenzene</v>
      </c>
      <c r="G252" s="246">
        <f t="shared" ca="1" si="28"/>
        <v>134.21816000000001</v>
      </c>
      <c r="H252" s="204">
        <f ca="1">IF(G252="","",IF(VLOOKUP(Tank!F252,'Species Data'!D:F,3,FALSE)=0,"X",IF(G252&lt;44.1,2,1)))</f>
        <v>1</v>
      </c>
      <c r="I252" s="204">
        <f t="shared" ca="1" si="29"/>
        <v>1.7466834348276415E-3</v>
      </c>
      <c r="J252" s="247">
        <f ca="1">IF(I252="","",IF(COUNTIF($D$12:D252,D252)=1,IF(H252=1,I252*H252,IF(H252="X","X",0)),0))</f>
        <v>0</v>
      </c>
      <c r="K252" s="248">
        <f t="shared" ca="1" si="30"/>
        <v>0</v>
      </c>
      <c r="L252" s="212" t="s">
        <v>679</v>
      </c>
      <c r="M252" s="212" t="s">
        <v>448</v>
      </c>
      <c r="N252" s="212" t="s">
        <v>470</v>
      </c>
      <c r="O252" s="213">
        <v>41419</v>
      </c>
      <c r="P252" s="212" t="s">
        <v>531</v>
      </c>
      <c r="Q252" s="214">
        <v>100</v>
      </c>
      <c r="R252" s="212" t="s">
        <v>445</v>
      </c>
      <c r="S252" s="212" t="s">
        <v>532</v>
      </c>
      <c r="T252" s="212" t="s">
        <v>445</v>
      </c>
      <c r="U252" s="212" t="s">
        <v>446</v>
      </c>
      <c r="V252" s="214" t="b">
        <v>1</v>
      </c>
      <c r="W252" s="214">
        <v>1989</v>
      </c>
      <c r="X252" s="214">
        <v>5</v>
      </c>
      <c r="Y252" s="214">
        <v>2</v>
      </c>
      <c r="Z252" s="214">
        <v>4</v>
      </c>
      <c r="AA252" s="212" t="s">
        <v>447</v>
      </c>
      <c r="AB252" s="212" t="s">
        <v>531</v>
      </c>
      <c r="AC252" s="212" t="s">
        <v>533</v>
      </c>
      <c r="AD252" s="214">
        <v>2.069318</v>
      </c>
      <c r="AE252" s="214">
        <v>499</v>
      </c>
      <c r="AF252" s="214">
        <v>4.4999999999999997E-3</v>
      </c>
      <c r="AG252" s="214">
        <v>-99</v>
      </c>
      <c r="AH252" s="212" t="s">
        <v>224</v>
      </c>
      <c r="AI252" s="212" t="s">
        <v>449</v>
      </c>
      <c r="AJ252" s="212" t="s">
        <v>531</v>
      </c>
      <c r="AK252" s="212" t="s">
        <v>642</v>
      </c>
      <c r="AL252" s="212" t="s">
        <v>643</v>
      </c>
      <c r="AM252" s="214" t="b">
        <v>0</v>
      </c>
      <c r="AN252" s="214" t="b">
        <v>0</v>
      </c>
      <c r="AO252" s="212" t="s">
        <v>644</v>
      </c>
      <c r="AP252" s="212" t="s">
        <v>531</v>
      </c>
      <c r="AQ252" s="214">
        <v>134.21816000000001</v>
      </c>
      <c r="AR252" s="214" t="b">
        <v>0</v>
      </c>
      <c r="AS252" s="212" t="s">
        <v>534</v>
      </c>
      <c r="AU252" s="222" t="s">
        <v>819</v>
      </c>
    </row>
    <row r="253" spans="1:47" s="262" customFormat="1" x14ac:dyDescent="0.25">
      <c r="A253" s="245">
        <f t="shared" si="31"/>
        <v>253</v>
      </c>
      <c r="B253" s="246" t="str">
        <f t="shared" si="24"/>
        <v>Oil Field - Tank</v>
      </c>
      <c r="C253" s="246" t="str">
        <f ca="1">IF(B253="","",VLOOKUP(D253,'Species Data'!B:E,4,FALSE))</f>
        <v>isopentane</v>
      </c>
      <c r="D253" s="246">
        <f t="shared" ca="1" si="25"/>
        <v>508</v>
      </c>
      <c r="E253" s="246">
        <f t="shared" ca="1" si="26"/>
        <v>3.5108999999999999</v>
      </c>
      <c r="F253" s="246" t="str">
        <f t="shared" ca="1" si="27"/>
        <v>Isopentane (2-Methylbutane)</v>
      </c>
      <c r="G253" s="246">
        <f t="shared" ca="1" si="28"/>
        <v>72.148780000000002</v>
      </c>
      <c r="H253" s="204">
        <f ca="1">IF(G253="","",IF(VLOOKUP(Tank!F253,'Species Data'!D:F,3,FALSE)=0,"X",IF(G253&lt;44.1,2,1)))</f>
        <v>1</v>
      </c>
      <c r="I253" s="204">
        <f t="shared" ca="1" si="29"/>
        <v>3.397999287459827</v>
      </c>
      <c r="J253" s="247">
        <f ca="1">IF(I253="","",IF(COUNTIF($D$12:D253,D253)=1,IF(H253=1,I253*H253,IF(H253="X","X",0)),0))</f>
        <v>0</v>
      </c>
      <c r="K253" s="248">
        <f t="shared" ca="1" si="30"/>
        <v>0</v>
      </c>
      <c r="L253" s="212" t="s">
        <v>679</v>
      </c>
      <c r="M253" s="212" t="s">
        <v>448</v>
      </c>
      <c r="N253" s="212" t="s">
        <v>470</v>
      </c>
      <c r="O253" s="213">
        <v>41419</v>
      </c>
      <c r="P253" s="212" t="s">
        <v>531</v>
      </c>
      <c r="Q253" s="214">
        <v>100</v>
      </c>
      <c r="R253" s="212" t="s">
        <v>445</v>
      </c>
      <c r="S253" s="212" t="s">
        <v>532</v>
      </c>
      <c r="T253" s="212" t="s">
        <v>445</v>
      </c>
      <c r="U253" s="212" t="s">
        <v>446</v>
      </c>
      <c r="V253" s="214" t="b">
        <v>1</v>
      </c>
      <c r="W253" s="214">
        <v>1989</v>
      </c>
      <c r="X253" s="214">
        <v>5</v>
      </c>
      <c r="Y253" s="214">
        <v>2</v>
      </c>
      <c r="Z253" s="214">
        <v>4</v>
      </c>
      <c r="AA253" s="212" t="s">
        <v>447</v>
      </c>
      <c r="AB253" s="212" t="s">
        <v>531</v>
      </c>
      <c r="AC253" s="212" t="s">
        <v>533</v>
      </c>
      <c r="AD253" s="214">
        <v>2.069318</v>
      </c>
      <c r="AE253" s="214">
        <v>508</v>
      </c>
      <c r="AF253" s="214">
        <v>3.5108999999999999</v>
      </c>
      <c r="AG253" s="214">
        <v>-99</v>
      </c>
      <c r="AH253" s="212" t="s">
        <v>224</v>
      </c>
      <c r="AI253" s="212" t="s">
        <v>449</v>
      </c>
      <c r="AJ253" s="212" t="s">
        <v>342</v>
      </c>
      <c r="AK253" s="212" t="s">
        <v>531</v>
      </c>
      <c r="AL253" s="212" t="s">
        <v>395</v>
      </c>
      <c r="AM253" s="214" t="b">
        <v>1</v>
      </c>
      <c r="AN253" s="214" t="b">
        <v>0</v>
      </c>
      <c r="AO253" s="212" t="s">
        <v>343</v>
      </c>
      <c r="AP253" s="212" t="s">
        <v>344</v>
      </c>
      <c r="AQ253" s="214">
        <v>72.148780000000002</v>
      </c>
      <c r="AR253" s="214" t="b">
        <v>0</v>
      </c>
      <c r="AS253" s="212" t="s">
        <v>534</v>
      </c>
      <c r="AU253" s="222" t="s">
        <v>819</v>
      </c>
    </row>
    <row r="254" spans="1:47" s="262" customFormat="1" x14ac:dyDescent="0.25">
      <c r="A254" s="245">
        <f t="shared" si="31"/>
        <v>254</v>
      </c>
      <c r="B254" s="246" t="str">
        <f t="shared" si="24"/>
        <v>Oil Field - Tank</v>
      </c>
      <c r="C254" s="246" t="str">
        <f ca="1">IF(B254="","",VLOOKUP(D254,'Species Data'!B:E,4,FALSE))</f>
        <v>isopben</v>
      </c>
      <c r="D254" s="246">
        <f t="shared" ca="1" si="25"/>
        <v>514</v>
      </c>
      <c r="E254" s="246">
        <f t="shared" ca="1" si="26"/>
        <v>3.3999999999999998E-3</v>
      </c>
      <c r="F254" s="246" t="str">
        <f t="shared" ca="1" si="27"/>
        <v>Isopropylbenzene (cumene)</v>
      </c>
      <c r="G254" s="246">
        <f t="shared" ca="1" si="28"/>
        <v>120.19158</v>
      </c>
      <c r="H254" s="204">
        <f ca="1">IF(G254="","",IF(VLOOKUP(Tank!F254,'Species Data'!D:F,3,FALSE)=0,"X",IF(G254&lt;44.1,2,1)))</f>
        <v>1</v>
      </c>
      <c r="I254" s="204">
        <f t="shared" ca="1" si="29"/>
        <v>4.0067051310359253E-3</v>
      </c>
      <c r="J254" s="247">
        <f ca="1">IF(I254="","",IF(COUNTIF($D$12:D254,D254)=1,IF(H254=1,I254*H254,IF(H254="X","X",0)),0))</f>
        <v>0</v>
      </c>
      <c r="K254" s="248">
        <f t="shared" ca="1" si="30"/>
        <v>0</v>
      </c>
      <c r="L254" s="212" t="s">
        <v>679</v>
      </c>
      <c r="M254" s="212" t="s">
        <v>448</v>
      </c>
      <c r="N254" s="212" t="s">
        <v>470</v>
      </c>
      <c r="O254" s="213">
        <v>41419</v>
      </c>
      <c r="P254" s="212" t="s">
        <v>531</v>
      </c>
      <c r="Q254" s="214">
        <v>100</v>
      </c>
      <c r="R254" s="212" t="s">
        <v>445</v>
      </c>
      <c r="S254" s="212" t="s">
        <v>532</v>
      </c>
      <c r="T254" s="212" t="s">
        <v>445</v>
      </c>
      <c r="U254" s="212" t="s">
        <v>446</v>
      </c>
      <c r="V254" s="214" t="b">
        <v>1</v>
      </c>
      <c r="W254" s="214">
        <v>1989</v>
      </c>
      <c r="X254" s="214">
        <v>5</v>
      </c>
      <c r="Y254" s="214">
        <v>2</v>
      </c>
      <c r="Z254" s="214">
        <v>4</v>
      </c>
      <c r="AA254" s="212" t="s">
        <v>447</v>
      </c>
      <c r="AB254" s="212" t="s">
        <v>531</v>
      </c>
      <c r="AC254" s="212" t="s">
        <v>533</v>
      </c>
      <c r="AD254" s="214">
        <v>2.069318</v>
      </c>
      <c r="AE254" s="214">
        <v>514</v>
      </c>
      <c r="AF254" s="214">
        <v>3.3999999999999998E-3</v>
      </c>
      <c r="AG254" s="214">
        <v>-99</v>
      </c>
      <c r="AH254" s="212" t="s">
        <v>224</v>
      </c>
      <c r="AI254" s="212" t="s">
        <v>449</v>
      </c>
      <c r="AJ254" s="212" t="s">
        <v>362</v>
      </c>
      <c r="AK254" s="212" t="s">
        <v>531</v>
      </c>
      <c r="AL254" s="212" t="s">
        <v>399</v>
      </c>
      <c r="AM254" s="214" t="b">
        <v>1</v>
      </c>
      <c r="AN254" s="214" t="b">
        <v>1</v>
      </c>
      <c r="AO254" s="212" t="s">
        <v>363</v>
      </c>
      <c r="AP254" s="212" t="s">
        <v>364</v>
      </c>
      <c r="AQ254" s="214">
        <v>120.19158</v>
      </c>
      <c r="AR254" s="214" t="b">
        <v>0</v>
      </c>
      <c r="AS254" s="212" t="s">
        <v>534</v>
      </c>
      <c r="AU254" s="222" t="s">
        <v>819</v>
      </c>
    </row>
    <row r="255" spans="1:47" s="262" customFormat="1" x14ac:dyDescent="0.25">
      <c r="A255" s="245">
        <f t="shared" si="31"/>
        <v>255</v>
      </c>
      <c r="B255" s="246" t="str">
        <f t="shared" si="24"/>
        <v>Oil Field - Tank</v>
      </c>
      <c r="C255" s="246" t="str">
        <f ca="1">IF(B255="","",VLOOKUP(D255,'Species Data'!B:E,4,FALSE))</f>
        <v>M_xylene</v>
      </c>
      <c r="D255" s="246">
        <f t="shared" ca="1" si="25"/>
        <v>524</v>
      </c>
      <c r="E255" s="246">
        <f t="shared" ca="1" si="26"/>
        <v>7.6499999999999999E-2</v>
      </c>
      <c r="F255" s="246" t="str">
        <f t="shared" ca="1" si="27"/>
        <v>M-xylene</v>
      </c>
      <c r="G255" s="246">
        <f t="shared" ca="1" si="28"/>
        <v>106.16500000000001</v>
      </c>
      <c r="H255" s="204">
        <f ca="1">IF(G255="","",IF(VLOOKUP(Tank!F255,'Species Data'!D:F,3,FALSE)=0,"X",IF(G255&lt;44.1,2,1)))</f>
        <v>1</v>
      </c>
      <c r="I255" s="204">
        <f t="shared" ca="1" si="29"/>
        <v>7.6727403249737883E-2</v>
      </c>
      <c r="J255" s="247">
        <f ca="1">IF(I255="","",IF(COUNTIF($D$12:D255,D255)=1,IF(H255=1,I255*H255,IF(H255="X","X",0)),0))</f>
        <v>0</v>
      </c>
      <c r="K255" s="248">
        <f t="shared" ca="1" si="30"/>
        <v>0</v>
      </c>
      <c r="L255" s="212" t="s">
        <v>679</v>
      </c>
      <c r="M255" s="212" t="s">
        <v>448</v>
      </c>
      <c r="N255" s="212" t="s">
        <v>470</v>
      </c>
      <c r="O255" s="213">
        <v>41419</v>
      </c>
      <c r="P255" s="212" t="s">
        <v>531</v>
      </c>
      <c r="Q255" s="214">
        <v>100</v>
      </c>
      <c r="R255" s="212" t="s">
        <v>445</v>
      </c>
      <c r="S255" s="212" t="s">
        <v>532</v>
      </c>
      <c r="T255" s="212" t="s">
        <v>445</v>
      </c>
      <c r="U255" s="212" t="s">
        <v>446</v>
      </c>
      <c r="V255" s="214" t="b">
        <v>1</v>
      </c>
      <c r="W255" s="214">
        <v>1989</v>
      </c>
      <c r="X255" s="214">
        <v>5</v>
      </c>
      <c r="Y255" s="214">
        <v>2</v>
      </c>
      <c r="Z255" s="214">
        <v>4</v>
      </c>
      <c r="AA255" s="212" t="s">
        <v>447</v>
      </c>
      <c r="AB255" s="212" t="s">
        <v>531</v>
      </c>
      <c r="AC255" s="212" t="s">
        <v>533</v>
      </c>
      <c r="AD255" s="214">
        <v>2.069318</v>
      </c>
      <c r="AE255" s="214">
        <v>524</v>
      </c>
      <c r="AF255" s="214">
        <v>7.6499999999999999E-2</v>
      </c>
      <c r="AG255" s="214">
        <v>-99</v>
      </c>
      <c r="AH255" s="212" t="s">
        <v>224</v>
      </c>
      <c r="AI255" s="212" t="s">
        <v>449</v>
      </c>
      <c r="AJ255" s="212" t="s">
        <v>436</v>
      </c>
      <c r="AK255" s="212" t="s">
        <v>531</v>
      </c>
      <c r="AL255" s="212" t="s">
        <v>460</v>
      </c>
      <c r="AM255" s="214" t="b">
        <v>0</v>
      </c>
      <c r="AN255" s="214" t="b">
        <v>1</v>
      </c>
      <c r="AO255" s="212" t="s">
        <v>437</v>
      </c>
      <c r="AP255" s="212" t="s">
        <v>438</v>
      </c>
      <c r="AQ255" s="214">
        <v>106.16500000000001</v>
      </c>
      <c r="AR255" s="214" t="b">
        <v>0</v>
      </c>
      <c r="AS255" s="212" t="s">
        <v>534</v>
      </c>
      <c r="AU255" s="222" t="s">
        <v>819</v>
      </c>
    </row>
    <row r="256" spans="1:47" s="262" customFormat="1" x14ac:dyDescent="0.25">
      <c r="A256" s="245">
        <f t="shared" si="31"/>
        <v>256</v>
      </c>
      <c r="B256" s="246" t="str">
        <f t="shared" si="24"/>
        <v>Oil Field - Tank</v>
      </c>
      <c r="C256" s="246" t="str">
        <f ca="1">IF(B256="","",VLOOKUP(D256,'Species Data'!B:E,4,FALSE))</f>
        <v>methane</v>
      </c>
      <c r="D256" s="246">
        <f t="shared" ca="1" si="25"/>
        <v>529</v>
      </c>
      <c r="E256" s="246">
        <f t="shared" ca="1" si="26"/>
        <v>44.863599999999998</v>
      </c>
      <c r="F256" s="246" t="str">
        <f t="shared" ca="1" si="27"/>
        <v>Methane</v>
      </c>
      <c r="G256" s="246">
        <f t="shared" ca="1" si="28"/>
        <v>16.042459999999998</v>
      </c>
      <c r="H256" s="204">
        <f ca="1">IF(G256="","",IF(VLOOKUP(Tank!F256,'Species Data'!D:F,3,FALSE)=0,"X",IF(G256&lt;44.1,2,1)))</f>
        <v>2</v>
      </c>
      <c r="I256" s="204">
        <f t="shared" ca="1" si="29"/>
        <v>44.518760713436194</v>
      </c>
      <c r="J256" s="247">
        <f ca="1">IF(I256="","",IF(COUNTIF($D$12:D256,D256)=1,IF(H256=1,I256*H256,IF(H256="X","X",0)),0))</f>
        <v>0</v>
      </c>
      <c r="K256" s="248">
        <f t="shared" ca="1" si="30"/>
        <v>0</v>
      </c>
      <c r="L256" s="212" t="s">
        <v>679</v>
      </c>
      <c r="M256" s="212" t="s">
        <v>448</v>
      </c>
      <c r="N256" s="212" t="s">
        <v>470</v>
      </c>
      <c r="O256" s="213">
        <v>41419</v>
      </c>
      <c r="P256" s="212" t="s">
        <v>531</v>
      </c>
      <c r="Q256" s="214">
        <v>100</v>
      </c>
      <c r="R256" s="212" t="s">
        <v>445</v>
      </c>
      <c r="S256" s="212" t="s">
        <v>532</v>
      </c>
      <c r="T256" s="212" t="s">
        <v>445</v>
      </c>
      <c r="U256" s="212" t="s">
        <v>446</v>
      </c>
      <c r="V256" s="214" t="b">
        <v>1</v>
      </c>
      <c r="W256" s="214">
        <v>1989</v>
      </c>
      <c r="X256" s="214">
        <v>5</v>
      </c>
      <c r="Y256" s="214">
        <v>2</v>
      </c>
      <c r="Z256" s="214">
        <v>4</v>
      </c>
      <c r="AA256" s="212" t="s">
        <v>447</v>
      </c>
      <c r="AB256" s="212" t="s">
        <v>531</v>
      </c>
      <c r="AC256" s="212" t="s">
        <v>533</v>
      </c>
      <c r="AD256" s="214">
        <v>2.069318</v>
      </c>
      <c r="AE256" s="214">
        <v>529</v>
      </c>
      <c r="AF256" s="214">
        <v>44.863599999999998</v>
      </c>
      <c r="AG256" s="214">
        <v>-99</v>
      </c>
      <c r="AH256" s="212" t="s">
        <v>224</v>
      </c>
      <c r="AI256" s="212" t="s">
        <v>449</v>
      </c>
      <c r="AJ256" s="212" t="s">
        <v>271</v>
      </c>
      <c r="AK256" s="212" t="s">
        <v>531</v>
      </c>
      <c r="AL256" s="212" t="s">
        <v>376</v>
      </c>
      <c r="AM256" s="214" t="b">
        <v>0</v>
      </c>
      <c r="AN256" s="214" t="b">
        <v>0</v>
      </c>
      <c r="AO256" s="212" t="s">
        <v>272</v>
      </c>
      <c r="AP256" s="212" t="s">
        <v>531</v>
      </c>
      <c r="AQ256" s="214">
        <v>16.042459999999998</v>
      </c>
      <c r="AR256" s="214" t="b">
        <v>1</v>
      </c>
      <c r="AS256" s="212" t="s">
        <v>534</v>
      </c>
      <c r="AU256" s="222" t="s">
        <v>819</v>
      </c>
    </row>
    <row r="257" spans="1:47" s="262" customFormat="1" x14ac:dyDescent="0.25">
      <c r="A257" s="245">
        <f t="shared" si="31"/>
        <v>257</v>
      </c>
      <c r="B257" s="246" t="str">
        <f t="shared" si="24"/>
        <v>Oil Field - Tank</v>
      </c>
      <c r="C257" s="246" t="str">
        <f ca="1">IF(B257="","",VLOOKUP(D257,'Species Data'!B:E,4,FALSE))</f>
        <v>methcycpen</v>
      </c>
      <c r="D257" s="246">
        <f t="shared" ca="1" si="25"/>
        <v>551</v>
      </c>
      <c r="E257" s="246">
        <f t="shared" ca="1" si="26"/>
        <v>1.6E-2</v>
      </c>
      <c r="F257" s="246" t="str">
        <f t="shared" ca="1" si="27"/>
        <v>Methylcyclopentane</v>
      </c>
      <c r="G257" s="246">
        <f t="shared" ca="1" si="28"/>
        <v>84.159480000000002</v>
      </c>
      <c r="H257" s="204">
        <f ca="1">IF(G257="","",IF(VLOOKUP(Tank!F257,'Species Data'!D:F,3,FALSE)=0,"X",IF(G257&lt;44.1,2,1)))</f>
        <v>1</v>
      </c>
      <c r="I257" s="204">
        <f t="shared" ca="1" si="29"/>
        <v>1.4788275300776224</v>
      </c>
      <c r="J257" s="247">
        <f ca="1">IF(I257="","",IF(COUNTIF($D$12:D257,D257)=1,IF(H257=1,I257*H257,IF(H257="X","X",0)),0))</f>
        <v>0</v>
      </c>
      <c r="K257" s="248">
        <f t="shared" ca="1" si="30"/>
        <v>0</v>
      </c>
      <c r="L257" s="212" t="s">
        <v>679</v>
      </c>
      <c r="M257" s="212" t="s">
        <v>448</v>
      </c>
      <c r="N257" s="212" t="s">
        <v>470</v>
      </c>
      <c r="O257" s="213">
        <v>41419</v>
      </c>
      <c r="P257" s="212" t="s">
        <v>531</v>
      </c>
      <c r="Q257" s="214">
        <v>100</v>
      </c>
      <c r="R257" s="212" t="s">
        <v>445</v>
      </c>
      <c r="S257" s="212" t="s">
        <v>532</v>
      </c>
      <c r="T257" s="212" t="s">
        <v>445</v>
      </c>
      <c r="U257" s="212" t="s">
        <v>446</v>
      </c>
      <c r="V257" s="214" t="b">
        <v>1</v>
      </c>
      <c r="W257" s="214">
        <v>1989</v>
      </c>
      <c r="X257" s="214">
        <v>5</v>
      </c>
      <c r="Y257" s="214">
        <v>2</v>
      </c>
      <c r="Z257" s="214">
        <v>4</v>
      </c>
      <c r="AA257" s="212" t="s">
        <v>447</v>
      </c>
      <c r="AB257" s="212" t="s">
        <v>531</v>
      </c>
      <c r="AC257" s="212" t="s">
        <v>533</v>
      </c>
      <c r="AD257" s="214">
        <v>2.069318</v>
      </c>
      <c r="AE257" s="214">
        <v>551</v>
      </c>
      <c r="AF257" s="214">
        <v>1.6E-2</v>
      </c>
      <c r="AG257" s="214">
        <v>-99</v>
      </c>
      <c r="AH257" s="212" t="s">
        <v>224</v>
      </c>
      <c r="AI257" s="212" t="s">
        <v>449</v>
      </c>
      <c r="AJ257" s="212" t="s">
        <v>351</v>
      </c>
      <c r="AK257" s="212" t="s">
        <v>531</v>
      </c>
      <c r="AL257" s="212" t="s">
        <v>397</v>
      </c>
      <c r="AM257" s="214" t="b">
        <v>1</v>
      </c>
      <c r="AN257" s="214" t="b">
        <v>0</v>
      </c>
      <c r="AO257" s="212" t="s">
        <v>352</v>
      </c>
      <c r="AP257" s="212" t="s">
        <v>353</v>
      </c>
      <c r="AQ257" s="214">
        <v>84.159480000000002</v>
      </c>
      <c r="AR257" s="214" t="b">
        <v>0</v>
      </c>
      <c r="AS257" s="212" t="s">
        <v>534</v>
      </c>
      <c r="AU257" s="222" t="s">
        <v>819</v>
      </c>
    </row>
    <row r="258" spans="1:47" s="262" customFormat="1" x14ac:dyDescent="0.25">
      <c r="A258" s="245">
        <f t="shared" si="31"/>
        <v>258</v>
      </c>
      <c r="B258" s="246" t="str">
        <f t="shared" si="24"/>
        <v>Oil Field - Tank</v>
      </c>
      <c r="C258" s="246" t="str">
        <f ca="1">IF(B258="","",VLOOKUP(D258,'Species Data'!B:E,4,FALSE))</f>
        <v>N_but</v>
      </c>
      <c r="D258" s="246">
        <f t="shared" ca="1" si="25"/>
        <v>592</v>
      </c>
      <c r="E258" s="246">
        <f t="shared" ca="1" si="26"/>
        <v>8.2759999999999998</v>
      </c>
      <c r="F258" s="246" t="str">
        <f t="shared" ca="1" si="27"/>
        <v>N-butane</v>
      </c>
      <c r="G258" s="246">
        <f t="shared" ca="1" si="28"/>
        <v>58.122199999999992</v>
      </c>
      <c r="H258" s="204">
        <f ca="1">IF(G258="","",IF(VLOOKUP(Tank!F258,'Species Data'!D:F,3,FALSE)=0,"X",IF(G258&lt;44.1,2,1)))</f>
        <v>1</v>
      </c>
      <c r="I258" s="204">
        <f t="shared" ca="1" si="29"/>
        <v>8.8589583793337763</v>
      </c>
      <c r="J258" s="247">
        <f ca="1">IF(I258="","",IF(COUNTIF($D$12:D258,D258)=1,IF(H258=1,I258*H258,IF(H258="X","X",0)),0))</f>
        <v>0</v>
      </c>
      <c r="K258" s="248">
        <f t="shared" ca="1" si="30"/>
        <v>0</v>
      </c>
      <c r="L258" s="212" t="s">
        <v>679</v>
      </c>
      <c r="M258" s="212" t="s">
        <v>448</v>
      </c>
      <c r="N258" s="212" t="s">
        <v>470</v>
      </c>
      <c r="O258" s="213">
        <v>41419</v>
      </c>
      <c r="P258" s="212" t="s">
        <v>531</v>
      </c>
      <c r="Q258" s="214">
        <v>100</v>
      </c>
      <c r="R258" s="212" t="s">
        <v>445</v>
      </c>
      <c r="S258" s="212" t="s">
        <v>532</v>
      </c>
      <c r="T258" s="212" t="s">
        <v>445</v>
      </c>
      <c r="U258" s="212" t="s">
        <v>446</v>
      </c>
      <c r="V258" s="214" t="b">
        <v>1</v>
      </c>
      <c r="W258" s="214">
        <v>1989</v>
      </c>
      <c r="X258" s="214">
        <v>5</v>
      </c>
      <c r="Y258" s="214">
        <v>2</v>
      </c>
      <c r="Z258" s="214">
        <v>4</v>
      </c>
      <c r="AA258" s="212" t="s">
        <v>447</v>
      </c>
      <c r="AB258" s="212" t="s">
        <v>531</v>
      </c>
      <c r="AC258" s="212" t="s">
        <v>533</v>
      </c>
      <c r="AD258" s="214">
        <v>2.069318</v>
      </c>
      <c r="AE258" s="214">
        <v>592</v>
      </c>
      <c r="AF258" s="214">
        <v>8.2759999999999998</v>
      </c>
      <c r="AG258" s="214">
        <v>-99</v>
      </c>
      <c r="AH258" s="212" t="s">
        <v>224</v>
      </c>
      <c r="AI258" s="212" t="s">
        <v>449</v>
      </c>
      <c r="AJ258" s="212" t="s">
        <v>273</v>
      </c>
      <c r="AK258" s="212" t="s">
        <v>531</v>
      </c>
      <c r="AL258" s="212" t="s">
        <v>377</v>
      </c>
      <c r="AM258" s="214" t="b">
        <v>1</v>
      </c>
      <c r="AN258" s="214" t="b">
        <v>0</v>
      </c>
      <c r="AO258" s="212" t="s">
        <v>274</v>
      </c>
      <c r="AP258" s="212" t="s">
        <v>275</v>
      </c>
      <c r="AQ258" s="214">
        <v>58.122199999999992</v>
      </c>
      <c r="AR258" s="214" t="b">
        <v>0</v>
      </c>
      <c r="AS258" s="212" t="s">
        <v>534</v>
      </c>
      <c r="AU258" s="222" t="s">
        <v>819</v>
      </c>
    </row>
    <row r="259" spans="1:47" s="262" customFormat="1" x14ac:dyDescent="0.25">
      <c r="A259" s="245">
        <f t="shared" si="31"/>
        <v>259</v>
      </c>
      <c r="B259" s="246" t="str">
        <f t="shared" si="24"/>
        <v>Oil Field - Tank</v>
      </c>
      <c r="C259" s="246" t="str">
        <f ca="1">IF(B259="","",VLOOKUP(D259,'Species Data'!B:E,4,FALSE))</f>
        <v>N_dec</v>
      </c>
      <c r="D259" s="246">
        <f t="shared" ca="1" si="25"/>
        <v>598</v>
      </c>
      <c r="E259" s="246">
        <f t="shared" ca="1" si="26"/>
        <v>2.9000000000000001E-2</v>
      </c>
      <c r="F259" s="246" t="str">
        <f t="shared" ca="1" si="27"/>
        <v>N-decane</v>
      </c>
      <c r="G259" s="246">
        <f t="shared" ca="1" si="28"/>
        <v>142.28167999999999</v>
      </c>
      <c r="H259" s="204">
        <f ca="1">IF(G259="","",IF(VLOOKUP(Tank!F259,'Species Data'!D:F,3,FALSE)=0,"X",IF(G259&lt;44.1,2,1)))</f>
        <v>1</v>
      </c>
      <c r="I259" s="204">
        <f t="shared" ca="1" si="29"/>
        <v>1.7526834924281948E-2</v>
      </c>
      <c r="J259" s="247">
        <f ca="1">IF(I259="","",IF(COUNTIF($D$12:D259,D259)=1,IF(H259=1,I259*H259,IF(H259="X","X",0)),0))</f>
        <v>0</v>
      </c>
      <c r="K259" s="248">
        <f t="shared" ca="1" si="30"/>
        <v>0</v>
      </c>
      <c r="L259" s="212" t="s">
        <v>679</v>
      </c>
      <c r="M259" s="212" t="s">
        <v>448</v>
      </c>
      <c r="N259" s="212" t="s">
        <v>470</v>
      </c>
      <c r="O259" s="213">
        <v>41419</v>
      </c>
      <c r="P259" s="212" t="s">
        <v>531</v>
      </c>
      <c r="Q259" s="214">
        <v>100</v>
      </c>
      <c r="R259" s="212" t="s">
        <v>445</v>
      </c>
      <c r="S259" s="212" t="s">
        <v>532</v>
      </c>
      <c r="T259" s="212" t="s">
        <v>445</v>
      </c>
      <c r="U259" s="212" t="s">
        <v>446</v>
      </c>
      <c r="V259" s="214" t="b">
        <v>1</v>
      </c>
      <c r="W259" s="214">
        <v>1989</v>
      </c>
      <c r="X259" s="214">
        <v>5</v>
      </c>
      <c r="Y259" s="214">
        <v>2</v>
      </c>
      <c r="Z259" s="214">
        <v>4</v>
      </c>
      <c r="AA259" s="212" t="s">
        <v>447</v>
      </c>
      <c r="AB259" s="212" t="s">
        <v>531</v>
      </c>
      <c r="AC259" s="212" t="s">
        <v>533</v>
      </c>
      <c r="AD259" s="214">
        <v>2.069318</v>
      </c>
      <c r="AE259" s="214">
        <v>598</v>
      </c>
      <c r="AF259" s="214">
        <v>2.9000000000000001E-2</v>
      </c>
      <c r="AG259" s="214">
        <v>-99</v>
      </c>
      <c r="AH259" s="212" t="s">
        <v>224</v>
      </c>
      <c r="AI259" s="212" t="s">
        <v>449</v>
      </c>
      <c r="AJ259" s="212" t="s">
        <v>414</v>
      </c>
      <c r="AK259" s="212" t="s">
        <v>531</v>
      </c>
      <c r="AL259" s="212" t="s">
        <v>452</v>
      </c>
      <c r="AM259" s="214" t="b">
        <v>1</v>
      </c>
      <c r="AN259" s="214" t="b">
        <v>0</v>
      </c>
      <c r="AO259" s="212" t="s">
        <v>415</v>
      </c>
      <c r="AP259" s="212" t="s">
        <v>416</v>
      </c>
      <c r="AQ259" s="214">
        <v>142.28167999999999</v>
      </c>
      <c r="AR259" s="214" t="b">
        <v>0</v>
      </c>
      <c r="AS259" s="212" t="s">
        <v>534</v>
      </c>
      <c r="AU259" s="222" t="s">
        <v>819</v>
      </c>
    </row>
    <row r="260" spans="1:47" s="262" customFormat="1" x14ac:dyDescent="0.25">
      <c r="A260" s="245">
        <f t="shared" si="31"/>
        <v>260</v>
      </c>
      <c r="B260" s="246" t="str">
        <f t="shared" si="24"/>
        <v>Oil Field - Tank</v>
      </c>
      <c r="C260" s="246" t="str">
        <f ca="1">IF(B260="","",VLOOKUP(D260,'Species Data'!B:E,4,FALSE))</f>
        <v>N_hep</v>
      </c>
      <c r="D260" s="246">
        <f t="shared" ca="1" si="25"/>
        <v>600</v>
      </c>
      <c r="E260" s="246">
        <f t="shared" ca="1" si="26"/>
        <v>0.70850000000000002</v>
      </c>
      <c r="F260" s="246" t="str">
        <f t="shared" ca="1" si="27"/>
        <v>N-heptane</v>
      </c>
      <c r="G260" s="246">
        <f t="shared" ca="1" si="28"/>
        <v>100.20194000000001</v>
      </c>
      <c r="H260" s="204">
        <f ca="1">IF(G260="","",IF(VLOOKUP(Tank!F260,'Species Data'!D:F,3,FALSE)=0,"X",IF(G260&lt;44.1,2,1)))</f>
        <v>1</v>
      </c>
      <c r="I260" s="204">
        <f t="shared" ca="1" si="29"/>
        <v>0.55093195561344066</v>
      </c>
      <c r="J260" s="247">
        <f ca="1">IF(I260="","",IF(COUNTIF($D$12:D260,D260)=1,IF(H260=1,I260*H260,IF(H260="X","X",0)),0))</f>
        <v>0</v>
      </c>
      <c r="K260" s="248">
        <f t="shared" ca="1" si="30"/>
        <v>0</v>
      </c>
      <c r="L260" s="212" t="s">
        <v>679</v>
      </c>
      <c r="M260" s="212" t="s">
        <v>448</v>
      </c>
      <c r="N260" s="212" t="s">
        <v>470</v>
      </c>
      <c r="O260" s="213">
        <v>41419</v>
      </c>
      <c r="P260" s="212" t="s">
        <v>531</v>
      </c>
      <c r="Q260" s="214">
        <v>100</v>
      </c>
      <c r="R260" s="212" t="s">
        <v>445</v>
      </c>
      <c r="S260" s="212" t="s">
        <v>532</v>
      </c>
      <c r="T260" s="212" t="s">
        <v>445</v>
      </c>
      <c r="U260" s="212" t="s">
        <v>446</v>
      </c>
      <c r="V260" s="214" t="b">
        <v>1</v>
      </c>
      <c r="W260" s="214">
        <v>1989</v>
      </c>
      <c r="X260" s="214">
        <v>5</v>
      </c>
      <c r="Y260" s="214">
        <v>2</v>
      </c>
      <c r="Z260" s="214">
        <v>4</v>
      </c>
      <c r="AA260" s="212" t="s">
        <v>447</v>
      </c>
      <c r="AB260" s="212" t="s">
        <v>531</v>
      </c>
      <c r="AC260" s="212" t="s">
        <v>533</v>
      </c>
      <c r="AD260" s="214">
        <v>2.069318</v>
      </c>
      <c r="AE260" s="214">
        <v>600</v>
      </c>
      <c r="AF260" s="214">
        <v>0.70850000000000002</v>
      </c>
      <c r="AG260" s="214">
        <v>-99</v>
      </c>
      <c r="AH260" s="212" t="s">
        <v>224</v>
      </c>
      <c r="AI260" s="212" t="s">
        <v>449</v>
      </c>
      <c r="AJ260" s="212" t="s">
        <v>276</v>
      </c>
      <c r="AK260" s="212" t="s">
        <v>531</v>
      </c>
      <c r="AL260" s="212" t="s">
        <v>378</v>
      </c>
      <c r="AM260" s="214" t="b">
        <v>1</v>
      </c>
      <c r="AN260" s="214" t="b">
        <v>0</v>
      </c>
      <c r="AO260" s="212" t="s">
        <v>277</v>
      </c>
      <c r="AP260" s="212" t="s">
        <v>278</v>
      </c>
      <c r="AQ260" s="214">
        <v>100.20194000000001</v>
      </c>
      <c r="AR260" s="214" t="b">
        <v>0</v>
      </c>
      <c r="AS260" s="212" t="s">
        <v>534</v>
      </c>
      <c r="AU260" s="222" t="s">
        <v>819</v>
      </c>
    </row>
    <row r="261" spans="1:47" s="262" customFormat="1" x14ac:dyDescent="0.25">
      <c r="A261" s="245">
        <f t="shared" si="31"/>
        <v>261</v>
      </c>
      <c r="B261" s="246" t="str">
        <f t="shared" si="24"/>
        <v>Oil Field - Tank</v>
      </c>
      <c r="C261" s="246" t="str">
        <f ca="1">IF(B261="","",VLOOKUP(D261,'Species Data'!B:E,4,FALSE))</f>
        <v>N_hex</v>
      </c>
      <c r="D261" s="246">
        <f t="shared" ca="1" si="25"/>
        <v>601</v>
      </c>
      <c r="E261" s="246">
        <f t="shared" ca="1" si="26"/>
        <v>1.5742</v>
      </c>
      <c r="F261" s="246" t="str">
        <f t="shared" ca="1" si="27"/>
        <v>N-hexane</v>
      </c>
      <c r="G261" s="246">
        <f t="shared" ca="1" si="28"/>
        <v>86.175359999999998</v>
      </c>
      <c r="H261" s="204">
        <f ca="1">IF(G261="","",IF(VLOOKUP(Tank!F261,'Species Data'!D:F,3,FALSE)=0,"X",IF(G261&lt;44.1,2,1)))</f>
        <v>1</v>
      </c>
      <c r="I261" s="204">
        <f t="shared" ca="1" si="29"/>
        <v>1.4244870084086145</v>
      </c>
      <c r="J261" s="247">
        <f ca="1">IF(I261="","",IF(COUNTIF($D$12:D261,D261)=1,IF(H261=1,I261*H261,IF(H261="X","X",0)),0))</f>
        <v>0</v>
      </c>
      <c r="K261" s="248">
        <f t="shared" ca="1" si="30"/>
        <v>0</v>
      </c>
      <c r="L261" s="212" t="s">
        <v>679</v>
      </c>
      <c r="M261" s="212" t="s">
        <v>448</v>
      </c>
      <c r="N261" s="212" t="s">
        <v>470</v>
      </c>
      <c r="O261" s="213">
        <v>41419</v>
      </c>
      <c r="P261" s="212" t="s">
        <v>531</v>
      </c>
      <c r="Q261" s="214">
        <v>100</v>
      </c>
      <c r="R261" s="212" t="s">
        <v>445</v>
      </c>
      <c r="S261" s="212" t="s">
        <v>532</v>
      </c>
      <c r="T261" s="212" t="s">
        <v>445</v>
      </c>
      <c r="U261" s="212" t="s">
        <v>446</v>
      </c>
      <c r="V261" s="214" t="b">
        <v>1</v>
      </c>
      <c r="W261" s="214">
        <v>1989</v>
      </c>
      <c r="X261" s="214">
        <v>5</v>
      </c>
      <c r="Y261" s="214">
        <v>2</v>
      </c>
      <c r="Z261" s="214">
        <v>4</v>
      </c>
      <c r="AA261" s="212" t="s">
        <v>447</v>
      </c>
      <c r="AB261" s="212" t="s">
        <v>531</v>
      </c>
      <c r="AC261" s="212" t="s">
        <v>533</v>
      </c>
      <c r="AD261" s="214">
        <v>2.069318</v>
      </c>
      <c r="AE261" s="214">
        <v>601</v>
      </c>
      <c r="AF261" s="214">
        <v>1.5742</v>
      </c>
      <c r="AG261" s="214">
        <v>-99</v>
      </c>
      <c r="AH261" s="212" t="s">
        <v>224</v>
      </c>
      <c r="AI261" s="212" t="s">
        <v>449</v>
      </c>
      <c r="AJ261" s="212" t="s">
        <v>279</v>
      </c>
      <c r="AK261" s="212" t="s">
        <v>531</v>
      </c>
      <c r="AL261" s="212" t="s">
        <v>379</v>
      </c>
      <c r="AM261" s="214" t="b">
        <v>1</v>
      </c>
      <c r="AN261" s="214" t="b">
        <v>1</v>
      </c>
      <c r="AO261" s="212" t="s">
        <v>280</v>
      </c>
      <c r="AP261" s="212" t="s">
        <v>281</v>
      </c>
      <c r="AQ261" s="214">
        <v>86.175359999999998</v>
      </c>
      <c r="AR261" s="214" t="b">
        <v>0</v>
      </c>
      <c r="AS261" s="212" t="s">
        <v>534</v>
      </c>
      <c r="AU261" s="222" t="s">
        <v>819</v>
      </c>
    </row>
    <row r="262" spans="1:47" s="262" customFormat="1" x14ac:dyDescent="0.25">
      <c r="A262" s="245">
        <f t="shared" si="31"/>
        <v>262</v>
      </c>
      <c r="B262" s="246" t="str">
        <f t="shared" si="24"/>
        <v>Oil Field - Tank</v>
      </c>
      <c r="C262" s="246" t="str">
        <f ca="1">IF(B262="","",VLOOKUP(D262,'Species Data'!B:E,4,FALSE))</f>
        <v>N_nonane</v>
      </c>
      <c r="D262" s="246">
        <f t="shared" ca="1" si="25"/>
        <v>603</v>
      </c>
      <c r="E262" s="246">
        <f t="shared" ca="1" si="26"/>
        <v>2.0299999999999999E-2</v>
      </c>
      <c r="F262" s="246" t="str">
        <f t="shared" ca="1" si="27"/>
        <v>N-nonane</v>
      </c>
      <c r="G262" s="246">
        <f t="shared" ca="1" si="28"/>
        <v>128.2551</v>
      </c>
      <c r="H262" s="204">
        <f ca="1">IF(G262="","",IF(VLOOKUP(Tank!F262,'Species Data'!D:F,3,FALSE)=0,"X",IF(G262&lt;44.1,2,1)))</f>
        <v>1</v>
      </c>
      <c r="I262" s="204">
        <f t="shared" ca="1" si="29"/>
        <v>6.0467247152239355E-2</v>
      </c>
      <c r="J262" s="247">
        <f ca="1">IF(I262="","",IF(COUNTIF($D$12:D262,D262)=1,IF(H262=1,I262*H262,IF(H262="X","X",0)),0))</f>
        <v>0</v>
      </c>
      <c r="K262" s="248">
        <f t="shared" ca="1" si="30"/>
        <v>0</v>
      </c>
      <c r="L262" s="212" t="s">
        <v>679</v>
      </c>
      <c r="M262" s="212" t="s">
        <v>448</v>
      </c>
      <c r="N262" s="212" t="s">
        <v>470</v>
      </c>
      <c r="O262" s="213">
        <v>41419</v>
      </c>
      <c r="P262" s="212" t="s">
        <v>531</v>
      </c>
      <c r="Q262" s="214">
        <v>100</v>
      </c>
      <c r="R262" s="212" t="s">
        <v>445</v>
      </c>
      <c r="S262" s="212" t="s">
        <v>532</v>
      </c>
      <c r="T262" s="212" t="s">
        <v>445</v>
      </c>
      <c r="U262" s="212" t="s">
        <v>446</v>
      </c>
      <c r="V262" s="214" t="b">
        <v>1</v>
      </c>
      <c r="W262" s="214">
        <v>1989</v>
      </c>
      <c r="X262" s="214">
        <v>5</v>
      </c>
      <c r="Y262" s="214">
        <v>2</v>
      </c>
      <c r="Z262" s="214">
        <v>4</v>
      </c>
      <c r="AA262" s="212" t="s">
        <v>447</v>
      </c>
      <c r="AB262" s="212" t="s">
        <v>531</v>
      </c>
      <c r="AC262" s="212" t="s">
        <v>533</v>
      </c>
      <c r="AD262" s="214">
        <v>2.069318</v>
      </c>
      <c r="AE262" s="214">
        <v>603</v>
      </c>
      <c r="AF262" s="214">
        <v>2.0299999999999999E-2</v>
      </c>
      <c r="AG262" s="214">
        <v>-99</v>
      </c>
      <c r="AH262" s="212" t="s">
        <v>224</v>
      </c>
      <c r="AI262" s="212" t="s">
        <v>449</v>
      </c>
      <c r="AJ262" s="212" t="s">
        <v>417</v>
      </c>
      <c r="AK262" s="212" t="s">
        <v>531</v>
      </c>
      <c r="AL262" s="212" t="s">
        <v>453</v>
      </c>
      <c r="AM262" s="214" t="b">
        <v>1</v>
      </c>
      <c r="AN262" s="214" t="b">
        <v>0</v>
      </c>
      <c r="AO262" s="212" t="s">
        <v>418</v>
      </c>
      <c r="AP262" s="212" t="s">
        <v>419</v>
      </c>
      <c r="AQ262" s="214">
        <v>128.2551</v>
      </c>
      <c r="AR262" s="214" t="b">
        <v>0</v>
      </c>
      <c r="AS262" s="212" t="s">
        <v>534</v>
      </c>
      <c r="AU262" s="222" t="s">
        <v>819</v>
      </c>
    </row>
    <row r="263" spans="1:47" s="262" customFormat="1" x14ac:dyDescent="0.25">
      <c r="A263" s="245">
        <f t="shared" si="31"/>
        <v>263</v>
      </c>
      <c r="B263" s="246" t="str">
        <f t="shared" si="24"/>
        <v>Oil Field - Tank</v>
      </c>
      <c r="C263" s="246" t="str">
        <f ca="1">IF(B263="","",VLOOKUP(D263,'Species Data'!B:E,4,FALSE))</f>
        <v>N_octane</v>
      </c>
      <c r="D263" s="246">
        <f t="shared" ca="1" si="25"/>
        <v>604</v>
      </c>
      <c r="E263" s="246">
        <f t="shared" ca="1" si="26"/>
        <v>8.6999999999999994E-2</v>
      </c>
      <c r="F263" s="246" t="str">
        <f t="shared" ca="1" si="27"/>
        <v>N-octane</v>
      </c>
      <c r="G263" s="246">
        <f t="shared" ca="1" si="28"/>
        <v>114.22852</v>
      </c>
      <c r="H263" s="204">
        <f ca="1">IF(G263="","",IF(VLOOKUP(Tank!F263,'Species Data'!D:F,3,FALSE)=0,"X",IF(G263&lt;44.1,2,1)))</f>
        <v>1</v>
      </c>
      <c r="I263" s="204">
        <f t="shared" ca="1" si="29"/>
        <v>0.21590207265989761</v>
      </c>
      <c r="J263" s="247">
        <f ca="1">IF(I263="","",IF(COUNTIF($D$12:D263,D263)=1,IF(H263=1,I263*H263,IF(H263="X","X",0)),0))</f>
        <v>0</v>
      </c>
      <c r="K263" s="248">
        <f t="shared" ca="1" si="30"/>
        <v>0</v>
      </c>
      <c r="L263" s="212" t="s">
        <v>679</v>
      </c>
      <c r="M263" s="212" t="s">
        <v>448</v>
      </c>
      <c r="N263" s="212" t="s">
        <v>470</v>
      </c>
      <c r="O263" s="213">
        <v>41419</v>
      </c>
      <c r="P263" s="212" t="s">
        <v>531</v>
      </c>
      <c r="Q263" s="214">
        <v>100</v>
      </c>
      <c r="R263" s="212" t="s">
        <v>445</v>
      </c>
      <c r="S263" s="212" t="s">
        <v>532</v>
      </c>
      <c r="T263" s="212" t="s">
        <v>445</v>
      </c>
      <c r="U263" s="212" t="s">
        <v>446</v>
      </c>
      <c r="V263" s="214" t="b">
        <v>1</v>
      </c>
      <c r="W263" s="214">
        <v>1989</v>
      </c>
      <c r="X263" s="214">
        <v>5</v>
      </c>
      <c r="Y263" s="214">
        <v>2</v>
      </c>
      <c r="Z263" s="214">
        <v>4</v>
      </c>
      <c r="AA263" s="212" t="s">
        <v>447</v>
      </c>
      <c r="AB263" s="212" t="s">
        <v>531</v>
      </c>
      <c r="AC263" s="212" t="s">
        <v>533</v>
      </c>
      <c r="AD263" s="214">
        <v>2.069318</v>
      </c>
      <c r="AE263" s="214">
        <v>604</v>
      </c>
      <c r="AF263" s="214">
        <v>8.6999999999999994E-2</v>
      </c>
      <c r="AG263" s="214">
        <v>-99</v>
      </c>
      <c r="AH263" s="212" t="s">
        <v>224</v>
      </c>
      <c r="AI263" s="212" t="s">
        <v>449</v>
      </c>
      <c r="AJ263" s="212" t="s">
        <v>282</v>
      </c>
      <c r="AK263" s="212" t="s">
        <v>531</v>
      </c>
      <c r="AL263" s="212" t="s">
        <v>380</v>
      </c>
      <c r="AM263" s="214" t="b">
        <v>1</v>
      </c>
      <c r="AN263" s="214" t="b">
        <v>0</v>
      </c>
      <c r="AO263" s="212" t="s">
        <v>283</v>
      </c>
      <c r="AP263" s="212" t="s">
        <v>284</v>
      </c>
      <c r="AQ263" s="214">
        <v>114.22852</v>
      </c>
      <c r="AR263" s="214" t="b">
        <v>0</v>
      </c>
      <c r="AS263" s="212" t="s">
        <v>534</v>
      </c>
      <c r="AU263" s="222" t="s">
        <v>819</v>
      </c>
    </row>
    <row r="264" spans="1:47" s="218" customFormat="1" x14ac:dyDescent="0.25">
      <c r="A264" s="245">
        <f t="shared" si="31"/>
        <v>264</v>
      </c>
      <c r="B264" s="246" t="str">
        <f t="shared" si="24"/>
        <v>Oil Field - Tank</v>
      </c>
      <c r="C264" s="246" t="str">
        <f ca="1">IF(B264="","",VLOOKUP(D264,'Species Data'!B:E,4,FALSE))</f>
        <v>N_pentane</v>
      </c>
      <c r="D264" s="246">
        <f t="shared" ca="1" si="25"/>
        <v>605</v>
      </c>
      <c r="E264" s="246">
        <f t="shared" ca="1" si="26"/>
        <v>3.9112</v>
      </c>
      <c r="F264" s="246" t="str">
        <f t="shared" ca="1" si="27"/>
        <v>N-pentane</v>
      </c>
      <c r="G264" s="246">
        <f t="shared" ca="1" si="28"/>
        <v>72.148780000000002</v>
      </c>
      <c r="H264" s="204">
        <f ca="1">IF(G264="","",IF(VLOOKUP(Tank!F264,'Species Data'!D:F,3,FALSE)=0,"X",IF(G264&lt;44.1,2,1)))</f>
        <v>1</v>
      </c>
      <c r="I264" s="204">
        <f t="shared" ca="1" si="29"/>
        <v>3.2465311666992012</v>
      </c>
      <c r="J264" s="247">
        <f ca="1">IF(I264="","",IF(COUNTIF($D$12:D264,D264)=1,IF(H264=1,I264*H264,IF(H264="X","X",0)),0))</f>
        <v>0</v>
      </c>
      <c r="K264" s="248">
        <f t="shared" ca="1" si="30"/>
        <v>0</v>
      </c>
      <c r="L264" s="212" t="s">
        <v>679</v>
      </c>
      <c r="M264" s="212" t="s">
        <v>448</v>
      </c>
      <c r="N264" s="212" t="s">
        <v>470</v>
      </c>
      <c r="O264" s="213">
        <v>41419</v>
      </c>
      <c r="P264" s="212" t="s">
        <v>531</v>
      </c>
      <c r="Q264" s="214">
        <v>100</v>
      </c>
      <c r="R264" s="212" t="s">
        <v>445</v>
      </c>
      <c r="S264" s="212" t="s">
        <v>532</v>
      </c>
      <c r="T264" s="212" t="s">
        <v>445</v>
      </c>
      <c r="U264" s="212" t="s">
        <v>446</v>
      </c>
      <c r="V264" s="214" t="b">
        <v>1</v>
      </c>
      <c r="W264" s="214">
        <v>1989</v>
      </c>
      <c r="X264" s="214">
        <v>5</v>
      </c>
      <c r="Y264" s="214">
        <v>2</v>
      </c>
      <c r="Z264" s="214">
        <v>4</v>
      </c>
      <c r="AA264" s="212" t="s">
        <v>447</v>
      </c>
      <c r="AB264" s="212" t="s">
        <v>531</v>
      </c>
      <c r="AC264" s="212" t="s">
        <v>533</v>
      </c>
      <c r="AD264" s="214">
        <v>2.069318</v>
      </c>
      <c r="AE264" s="214">
        <v>605</v>
      </c>
      <c r="AF264" s="214">
        <v>3.9112</v>
      </c>
      <c r="AG264" s="214">
        <v>-99</v>
      </c>
      <c r="AH264" s="212" t="s">
        <v>224</v>
      </c>
      <c r="AI264" s="212" t="s">
        <v>449</v>
      </c>
      <c r="AJ264" s="212" t="s">
        <v>285</v>
      </c>
      <c r="AK264" s="212" t="s">
        <v>531</v>
      </c>
      <c r="AL264" s="212" t="s">
        <v>381</v>
      </c>
      <c r="AM264" s="214" t="b">
        <v>1</v>
      </c>
      <c r="AN264" s="214" t="b">
        <v>0</v>
      </c>
      <c r="AO264" s="212" t="s">
        <v>286</v>
      </c>
      <c r="AP264" s="212" t="s">
        <v>287</v>
      </c>
      <c r="AQ264" s="214">
        <v>72.148780000000002</v>
      </c>
      <c r="AR264" s="214" t="b">
        <v>0</v>
      </c>
      <c r="AS264" s="212" t="s">
        <v>534</v>
      </c>
      <c r="AU264" s="222" t="s">
        <v>819</v>
      </c>
    </row>
    <row r="265" spans="1:47" s="218" customFormat="1" x14ac:dyDescent="0.25">
      <c r="A265" s="245">
        <f t="shared" si="31"/>
        <v>265</v>
      </c>
      <c r="B265" s="246" t="str">
        <f t="shared" si="24"/>
        <v>Oil Field - Tank</v>
      </c>
      <c r="C265" s="246" t="str">
        <f ca="1">IF(B265="","",VLOOKUP(D265,'Species Data'!B:E,4,FALSE))</f>
        <v>N_proben</v>
      </c>
      <c r="D265" s="246">
        <f t="shared" ca="1" si="25"/>
        <v>608</v>
      </c>
      <c r="E265" s="246">
        <f t="shared" ca="1" si="26"/>
        <v>2.8299999999999999E-2</v>
      </c>
      <c r="F265" s="246" t="str">
        <f t="shared" ca="1" si="27"/>
        <v>N-propylbenzene</v>
      </c>
      <c r="G265" s="246">
        <f t="shared" ca="1" si="28"/>
        <v>120.19158</v>
      </c>
      <c r="H265" s="204">
        <f ca="1">IF(G265="","",IF(VLOOKUP(Tank!F265,'Species Data'!D:F,3,FALSE)=0,"X",IF(G265&lt;44.1,2,1)))</f>
        <v>1</v>
      </c>
      <c r="I265" s="204">
        <f t="shared" ca="1" si="29"/>
        <v>2.0193527191194376E-2</v>
      </c>
      <c r="J265" s="247">
        <f ca="1">IF(I265="","",IF(COUNTIF($D$12:D265,D265)=1,IF(H265=1,I265*H265,IF(H265="X","X",0)),0))</f>
        <v>0</v>
      </c>
      <c r="K265" s="248">
        <f t="shared" ca="1" si="30"/>
        <v>0</v>
      </c>
      <c r="L265" s="212" t="s">
        <v>679</v>
      </c>
      <c r="M265" s="212" t="s">
        <v>448</v>
      </c>
      <c r="N265" s="212" t="s">
        <v>470</v>
      </c>
      <c r="O265" s="213">
        <v>41419</v>
      </c>
      <c r="P265" s="212" t="s">
        <v>531</v>
      </c>
      <c r="Q265" s="214">
        <v>100</v>
      </c>
      <c r="R265" s="212" t="s">
        <v>445</v>
      </c>
      <c r="S265" s="212" t="s">
        <v>532</v>
      </c>
      <c r="T265" s="212" t="s">
        <v>445</v>
      </c>
      <c r="U265" s="212" t="s">
        <v>446</v>
      </c>
      <c r="V265" s="214" t="b">
        <v>1</v>
      </c>
      <c r="W265" s="214">
        <v>1989</v>
      </c>
      <c r="X265" s="214">
        <v>5</v>
      </c>
      <c r="Y265" s="214">
        <v>2</v>
      </c>
      <c r="Z265" s="214">
        <v>4</v>
      </c>
      <c r="AA265" s="212" t="s">
        <v>447</v>
      </c>
      <c r="AB265" s="212" t="s">
        <v>531</v>
      </c>
      <c r="AC265" s="212" t="s">
        <v>533</v>
      </c>
      <c r="AD265" s="214">
        <v>2.069318</v>
      </c>
      <c r="AE265" s="214">
        <v>608</v>
      </c>
      <c r="AF265" s="214">
        <v>2.8299999999999999E-2</v>
      </c>
      <c r="AG265" s="214">
        <v>-99</v>
      </c>
      <c r="AH265" s="212" t="s">
        <v>224</v>
      </c>
      <c r="AI265" s="212" t="s">
        <v>449</v>
      </c>
      <c r="AJ265" s="212" t="s">
        <v>420</v>
      </c>
      <c r="AK265" s="212" t="s">
        <v>531</v>
      </c>
      <c r="AL265" s="212" t="s">
        <v>454</v>
      </c>
      <c r="AM265" s="214" t="b">
        <v>1</v>
      </c>
      <c r="AN265" s="214" t="b">
        <v>0</v>
      </c>
      <c r="AO265" s="212" t="s">
        <v>421</v>
      </c>
      <c r="AP265" s="212" t="s">
        <v>422</v>
      </c>
      <c r="AQ265" s="214">
        <v>120.19158</v>
      </c>
      <c r="AR265" s="214" t="b">
        <v>0</v>
      </c>
      <c r="AS265" s="212" t="s">
        <v>534</v>
      </c>
      <c r="AU265" s="222" t="s">
        <v>819</v>
      </c>
    </row>
    <row r="266" spans="1:47" s="218" customFormat="1" x14ac:dyDescent="0.25">
      <c r="A266" s="245">
        <f t="shared" si="31"/>
        <v>266</v>
      </c>
      <c r="B266" s="246" t="str">
        <f t="shared" si="24"/>
        <v>Oil Field - Tank</v>
      </c>
      <c r="C266" s="246" t="str">
        <f ca="1">IF(B266="","",VLOOKUP(D266,'Species Data'!B:E,4,FALSE))</f>
        <v>N_und</v>
      </c>
      <c r="D266" s="246">
        <f t="shared" ca="1" si="25"/>
        <v>610</v>
      </c>
      <c r="E266" s="246">
        <f t="shared" ca="1" si="26"/>
        <v>9.2999999999999992E-3</v>
      </c>
      <c r="F266" s="246" t="str">
        <f t="shared" ca="1" si="27"/>
        <v>N-undecane</v>
      </c>
      <c r="G266" s="246">
        <f t="shared" ca="1" si="28"/>
        <v>156.30826000000002</v>
      </c>
      <c r="H266" s="204">
        <f ca="1">IF(G266="","",IF(VLOOKUP(Tank!F266,'Species Data'!D:F,3,FALSE)=0,"X",IF(G266&lt;44.1,2,1)))</f>
        <v>1</v>
      </c>
      <c r="I266" s="204">
        <f t="shared" ca="1" si="29"/>
        <v>3.8800372483575856E-3</v>
      </c>
      <c r="J266" s="247">
        <f ca="1">IF(I266="","",IF(COUNTIF($D$12:D266,D266)=1,IF(H266=1,I266*H266,IF(H266="X","X",0)),0))</f>
        <v>0</v>
      </c>
      <c r="K266" s="248">
        <f t="shared" ca="1" si="30"/>
        <v>0</v>
      </c>
      <c r="L266" s="212" t="s">
        <v>679</v>
      </c>
      <c r="M266" s="212" t="s">
        <v>448</v>
      </c>
      <c r="N266" s="212" t="s">
        <v>470</v>
      </c>
      <c r="O266" s="213">
        <v>41419</v>
      </c>
      <c r="P266" s="212" t="s">
        <v>531</v>
      </c>
      <c r="Q266" s="214">
        <v>100</v>
      </c>
      <c r="R266" s="212" t="s">
        <v>445</v>
      </c>
      <c r="S266" s="212" t="s">
        <v>532</v>
      </c>
      <c r="T266" s="212" t="s">
        <v>445</v>
      </c>
      <c r="U266" s="212" t="s">
        <v>446</v>
      </c>
      <c r="V266" s="214" t="b">
        <v>1</v>
      </c>
      <c r="W266" s="214">
        <v>1989</v>
      </c>
      <c r="X266" s="214">
        <v>5</v>
      </c>
      <c r="Y266" s="214">
        <v>2</v>
      </c>
      <c r="Z266" s="214">
        <v>4</v>
      </c>
      <c r="AA266" s="212" t="s">
        <v>447</v>
      </c>
      <c r="AB266" s="212" t="s">
        <v>531</v>
      </c>
      <c r="AC266" s="212" t="s">
        <v>533</v>
      </c>
      <c r="AD266" s="214">
        <v>2.069318</v>
      </c>
      <c r="AE266" s="214">
        <v>610</v>
      </c>
      <c r="AF266" s="214">
        <v>9.2999999999999992E-3</v>
      </c>
      <c r="AG266" s="214">
        <v>-99</v>
      </c>
      <c r="AH266" s="212" t="s">
        <v>224</v>
      </c>
      <c r="AI266" s="212" t="s">
        <v>449</v>
      </c>
      <c r="AJ266" s="212" t="s">
        <v>430</v>
      </c>
      <c r="AK266" s="212" t="s">
        <v>531</v>
      </c>
      <c r="AL266" s="212" t="s">
        <v>458</v>
      </c>
      <c r="AM266" s="214" t="b">
        <v>1</v>
      </c>
      <c r="AN266" s="214" t="b">
        <v>0</v>
      </c>
      <c r="AO266" s="212" t="s">
        <v>431</v>
      </c>
      <c r="AP266" s="212" t="s">
        <v>432</v>
      </c>
      <c r="AQ266" s="214">
        <v>156.30826000000002</v>
      </c>
      <c r="AR266" s="214" t="b">
        <v>0</v>
      </c>
      <c r="AS266" s="212" t="s">
        <v>534</v>
      </c>
      <c r="AU266" s="222" t="s">
        <v>819</v>
      </c>
    </row>
    <row r="267" spans="1:47" s="218" customFormat="1" x14ac:dyDescent="0.25">
      <c r="A267" s="245">
        <f t="shared" si="31"/>
        <v>267</v>
      </c>
      <c r="B267" s="246" t="str">
        <f t="shared" si="24"/>
        <v>Oil Field - Tank</v>
      </c>
      <c r="C267" s="246" t="str">
        <f ca="1">IF(B267="","",VLOOKUP(D267,'Species Data'!B:E,4,FALSE))</f>
        <v>O_xylene</v>
      </c>
      <c r="D267" s="246">
        <f t="shared" ca="1" si="25"/>
        <v>620</v>
      </c>
      <c r="E267" s="246">
        <f t="shared" ca="1" si="26"/>
        <v>5.5199999999999999E-2</v>
      </c>
      <c r="F267" s="246" t="str">
        <f t="shared" ca="1" si="27"/>
        <v>O-xylene</v>
      </c>
      <c r="G267" s="246">
        <f t="shared" ca="1" si="28"/>
        <v>106.16500000000001</v>
      </c>
      <c r="H267" s="204">
        <f ca="1">IF(G267="","",IF(VLOOKUP(Tank!F267,'Species Data'!D:F,3,FALSE)=0,"X",IF(G267&lt;44.1,2,1)))</f>
        <v>1</v>
      </c>
      <c r="I267" s="204">
        <f t="shared" ca="1" si="29"/>
        <v>5.0080480772615434E-2</v>
      </c>
      <c r="J267" s="247">
        <f ca="1">IF(I267="","",IF(COUNTIF($D$12:D267,D267)=1,IF(H267=1,I267*H267,IF(H267="X","X",0)),0))</f>
        <v>0</v>
      </c>
      <c r="K267" s="248">
        <f t="shared" ca="1" si="30"/>
        <v>0</v>
      </c>
      <c r="L267" s="212" t="s">
        <v>679</v>
      </c>
      <c r="M267" s="212" t="s">
        <v>448</v>
      </c>
      <c r="N267" s="212" t="s">
        <v>470</v>
      </c>
      <c r="O267" s="213">
        <v>41419</v>
      </c>
      <c r="P267" s="212" t="s">
        <v>531</v>
      </c>
      <c r="Q267" s="214">
        <v>100</v>
      </c>
      <c r="R267" s="212" t="s">
        <v>445</v>
      </c>
      <c r="S267" s="212" t="s">
        <v>532</v>
      </c>
      <c r="T267" s="212" t="s">
        <v>445</v>
      </c>
      <c r="U267" s="212" t="s">
        <v>446</v>
      </c>
      <c r="V267" s="214" t="b">
        <v>1</v>
      </c>
      <c r="W267" s="214">
        <v>1989</v>
      </c>
      <c r="X267" s="214">
        <v>5</v>
      </c>
      <c r="Y267" s="214">
        <v>2</v>
      </c>
      <c r="Z267" s="214">
        <v>4</v>
      </c>
      <c r="AA267" s="212" t="s">
        <v>447</v>
      </c>
      <c r="AB267" s="212" t="s">
        <v>531</v>
      </c>
      <c r="AC267" s="212" t="s">
        <v>533</v>
      </c>
      <c r="AD267" s="214">
        <v>2.069318</v>
      </c>
      <c r="AE267" s="214">
        <v>620</v>
      </c>
      <c r="AF267" s="214">
        <v>5.5199999999999999E-2</v>
      </c>
      <c r="AG267" s="214">
        <v>-99</v>
      </c>
      <c r="AH267" s="212" t="s">
        <v>224</v>
      </c>
      <c r="AI267" s="212" t="s">
        <v>449</v>
      </c>
      <c r="AJ267" s="212" t="s">
        <v>354</v>
      </c>
      <c r="AK267" s="212" t="s">
        <v>531</v>
      </c>
      <c r="AL267" s="212" t="s">
        <v>398</v>
      </c>
      <c r="AM267" s="214" t="b">
        <v>1</v>
      </c>
      <c r="AN267" s="214" t="b">
        <v>1</v>
      </c>
      <c r="AO267" s="212" t="s">
        <v>355</v>
      </c>
      <c r="AP267" s="212" t="s">
        <v>356</v>
      </c>
      <c r="AQ267" s="214">
        <v>106.16500000000001</v>
      </c>
      <c r="AR267" s="214" t="b">
        <v>0</v>
      </c>
      <c r="AS267" s="212" t="s">
        <v>534</v>
      </c>
      <c r="AU267" s="222" t="s">
        <v>819</v>
      </c>
    </row>
    <row r="268" spans="1:47" s="218" customFormat="1" x14ac:dyDescent="0.25">
      <c r="A268" s="245">
        <f t="shared" si="31"/>
        <v>268</v>
      </c>
      <c r="B268" s="246" t="str">
        <f t="shared" ref="B268:B331" si="32">IF(ROW(A268)-(ROW($A$12))&lt;$B$10,$B$9,"")</f>
        <v>Oil Field - Tank</v>
      </c>
      <c r="C268" s="246" t="str">
        <f ca="1">IF(B268="","",VLOOKUP(D268,'Species Data'!B:E,4,FALSE))</f>
        <v>P_xylene</v>
      </c>
      <c r="D268" s="246">
        <f t="shared" ca="1" si="25"/>
        <v>648</v>
      </c>
      <c r="E268" s="246">
        <f t="shared" ca="1" si="26"/>
        <v>0.1452</v>
      </c>
      <c r="F268" s="246" t="str">
        <f t="shared" ca="1" si="27"/>
        <v>P-xylene</v>
      </c>
      <c r="G268" s="246">
        <f t="shared" ca="1" si="28"/>
        <v>106.16500000000001</v>
      </c>
      <c r="H268" s="204">
        <f ca="1">IF(G268="","",IF(VLOOKUP(Tank!F268,'Species Data'!D:F,3,FALSE)=0,"X",IF(G268&lt;44.1,2,1)))</f>
        <v>1</v>
      </c>
      <c r="I268" s="204">
        <f t="shared" ca="1" si="29"/>
        <v>8.2000787207557213E-2</v>
      </c>
      <c r="J268" s="247">
        <f ca="1">IF(I268="","",IF(COUNTIF($D$12:D268,D268)=1,IF(H268=1,I268*H268,IF(H268="X","X",0)),0))</f>
        <v>0</v>
      </c>
      <c r="K268" s="248">
        <f t="shared" ca="1" si="30"/>
        <v>0</v>
      </c>
      <c r="L268" s="212" t="s">
        <v>679</v>
      </c>
      <c r="M268" s="212" t="s">
        <v>448</v>
      </c>
      <c r="N268" s="212" t="s">
        <v>470</v>
      </c>
      <c r="O268" s="213">
        <v>41419</v>
      </c>
      <c r="P268" s="212" t="s">
        <v>531</v>
      </c>
      <c r="Q268" s="214">
        <v>100</v>
      </c>
      <c r="R268" s="212" t="s">
        <v>445</v>
      </c>
      <c r="S268" s="212" t="s">
        <v>532</v>
      </c>
      <c r="T268" s="212" t="s">
        <v>445</v>
      </c>
      <c r="U268" s="212" t="s">
        <v>446</v>
      </c>
      <c r="V268" s="214" t="b">
        <v>1</v>
      </c>
      <c r="W268" s="214">
        <v>1989</v>
      </c>
      <c r="X268" s="214">
        <v>5</v>
      </c>
      <c r="Y268" s="214">
        <v>2</v>
      </c>
      <c r="Z268" s="214">
        <v>4</v>
      </c>
      <c r="AA268" s="212" t="s">
        <v>447</v>
      </c>
      <c r="AB268" s="212" t="s">
        <v>531</v>
      </c>
      <c r="AC268" s="212" t="s">
        <v>533</v>
      </c>
      <c r="AD268" s="214">
        <v>2.069318</v>
      </c>
      <c r="AE268" s="214">
        <v>648</v>
      </c>
      <c r="AF268" s="214">
        <v>0.1452</v>
      </c>
      <c r="AG268" s="214">
        <v>-99</v>
      </c>
      <c r="AH268" s="212" t="s">
        <v>224</v>
      </c>
      <c r="AI268" s="212" t="s">
        <v>449</v>
      </c>
      <c r="AJ268" s="212" t="s">
        <v>433</v>
      </c>
      <c r="AK268" s="212" t="s">
        <v>531</v>
      </c>
      <c r="AL268" s="212" t="s">
        <v>459</v>
      </c>
      <c r="AM268" s="214" t="b">
        <v>0</v>
      </c>
      <c r="AN268" s="214" t="b">
        <v>1</v>
      </c>
      <c r="AO268" s="212" t="s">
        <v>434</v>
      </c>
      <c r="AP268" s="212" t="s">
        <v>435</v>
      </c>
      <c r="AQ268" s="214">
        <v>106.16500000000001</v>
      </c>
      <c r="AR268" s="214" t="b">
        <v>0</v>
      </c>
      <c r="AS268" s="212" t="s">
        <v>534</v>
      </c>
      <c r="AU268" s="222" t="s">
        <v>819</v>
      </c>
    </row>
    <row r="269" spans="1:47" s="218" customFormat="1" x14ac:dyDescent="0.25">
      <c r="A269" s="245">
        <f t="shared" si="31"/>
        <v>269</v>
      </c>
      <c r="B269" s="246" t="str">
        <f t="shared" si="32"/>
        <v>Oil Field - Tank</v>
      </c>
      <c r="C269" s="246" t="str">
        <f ca="1">IF(B269="","",VLOOKUP(D269,'Species Data'!B:E,4,FALSE))</f>
        <v>propane</v>
      </c>
      <c r="D269" s="246">
        <f t="shared" ref="D269:D332" ca="1" si="33">IF(B269="","",INDIRECT("AE"&amp;$A269))</f>
        <v>671</v>
      </c>
      <c r="E269" s="246">
        <f t="shared" ref="E269:E332" ca="1" si="34">IF(D269="","",INDIRECT("AF"&amp;$A269))</f>
        <v>10.3987</v>
      </c>
      <c r="F269" s="246" t="str">
        <f t="shared" ref="F269:F332" ca="1" si="35">IF(E269="","",INDIRECT("AO"&amp;$A269))</f>
        <v>Propane</v>
      </c>
      <c r="G269" s="246">
        <f t="shared" ref="G269:G332" ca="1" si="36">IF(F269="","",INDIRECT("AQ"&amp;$A269))</f>
        <v>44.095619999999997</v>
      </c>
      <c r="H269" s="204">
        <f ca="1">IF(G269="","",IF(VLOOKUP(Tank!F269,'Species Data'!D:F,3,FALSE)=0,"X",IF(G269&lt;44.1,2,1)))</f>
        <v>2</v>
      </c>
      <c r="I269" s="204">
        <f t="shared" ref="I269:I332" ca="1" si="37">IF(H269="","",SUMIF(D:D,D269,E:E)/($E$9/100))</f>
        <v>10.138737331878389</v>
      </c>
      <c r="J269" s="247">
        <f ca="1">IF(I269="","",IF(COUNTIF($D$12:D269,D269)=1,IF(H269=1,I269*H269,IF(H269="X","X",0)),0))</f>
        <v>0</v>
      </c>
      <c r="K269" s="248">
        <f t="shared" ref="K269:K332" ca="1" si="38">IF(J269="","",IF(J269="X",0,J269/$J$9*100))</f>
        <v>0</v>
      </c>
      <c r="L269" s="212" t="s">
        <v>679</v>
      </c>
      <c r="M269" s="212" t="s">
        <v>448</v>
      </c>
      <c r="N269" s="212" t="s">
        <v>470</v>
      </c>
      <c r="O269" s="213">
        <v>41419</v>
      </c>
      <c r="P269" s="212" t="s">
        <v>531</v>
      </c>
      <c r="Q269" s="214">
        <v>100</v>
      </c>
      <c r="R269" s="212" t="s">
        <v>445</v>
      </c>
      <c r="S269" s="212" t="s">
        <v>532</v>
      </c>
      <c r="T269" s="212" t="s">
        <v>445</v>
      </c>
      <c r="U269" s="212" t="s">
        <v>446</v>
      </c>
      <c r="V269" s="214" t="b">
        <v>1</v>
      </c>
      <c r="W269" s="214">
        <v>1989</v>
      </c>
      <c r="X269" s="214">
        <v>5</v>
      </c>
      <c r="Y269" s="214">
        <v>2</v>
      </c>
      <c r="Z269" s="214">
        <v>4</v>
      </c>
      <c r="AA269" s="212" t="s">
        <v>447</v>
      </c>
      <c r="AB269" s="212" t="s">
        <v>531</v>
      </c>
      <c r="AC269" s="212" t="s">
        <v>533</v>
      </c>
      <c r="AD269" s="214">
        <v>2.069318</v>
      </c>
      <c r="AE269" s="214">
        <v>671</v>
      </c>
      <c r="AF269" s="214">
        <v>10.3987</v>
      </c>
      <c r="AG269" s="214">
        <v>-99</v>
      </c>
      <c r="AH269" s="212" t="s">
        <v>224</v>
      </c>
      <c r="AI269" s="212" t="s">
        <v>449</v>
      </c>
      <c r="AJ269" s="212" t="s">
        <v>288</v>
      </c>
      <c r="AK269" s="212" t="s">
        <v>531</v>
      </c>
      <c r="AL269" s="212" t="s">
        <v>382</v>
      </c>
      <c r="AM269" s="214" t="b">
        <v>1</v>
      </c>
      <c r="AN269" s="214" t="b">
        <v>0</v>
      </c>
      <c r="AO269" s="212" t="s">
        <v>289</v>
      </c>
      <c r="AP269" s="212" t="s">
        <v>290</v>
      </c>
      <c r="AQ269" s="214">
        <v>44.095619999999997</v>
      </c>
      <c r="AR269" s="214" t="b">
        <v>0</v>
      </c>
      <c r="AS269" s="212" t="s">
        <v>534</v>
      </c>
      <c r="AU269" s="222" t="s">
        <v>819</v>
      </c>
    </row>
    <row r="270" spans="1:47" s="218" customFormat="1" x14ac:dyDescent="0.25">
      <c r="A270" s="245">
        <f t="shared" ref="A270:A333" si="39">IF(B270="","",A269+1)</f>
        <v>270</v>
      </c>
      <c r="B270" s="246" t="str">
        <f t="shared" si="32"/>
        <v>Oil Field - Tank</v>
      </c>
      <c r="C270" s="246" t="str">
        <f ca="1">IF(B270="","",VLOOKUP(D270,'Species Data'!B:E,4,FALSE))</f>
        <v>T_butben</v>
      </c>
      <c r="D270" s="246">
        <f t="shared" ca="1" si="33"/>
        <v>703</v>
      </c>
      <c r="E270" s="246">
        <f t="shared" ca="1" si="34"/>
        <v>1.32E-2</v>
      </c>
      <c r="F270" s="246" t="str">
        <f t="shared" ca="1" si="35"/>
        <v>T-butylbenzene</v>
      </c>
      <c r="G270" s="246">
        <f t="shared" ca="1" si="36"/>
        <v>134.21816000000001</v>
      </c>
      <c r="H270" s="204" t="str">
        <f ca="1">IF(G270="","",IF(VLOOKUP(Tank!F270,'Species Data'!D:F,3,FALSE)=0,"X",IF(G270&lt;44.1,2,1)))</f>
        <v>X</v>
      </c>
      <c r="I270" s="204">
        <f t="shared" ca="1" si="37"/>
        <v>6.7067310512847599E-3</v>
      </c>
      <c r="J270" s="247">
        <f ca="1">IF(I270="","",IF(COUNTIF($D$12:D270,D270)=1,IF(H270=1,I270*H270,IF(H270="X","X",0)),0))</f>
        <v>0</v>
      </c>
      <c r="K270" s="248">
        <f t="shared" ca="1" si="38"/>
        <v>0</v>
      </c>
      <c r="L270" s="212" t="s">
        <v>679</v>
      </c>
      <c r="M270" s="212" t="s">
        <v>448</v>
      </c>
      <c r="N270" s="212" t="s">
        <v>470</v>
      </c>
      <c r="O270" s="213">
        <v>41419</v>
      </c>
      <c r="P270" s="212" t="s">
        <v>531</v>
      </c>
      <c r="Q270" s="214">
        <v>100</v>
      </c>
      <c r="R270" s="212" t="s">
        <v>445</v>
      </c>
      <c r="S270" s="212" t="s">
        <v>532</v>
      </c>
      <c r="T270" s="212" t="s">
        <v>445</v>
      </c>
      <c r="U270" s="212" t="s">
        <v>446</v>
      </c>
      <c r="V270" s="214" t="b">
        <v>1</v>
      </c>
      <c r="W270" s="214">
        <v>1989</v>
      </c>
      <c r="X270" s="214">
        <v>5</v>
      </c>
      <c r="Y270" s="214">
        <v>2</v>
      </c>
      <c r="Z270" s="214">
        <v>4</v>
      </c>
      <c r="AA270" s="212" t="s">
        <v>447</v>
      </c>
      <c r="AB270" s="212" t="s">
        <v>531</v>
      </c>
      <c r="AC270" s="212" t="s">
        <v>533</v>
      </c>
      <c r="AD270" s="214">
        <v>2.069318</v>
      </c>
      <c r="AE270" s="214">
        <v>703</v>
      </c>
      <c r="AF270" s="214">
        <v>1.32E-2</v>
      </c>
      <c r="AG270" s="214">
        <v>-99</v>
      </c>
      <c r="AH270" s="212" t="s">
        <v>224</v>
      </c>
      <c r="AI270" s="212" t="s">
        <v>449</v>
      </c>
      <c r="AJ270" s="212" t="s">
        <v>423</v>
      </c>
      <c r="AK270" s="212" t="s">
        <v>531</v>
      </c>
      <c r="AL270" s="212" t="s">
        <v>455</v>
      </c>
      <c r="AM270" s="214" t="b">
        <v>0</v>
      </c>
      <c r="AN270" s="214" t="b">
        <v>0</v>
      </c>
      <c r="AO270" s="212" t="s">
        <v>424</v>
      </c>
      <c r="AP270" s="212" t="s">
        <v>531</v>
      </c>
      <c r="AQ270" s="214">
        <v>134.21816000000001</v>
      </c>
      <c r="AR270" s="214" t="b">
        <v>0</v>
      </c>
      <c r="AS270" s="212" t="s">
        <v>534</v>
      </c>
      <c r="AU270" s="222" t="s">
        <v>819</v>
      </c>
    </row>
    <row r="271" spans="1:47" s="218" customFormat="1" x14ac:dyDescent="0.25">
      <c r="A271" s="245">
        <f t="shared" si="39"/>
        <v>271</v>
      </c>
      <c r="B271" s="246" t="str">
        <f t="shared" si="32"/>
        <v>Oil Field - Tank</v>
      </c>
      <c r="C271" s="246" t="str">
        <f ca="1">IF(B271="","",VLOOKUP(D271,'Species Data'!B:E,4,FALSE))</f>
        <v>toluene</v>
      </c>
      <c r="D271" s="246">
        <f t="shared" ca="1" si="33"/>
        <v>717</v>
      </c>
      <c r="E271" s="246">
        <f t="shared" ca="1" si="34"/>
        <v>0.31019999999999998</v>
      </c>
      <c r="F271" s="246" t="str">
        <f t="shared" ca="1" si="35"/>
        <v>Toluene</v>
      </c>
      <c r="G271" s="246">
        <f t="shared" ca="1" si="36"/>
        <v>92.138419999999996</v>
      </c>
      <c r="H271" s="204">
        <f ca="1">IF(G271="","",IF(VLOOKUP(Tank!F271,'Species Data'!D:F,3,FALSE)=0,"X",IF(G271&lt;44.1,2,1)))</f>
        <v>1</v>
      </c>
      <c r="I271" s="204">
        <f t="shared" ca="1" si="37"/>
        <v>0.21631540996126902</v>
      </c>
      <c r="J271" s="247">
        <f ca="1">IF(I271="","",IF(COUNTIF($D$12:D271,D271)=1,IF(H271=1,I271*H271,IF(H271="X","X",0)),0))</f>
        <v>0</v>
      </c>
      <c r="K271" s="248">
        <f t="shared" ca="1" si="38"/>
        <v>0</v>
      </c>
      <c r="L271" s="212" t="s">
        <v>679</v>
      </c>
      <c r="M271" s="212" t="s">
        <v>448</v>
      </c>
      <c r="N271" s="212" t="s">
        <v>470</v>
      </c>
      <c r="O271" s="213">
        <v>41419</v>
      </c>
      <c r="P271" s="212" t="s">
        <v>531</v>
      </c>
      <c r="Q271" s="214">
        <v>100</v>
      </c>
      <c r="R271" s="212" t="s">
        <v>445</v>
      </c>
      <c r="S271" s="212" t="s">
        <v>532</v>
      </c>
      <c r="T271" s="212" t="s">
        <v>445</v>
      </c>
      <c r="U271" s="212" t="s">
        <v>446</v>
      </c>
      <c r="V271" s="214" t="b">
        <v>1</v>
      </c>
      <c r="W271" s="214">
        <v>1989</v>
      </c>
      <c r="X271" s="214">
        <v>5</v>
      </c>
      <c r="Y271" s="214">
        <v>2</v>
      </c>
      <c r="Z271" s="214">
        <v>4</v>
      </c>
      <c r="AA271" s="212" t="s">
        <v>447</v>
      </c>
      <c r="AB271" s="212" t="s">
        <v>531</v>
      </c>
      <c r="AC271" s="212" t="s">
        <v>533</v>
      </c>
      <c r="AD271" s="214">
        <v>2.069318</v>
      </c>
      <c r="AE271" s="214">
        <v>717</v>
      </c>
      <c r="AF271" s="214">
        <v>0.31019999999999998</v>
      </c>
      <c r="AG271" s="214">
        <v>-99</v>
      </c>
      <c r="AH271" s="212" t="s">
        <v>224</v>
      </c>
      <c r="AI271" s="212" t="s">
        <v>449</v>
      </c>
      <c r="AJ271" s="212" t="s">
        <v>294</v>
      </c>
      <c r="AK271" s="212" t="s">
        <v>531</v>
      </c>
      <c r="AL271" s="212" t="s">
        <v>383</v>
      </c>
      <c r="AM271" s="214" t="b">
        <v>1</v>
      </c>
      <c r="AN271" s="214" t="b">
        <v>1</v>
      </c>
      <c r="AO271" s="212" t="s">
        <v>295</v>
      </c>
      <c r="AP271" s="212" t="s">
        <v>296</v>
      </c>
      <c r="AQ271" s="214">
        <v>92.138419999999996</v>
      </c>
      <c r="AR271" s="214" t="b">
        <v>0</v>
      </c>
      <c r="AS271" s="212" t="s">
        <v>534</v>
      </c>
      <c r="AU271" s="222" t="s">
        <v>819</v>
      </c>
    </row>
    <row r="272" spans="1:47" s="218" customFormat="1" x14ac:dyDescent="0.25">
      <c r="A272" s="245">
        <f t="shared" si="39"/>
        <v>272</v>
      </c>
      <c r="B272" s="246" t="str">
        <f t="shared" si="32"/>
        <v>Oil Field - Tank</v>
      </c>
      <c r="C272" s="246" t="str">
        <f ca="1">IF(B272="","",VLOOKUP(D272,'Species Data'!B:E,4,FALSE))</f>
        <v>betben</v>
      </c>
      <c r="D272" s="246">
        <f t="shared" ca="1" si="33"/>
        <v>981</v>
      </c>
      <c r="E272" s="246">
        <f t="shared" ca="1" si="34"/>
        <v>4.8999999999999998E-3</v>
      </c>
      <c r="F272" s="246" t="str">
        <f t="shared" ca="1" si="35"/>
        <v>Butylbenzene</v>
      </c>
      <c r="G272" s="246">
        <f t="shared" ca="1" si="36"/>
        <v>134.21816000000001</v>
      </c>
      <c r="H272" s="204">
        <f ca="1">IF(G272="","",IF(VLOOKUP(Tank!F272,'Species Data'!D:F,3,FALSE)=0,"X",IF(G272&lt;44.1,2,1)))</f>
        <v>1</v>
      </c>
      <c r="I272" s="204">
        <f t="shared" ca="1" si="37"/>
        <v>4.2533741657253248E-3</v>
      </c>
      <c r="J272" s="247">
        <f ca="1">IF(I272="","",IF(COUNTIF($D$12:D272,D272)=1,IF(H272=1,I272*H272,IF(H272="X","X",0)),0))</f>
        <v>0</v>
      </c>
      <c r="K272" s="248">
        <f t="shared" ca="1" si="38"/>
        <v>0</v>
      </c>
      <c r="L272" s="212" t="s">
        <v>679</v>
      </c>
      <c r="M272" s="212" t="s">
        <v>448</v>
      </c>
      <c r="N272" s="212" t="s">
        <v>470</v>
      </c>
      <c r="O272" s="213">
        <v>41419</v>
      </c>
      <c r="P272" s="212" t="s">
        <v>531</v>
      </c>
      <c r="Q272" s="214">
        <v>100</v>
      </c>
      <c r="R272" s="212" t="s">
        <v>445</v>
      </c>
      <c r="S272" s="212" t="s">
        <v>532</v>
      </c>
      <c r="T272" s="212" t="s">
        <v>445</v>
      </c>
      <c r="U272" s="212" t="s">
        <v>446</v>
      </c>
      <c r="V272" s="214" t="b">
        <v>1</v>
      </c>
      <c r="W272" s="214">
        <v>1989</v>
      </c>
      <c r="X272" s="214">
        <v>5</v>
      </c>
      <c r="Y272" s="214">
        <v>2</v>
      </c>
      <c r="Z272" s="214">
        <v>4</v>
      </c>
      <c r="AA272" s="212" t="s">
        <v>447</v>
      </c>
      <c r="AB272" s="212" t="s">
        <v>531</v>
      </c>
      <c r="AC272" s="212" t="s">
        <v>533</v>
      </c>
      <c r="AD272" s="214">
        <v>2.069318</v>
      </c>
      <c r="AE272" s="214">
        <v>981</v>
      </c>
      <c r="AF272" s="214">
        <v>4.8999999999999998E-3</v>
      </c>
      <c r="AG272" s="214">
        <v>-99</v>
      </c>
      <c r="AH272" s="212" t="s">
        <v>224</v>
      </c>
      <c r="AI272" s="212" t="s">
        <v>449</v>
      </c>
      <c r="AJ272" s="212" t="s">
        <v>645</v>
      </c>
      <c r="AK272" s="212" t="s">
        <v>531</v>
      </c>
      <c r="AL272" s="212" t="s">
        <v>531</v>
      </c>
      <c r="AM272" s="214" t="b">
        <v>0</v>
      </c>
      <c r="AN272" s="214" t="b">
        <v>0</v>
      </c>
      <c r="AO272" s="212" t="s">
        <v>646</v>
      </c>
      <c r="AP272" s="212" t="s">
        <v>647</v>
      </c>
      <c r="AQ272" s="214">
        <v>134.21816000000001</v>
      </c>
      <c r="AR272" s="214" t="b">
        <v>0</v>
      </c>
      <c r="AS272" s="212" t="s">
        <v>534</v>
      </c>
      <c r="AU272" s="222" t="s">
        <v>819</v>
      </c>
    </row>
    <row r="273" spans="1:47" s="218" customFormat="1" x14ac:dyDescent="0.25">
      <c r="A273" s="245">
        <f t="shared" si="39"/>
        <v>273</v>
      </c>
      <c r="B273" s="246" t="str">
        <f t="shared" si="32"/>
        <v>Oil Field - Tank</v>
      </c>
      <c r="C273" s="246" t="str">
        <f ca="1">IF(B273="","",VLOOKUP(D273,'Species Data'!B:E,4,FALSE))</f>
        <v>c10_comp</v>
      </c>
      <c r="D273" s="246">
        <f t="shared" ca="1" si="33"/>
        <v>1924</v>
      </c>
      <c r="E273" s="246">
        <f t="shared" ca="1" si="34"/>
        <v>7.7600000000000002E-2</v>
      </c>
      <c r="F273" s="246" t="str">
        <f t="shared" ca="1" si="35"/>
        <v>C-10 Compounds</v>
      </c>
      <c r="G273" s="246">
        <f t="shared" ca="1" si="36"/>
        <v>142.28167999999999</v>
      </c>
      <c r="H273" s="204" t="str">
        <f ca="1">IF(G273="","",IF(VLOOKUP(Tank!F273,'Species Data'!D:F,3,FALSE)=0,"X",IF(G273&lt;44.1,2,1)))</f>
        <v>X</v>
      </c>
      <c r="I273" s="204">
        <f t="shared" ca="1" si="37"/>
        <v>0.15904819352932459</v>
      </c>
      <c r="J273" s="247">
        <f ca="1">IF(I273="","",IF(COUNTIF($D$12:D273,D273)=1,IF(H273=1,I273*H273,IF(H273="X","X",0)),0))</f>
        <v>0</v>
      </c>
      <c r="K273" s="248">
        <f t="shared" ca="1" si="38"/>
        <v>0</v>
      </c>
      <c r="L273" s="212" t="s">
        <v>679</v>
      </c>
      <c r="M273" s="212" t="s">
        <v>448</v>
      </c>
      <c r="N273" s="212" t="s">
        <v>470</v>
      </c>
      <c r="O273" s="213">
        <v>41419</v>
      </c>
      <c r="P273" s="212" t="s">
        <v>531</v>
      </c>
      <c r="Q273" s="214">
        <v>100</v>
      </c>
      <c r="R273" s="212" t="s">
        <v>445</v>
      </c>
      <c r="S273" s="212" t="s">
        <v>532</v>
      </c>
      <c r="T273" s="212" t="s">
        <v>445</v>
      </c>
      <c r="U273" s="212" t="s">
        <v>446</v>
      </c>
      <c r="V273" s="214" t="b">
        <v>1</v>
      </c>
      <c r="W273" s="214">
        <v>1989</v>
      </c>
      <c r="X273" s="214">
        <v>5</v>
      </c>
      <c r="Y273" s="214">
        <v>2</v>
      </c>
      <c r="Z273" s="214">
        <v>4</v>
      </c>
      <c r="AA273" s="212" t="s">
        <v>447</v>
      </c>
      <c r="AB273" s="212" t="s">
        <v>531</v>
      </c>
      <c r="AC273" s="212" t="s">
        <v>533</v>
      </c>
      <c r="AD273" s="214">
        <v>2.069318</v>
      </c>
      <c r="AE273" s="214">
        <v>1924</v>
      </c>
      <c r="AF273" s="214">
        <v>7.7600000000000002E-2</v>
      </c>
      <c r="AG273" s="214">
        <v>-99</v>
      </c>
      <c r="AH273" s="212" t="s">
        <v>224</v>
      </c>
      <c r="AI273" s="212" t="s">
        <v>449</v>
      </c>
      <c r="AJ273" s="212" t="s">
        <v>224</v>
      </c>
      <c r="AK273" s="212" t="s">
        <v>531</v>
      </c>
      <c r="AL273" s="212" t="s">
        <v>466</v>
      </c>
      <c r="AM273" s="214" t="b">
        <v>0</v>
      </c>
      <c r="AN273" s="214" t="b">
        <v>0</v>
      </c>
      <c r="AO273" s="212" t="s">
        <v>535</v>
      </c>
      <c r="AP273" s="212" t="s">
        <v>536</v>
      </c>
      <c r="AQ273" s="214">
        <v>142.28167999999999</v>
      </c>
      <c r="AR273" s="214" t="b">
        <v>0</v>
      </c>
      <c r="AS273" s="212" t="s">
        <v>534</v>
      </c>
      <c r="AU273" s="222" t="s">
        <v>819</v>
      </c>
    </row>
    <row r="274" spans="1:47" s="218" customFormat="1" x14ac:dyDescent="0.25">
      <c r="A274" s="245">
        <f t="shared" si="39"/>
        <v>274</v>
      </c>
      <c r="B274" s="246" t="str">
        <f t="shared" si="32"/>
        <v>Oil Field - Tank</v>
      </c>
      <c r="C274" s="246" t="str">
        <f ca="1">IF(B274="","",VLOOKUP(D274,'Species Data'!B:E,4,FALSE))</f>
        <v>c11_comp</v>
      </c>
      <c r="D274" s="246">
        <f t="shared" ca="1" si="33"/>
        <v>1929</v>
      </c>
      <c r="E274" s="246">
        <f t="shared" ca="1" si="34"/>
        <v>1.8E-3</v>
      </c>
      <c r="F274" s="246" t="str">
        <f t="shared" ca="1" si="35"/>
        <v>C-11 Compounds</v>
      </c>
      <c r="G274" s="246">
        <f t="shared" ca="1" si="36"/>
        <v>156.30826000000002</v>
      </c>
      <c r="H274" s="204" t="str">
        <f ca="1">IF(G274="","",IF(VLOOKUP(Tank!F274,'Species Data'!D:F,3,FALSE)=0,"X",IF(G274&lt;44.1,2,1)))</f>
        <v>X</v>
      </c>
      <c r="I274" s="204">
        <f t="shared" ca="1" si="37"/>
        <v>2.464690327693813E-2</v>
      </c>
      <c r="J274" s="247">
        <f ca="1">IF(I274="","",IF(COUNTIF($D$12:D274,D274)=1,IF(H274=1,I274*H274,IF(H274="X","X",0)),0))</f>
        <v>0</v>
      </c>
      <c r="K274" s="248">
        <f t="shared" ca="1" si="38"/>
        <v>0</v>
      </c>
      <c r="L274" s="212" t="s">
        <v>679</v>
      </c>
      <c r="M274" s="212" t="s">
        <v>448</v>
      </c>
      <c r="N274" s="212" t="s">
        <v>470</v>
      </c>
      <c r="O274" s="213">
        <v>41419</v>
      </c>
      <c r="P274" s="212" t="s">
        <v>531</v>
      </c>
      <c r="Q274" s="214">
        <v>100</v>
      </c>
      <c r="R274" s="212" t="s">
        <v>445</v>
      </c>
      <c r="S274" s="212" t="s">
        <v>532</v>
      </c>
      <c r="T274" s="212" t="s">
        <v>445</v>
      </c>
      <c r="U274" s="212" t="s">
        <v>446</v>
      </c>
      <c r="V274" s="214" t="b">
        <v>1</v>
      </c>
      <c r="W274" s="214">
        <v>1989</v>
      </c>
      <c r="X274" s="214">
        <v>5</v>
      </c>
      <c r="Y274" s="214">
        <v>2</v>
      </c>
      <c r="Z274" s="214">
        <v>4</v>
      </c>
      <c r="AA274" s="212" t="s">
        <v>447</v>
      </c>
      <c r="AB274" s="212" t="s">
        <v>531</v>
      </c>
      <c r="AC274" s="212" t="s">
        <v>533</v>
      </c>
      <c r="AD274" s="214">
        <v>2.069318</v>
      </c>
      <c r="AE274" s="214">
        <v>1929</v>
      </c>
      <c r="AF274" s="214">
        <v>1.8E-3</v>
      </c>
      <c r="AG274" s="214">
        <v>-99</v>
      </c>
      <c r="AH274" s="212" t="s">
        <v>224</v>
      </c>
      <c r="AI274" s="212" t="s">
        <v>449</v>
      </c>
      <c r="AJ274" s="212" t="s">
        <v>224</v>
      </c>
      <c r="AK274" s="212" t="s">
        <v>531</v>
      </c>
      <c r="AL274" s="212" t="s">
        <v>467</v>
      </c>
      <c r="AM274" s="214" t="b">
        <v>0</v>
      </c>
      <c r="AN274" s="214" t="b">
        <v>0</v>
      </c>
      <c r="AO274" s="212" t="s">
        <v>468</v>
      </c>
      <c r="AP274" s="212" t="s">
        <v>469</v>
      </c>
      <c r="AQ274" s="214">
        <v>156.30826000000002</v>
      </c>
      <c r="AR274" s="214" t="b">
        <v>0</v>
      </c>
      <c r="AS274" s="212" t="s">
        <v>534</v>
      </c>
      <c r="AU274" s="222" t="s">
        <v>819</v>
      </c>
    </row>
    <row r="275" spans="1:47" s="218" customFormat="1" x14ac:dyDescent="0.25">
      <c r="A275" s="245">
        <f t="shared" si="39"/>
        <v>275</v>
      </c>
      <c r="B275" s="246" t="str">
        <f t="shared" si="32"/>
        <v>Oil Field - Tank</v>
      </c>
      <c r="C275" s="246" t="str">
        <f ca="1">IF(B275="","",VLOOKUP(D275,'Species Data'!B:E,4,FALSE))</f>
        <v>c5_comp</v>
      </c>
      <c r="D275" s="246">
        <f t="shared" ca="1" si="33"/>
        <v>1986</v>
      </c>
      <c r="E275" s="246">
        <f t="shared" ca="1" si="34"/>
        <v>0.63759999999999994</v>
      </c>
      <c r="F275" s="246" t="str">
        <f t="shared" ca="1" si="35"/>
        <v>C-5 Compounds</v>
      </c>
      <c r="G275" s="246">
        <f t="shared" ca="1" si="36"/>
        <v>72.148780000000002</v>
      </c>
      <c r="H275" s="204" t="str">
        <f ca="1">IF(G275="","",IF(VLOOKUP(Tank!F275,'Species Data'!D:F,3,FALSE)=0,"X",IF(G275&lt;44.1,2,1)))</f>
        <v>X</v>
      </c>
      <c r="I275" s="204">
        <f t="shared" ca="1" si="37"/>
        <v>2.1162936497523712</v>
      </c>
      <c r="J275" s="247">
        <f ca="1">IF(I275="","",IF(COUNTIF($D$12:D275,D275)=1,IF(H275=1,I275*H275,IF(H275="X","X",0)),0))</f>
        <v>0</v>
      </c>
      <c r="K275" s="248">
        <f t="shared" ca="1" si="38"/>
        <v>0</v>
      </c>
      <c r="L275" s="212" t="s">
        <v>679</v>
      </c>
      <c r="M275" s="212" t="s">
        <v>448</v>
      </c>
      <c r="N275" s="212" t="s">
        <v>470</v>
      </c>
      <c r="O275" s="213">
        <v>41419</v>
      </c>
      <c r="P275" s="212" t="s">
        <v>531</v>
      </c>
      <c r="Q275" s="214">
        <v>100</v>
      </c>
      <c r="R275" s="212" t="s">
        <v>445</v>
      </c>
      <c r="S275" s="212" t="s">
        <v>532</v>
      </c>
      <c r="T275" s="212" t="s">
        <v>445</v>
      </c>
      <c r="U275" s="212" t="s">
        <v>446</v>
      </c>
      <c r="V275" s="214" t="b">
        <v>1</v>
      </c>
      <c r="W275" s="214">
        <v>1989</v>
      </c>
      <c r="X275" s="214">
        <v>5</v>
      </c>
      <c r="Y275" s="214">
        <v>2</v>
      </c>
      <c r="Z275" s="214">
        <v>4</v>
      </c>
      <c r="AA275" s="212" t="s">
        <v>447</v>
      </c>
      <c r="AB275" s="212" t="s">
        <v>531</v>
      </c>
      <c r="AC275" s="212" t="s">
        <v>533</v>
      </c>
      <c r="AD275" s="214">
        <v>2.069318</v>
      </c>
      <c r="AE275" s="214">
        <v>1986</v>
      </c>
      <c r="AF275" s="214">
        <v>0.63759999999999994</v>
      </c>
      <c r="AG275" s="214">
        <v>-99</v>
      </c>
      <c r="AH275" s="212" t="s">
        <v>224</v>
      </c>
      <c r="AI275" s="212" t="s">
        <v>449</v>
      </c>
      <c r="AJ275" s="212" t="s">
        <v>224</v>
      </c>
      <c r="AK275" s="212" t="s">
        <v>531</v>
      </c>
      <c r="AL275" s="212" t="s">
        <v>537</v>
      </c>
      <c r="AM275" s="214" t="b">
        <v>0</v>
      </c>
      <c r="AN275" s="214" t="b">
        <v>0</v>
      </c>
      <c r="AO275" s="212" t="s">
        <v>538</v>
      </c>
      <c r="AP275" s="212" t="s">
        <v>539</v>
      </c>
      <c r="AQ275" s="214">
        <v>72.148780000000002</v>
      </c>
      <c r="AR275" s="214" t="b">
        <v>0</v>
      </c>
      <c r="AS275" s="212" t="s">
        <v>534</v>
      </c>
      <c r="AU275" s="222" t="s">
        <v>819</v>
      </c>
    </row>
    <row r="276" spans="1:47" s="218" customFormat="1" x14ac:dyDescent="0.25">
      <c r="A276" s="245">
        <f t="shared" si="39"/>
        <v>276</v>
      </c>
      <c r="B276" s="246" t="str">
        <f t="shared" si="32"/>
        <v>Oil Field - Tank</v>
      </c>
      <c r="C276" s="246" t="str">
        <f ca="1">IF(B276="","",VLOOKUP(D276,'Species Data'!B:E,4,FALSE))</f>
        <v>c6_comp</v>
      </c>
      <c r="D276" s="246">
        <f t="shared" ca="1" si="33"/>
        <v>1999</v>
      </c>
      <c r="E276" s="246">
        <f t="shared" ca="1" si="34"/>
        <v>5.9314999999999998</v>
      </c>
      <c r="F276" s="246" t="str">
        <f t="shared" ca="1" si="35"/>
        <v>C-6 Compounds</v>
      </c>
      <c r="G276" s="246">
        <f t="shared" ca="1" si="36"/>
        <v>86.175359999999998</v>
      </c>
      <c r="H276" s="204" t="str">
        <f ca="1">IF(G276="","",IF(VLOOKUP(Tank!F276,'Species Data'!D:F,3,FALSE)=0,"X",IF(G276&lt;44.1,2,1)))</f>
        <v>X</v>
      </c>
      <c r="I276" s="204">
        <f t="shared" ca="1" si="37"/>
        <v>3.9709781213899662</v>
      </c>
      <c r="J276" s="247">
        <f ca="1">IF(I276="","",IF(COUNTIF($D$12:D276,D276)=1,IF(H276=1,I276*H276,IF(H276="X","X",0)),0))</f>
        <v>0</v>
      </c>
      <c r="K276" s="248">
        <f t="shared" ca="1" si="38"/>
        <v>0</v>
      </c>
      <c r="L276" s="212" t="s">
        <v>679</v>
      </c>
      <c r="M276" s="212" t="s">
        <v>448</v>
      </c>
      <c r="N276" s="212" t="s">
        <v>470</v>
      </c>
      <c r="O276" s="213">
        <v>41419</v>
      </c>
      <c r="P276" s="212" t="s">
        <v>531</v>
      </c>
      <c r="Q276" s="214">
        <v>100</v>
      </c>
      <c r="R276" s="212" t="s">
        <v>445</v>
      </c>
      <c r="S276" s="212" t="s">
        <v>532</v>
      </c>
      <c r="T276" s="212" t="s">
        <v>445</v>
      </c>
      <c r="U276" s="212" t="s">
        <v>446</v>
      </c>
      <c r="V276" s="214" t="b">
        <v>1</v>
      </c>
      <c r="W276" s="214">
        <v>1989</v>
      </c>
      <c r="X276" s="214">
        <v>5</v>
      </c>
      <c r="Y276" s="214">
        <v>2</v>
      </c>
      <c r="Z276" s="214">
        <v>4</v>
      </c>
      <c r="AA276" s="212" t="s">
        <v>447</v>
      </c>
      <c r="AB276" s="212" t="s">
        <v>531</v>
      </c>
      <c r="AC276" s="212" t="s">
        <v>533</v>
      </c>
      <c r="AD276" s="214">
        <v>2.069318</v>
      </c>
      <c r="AE276" s="214">
        <v>1999</v>
      </c>
      <c r="AF276" s="214">
        <v>5.9314999999999998</v>
      </c>
      <c r="AG276" s="214">
        <v>-99</v>
      </c>
      <c r="AH276" s="212" t="s">
        <v>224</v>
      </c>
      <c r="AI276" s="212" t="s">
        <v>449</v>
      </c>
      <c r="AJ276" s="212" t="s">
        <v>224</v>
      </c>
      <c r="AK276" s="212" t="s">
        <v>531</v>
      </c>
      <c r="AL276" s="212" t="s">
        <v>540</v>
      </c>
      <c r="AM276" s="214" t="b">
        <v>0</v>
      </c>
      <c r="AN276" s="214" t="b">
        <v>0</v>
      </c>
      <c r="AO276" s="212" t="s">
        <v>541</v>
      </c>
      <c r="AP276" s="212" t="s">
        <v>542</v>
      </c>
      <c r="AQ276" s="214">
        <v>86.175359999999998</v>
      </c>
      <c r="AR276" s="214" t="b">
        <v>0</v>
      </c>
      <c r="AS276" s="212" t="s">
        <v>534</v>
      </c>
      <c r="AU276" s="222" t="s">
        <v>819</v>
      </c>
    </row>
    <row r="277" spans="1:47" s="218" customFormat="1" x14ac:dyDescent="0.25">
      <c r="A277" s="245">
        <f t="shared" si="39"/>
        <v>277</v>
      </c>
      <c r="B277" s="246" t="str">
        <f t="shared" si="32"/>
        <v>Oil Field - Tank</v>
      </c>
      <c r="C277" s="246" t="str">
        <f ca="1">IF(B277="","",VLOOKUP(D277,'Species Data'!B:E,4,FALSE))</f>
        <v>c7_comp</v>
      </c>
      <c r="D277" s="246">
        <f t="shared" ca="1" si="33"/>
        <v>2005</v>
      </c>
      <c r="E277" s="246">
        <f t="shared" ca="1" si="34"/>
        <v>2.9653</v>
      </c>
      <c r="F277" s="246" t="str">
        <f t="shared" ca="1" si="35"/>
        <v>C-7 Compounds</v>
      </c>
      <c r="G277" s="246">
        <f t="shared" ca="1" si="36"/>
        <v>100.20194000000001</v>
      </c>
      <c r="H277" s="204" t="str">
        <f ca="1">IF(G277="","",IF(VLOOKUP(Tank!F277,'Species Data'!D:F,3,FALSE)=0,"X",IF(G277&lt;44.1,2,1)))</f>
        <v>X</v>
      </c>
      <c r="I277" s="204">
        <f t="shared" ca="1" si="37"/>
        <v>2.5253842436887401</v>
      </c>
      <c r="J277" s="247">
        <f ca="1">IF(I277="","",IF(COUNTIF($D$12:D277,D277)=1,IF(H277=1,I277*H277,IF(H277="X","X",0)),0))</f>
        <v>0</v>
      </c>
      <c r="K277" s="248">
        <f t="shared" ca="1" si="38"/>
        <v>0</v>
      </c>
      <c r="L277" s="212" t="s">
        <v>679</v>
      </c>
      <c r="M277" s="212" t="s">
        <v>448</v>
      </c>
      <c r="N277" s="212" t="s">
        <v>470</v>
      </c>
      <c r="O277" s="213">
        <v>41419</v>
      </c>
      <c r="P277" s="212" t="s">
        <v>531</v>
      </c>
      <c r="Q277" s="214">
        <v>100</v>
      </c>
      <c r="R277" s="212" t="s">
        <v>445</v>
      </c>
      <c r="S277" s="212" t="s">
        <v>532</v>
      </c>
      <c r="T277" s="212" t="s">
        <v>445</v>
      </c>
      <c r="U277" s="212" t="s">
        <v>446</v>
      </c>
      <c r="V277" s="214" t="b">
        <v>1</v>
      </c>
      <c r="W277" s="214">
        <v>1989</v>
      </c>
      <c r="X277" s="214">
        <v>5</v>
      </c>
      <c r="Y277" s="214">
        <v>2</v>
      </c>
      <c r="Z277" s="214">
        <v>4</v>
      </c>
      <c r="AA277" s="212" t="s">
        <v>447</v>
      </c>
      <c r="AB277" s="212" t="s">
        <v>531</v>
      </c>
      <c r="AC277" s="212" t="s">
        <v>533</v>
      </c>
      <c r="AD277" s="214">
        <v>2.069318</v>
      </c>
      <c r="AE277" s="214">
        <v>2005</v>
      </c>
      <c r="AF277" s="214">
        <v>2.9653</v>
      </c>
      <c r="AG277" s="214">
        <v>-99</v>
      </c>
      <c r="AH277" s="212" t="s">
        <v>224</v>
      </c>
      <c r="AI277" s="212" t="s">
        <v>449</v>
      </c>
      <c r="AJ277" s="212" t="s">
        <v>224</v>
      </c>
      <c r="AK277" s="212" t="s">
        <v>531</v>
      </c>
      <c r="AL277" s="212" t="s">
        <v>543</v>
      </c>
      <c r="AM277" s="214" t="b">
        <v>0</v>
      </c>
      <c r="AN277" s="214" t="b">
        <v>0</v>
      </c>
      <c r="AO277" s="212" t="s">
        <v>544</v>
      </c>
      <c r="AP277" s="212" t="s">
        <v>545</v>
      </c>
      <c r="AQ277" s="214">
        <v>100.20194000000001</v>
      </c>
      <c r="AR277" s="214" t="b">
        <v>0</v>
      </c>
      <c r="AS277" s="212" t="s">
        <v>534</v>
      </c>
      <c r="AU277" s="222" t="s">
        <v>819</v>
      </c>
    </row>
    <row r="278" spans="1:47" s="218" customFormat="1" x14ac:dyDescent="0.25">
      <c r="A278" s="245">
        <f t="shared" si="39"/>
        <v>278</v>
      </c>
      <c r="B278" s="246" t="str">
        <f t="shared" si="32"/>
        <v>Oil Field - Tank</v>
      </c>
      <c r="C278" s="246" t="str">
        <f ca="1">IF(B278="","",VLOOKUP(D278,'Species Data'!B:E,4,FALSE))</f>
        <v>c8_comp</v>
      </c>
      <c r="D278" s="246">
        <f t="shared" ca="1" si="33"/>
        <v>2011</v>
      </c>
      <c r="E278" s="246">
        <f t="shared" ca="1" si="34"/>
        <v>1.6681999999999999</v>
      </c>
      <c r="F278" s="246" t="str">
        <f t="shared" ca="1" si="35"/>
        <v>C-8 Compounds</v>
      </c>
      <c r="G278" s="246">
        <f t="shared" ca="1" si="36"/>
        <v>113.21160686946486</v>
      </c>
      <c r="H278" s="204" t="str">
        <f ca="1">IF(G278="","",IF(VLOOKUP(Tank!F278,'Species Data'!D:F,3,FALSE)=0,"X",IF(G278&lt;44.1,2,1)))</f>
        <v>X</v>
      </c>
      <c r="I278" s="204">
        <f t="shared" ca="1" si="37"/>
        <v>1.3164259710226556</v>
      </c>
      <c r="J278" s="247">
        <f ca="1">IF(I278="","",IF(COUNTIF($D$12:D278,D278)=1,IF(H278=1,I278*H278,IF(H278="X","X",0)),0))</f>
        <v>0</v>
      </c>
      <c r="K278" s="248">
        <f t="shared" ca="1" si="38"/>
        <v>0</v>
      </c>
      <c r="L278" s="212" t="s">
        <v>679</v>
      </c>
      <c r="M278" s="212" t="s">
        <v>448</v>
      </c>
      <c r="N278" s="212" t="s">
        <v>470</v>
      </c>
      <c r="O278" s="213">
        <v>41419</v>
      </c>
      <c r="P278" s="212" t="s">
        <v>531</v>
      </c>
      <c r="Q278" s="214">
        <v>100</v>
      </c>
      <c r="R278" s="212" t="s">
        <v>445</v>
      </c>
      <c r="S278" s="212" t="s">
        <v>532</v>
      </c>
      <c r="T278" s="212" t="s">
        <v>445</v>
      </c>
      <c r="U278" s="212" t="s">
        <v>446</v>
      </c>
      <c r="V278" s="214" t="b">
        <v>1</v>
      </c>
      <c r="W278" s="214">
        <v>1989</v>
      </c>
      <c r="X278" s="214">
        <v>5</v>
      </c>
      <c r="Y278" s="214">
        <v>2</v>
      </c>
      <c r="Z278" s="214">
        <v>4</v>
      </c>
      <c r="AA278" s="212" t="s">
        <v>447</v>
      </c>
      <c r="AB278" s="212" t="s">
        <v>531</v>
      </c>
      <c r="AC278" s="212" t="s">
        <v>533</v>
      </c>
      <c r="AD278" s="214">
        <v>2.069318</v>
      </c>
      <c r="AE278" s="214">
        <v>2011</v>
      </c>
      <c r="AF278" s="214">
        <v>1.6681999999999999</v>
      </c>
      <c r="AG278" s="214">
        <v>-99</v>
      </c>
      <c r="AH278" s="212" t="s">
        <v>224</v>
      </c>
      <c r="AI278" s="212" t="s">
        <v>449</v>
      </c>
      <c r="AJ278" s="212" t="s">
        <v>224</v>
      </c>
      <c r="AK278" s="212" t="s">
        <v>531</v>
      </c>
      <c r="AL278" s="212" t="s">
        <v>546</v>
      </c>
      <c r="AM278" s="214" t="b">
        <v>0</v>
      </c>
      <c r="AN278" s="214" t="b">
        <v>0</v>
      </c>
      <c r="AO278" s="212" t="s">
        <v>547</v>
      </c>
      <c r="AP278" s="212" t="s">
        <v>548</v>
      </c>
      <c r="AQ278" s="214">
        <v>113.21160686946486</v>
      </c>
      <c r="AR278" s="214" t="b">
        <v>0</v>
      </c>
      <c r="AS278" s="212" t="s">
        <v>534</v>
      </c>
      <c r="AU278" s="222" t="s">
        <v>819</v>
      </c>
    </row>
    <row r="279" spans="1:47" s="218" customFormat="1" x14ac:dyDescent="0.25">
      <c r="A279" s="245">
        <f t="shared" si="39"/>
        <v>279</v>
      </c>
      <c r="B279" s="246" t="str">
        <f t="shared" si="32"/>
        <v>Oil Field - Tank</v>
      </c>
      <c r="C279" s="246" t="str">
        <f ca="1">IF(B279="","",VLOOKUP(D279,'Species Data'!B:E,4,FALSE))</f>
        <v>c9_comp</v>
      </c>
      <c r="D279" s="246">
        <f t="shared" ca="1" si="33"/>
        <v>2018</v>
      </c>
      <c r="E279" s="246">
        <f t="shared" ca="1" si="34"/>
        <v>0.61939999999999995</v>
      </c>
      <c r="F279" s="246" t="str">
        <f t="shared" ca="1" si="35"/>
        <v>C-9 Compounds</v>
      </c>
      <c r="G279" s="246">
        <f t="shared" ca="1" si="36"/>
        <v>127.23917598649743</v>
      </c>
      <c r="H279" s="204" t="str">
        <f ca="1">IF(G279="","",IF(VLOOKUP(Tank!F279,'Species Data'!D:F,3,FALSE)=0,"X",IF(G279&lt;44.1,2,1)))</f>
        <v>X</v>
      </c>
      <c r="I279" s="204">
        <f t="shared" ca="1" si="37"/>
        <v>0.54975194428533192</v>
      </c>
      <c r="J279" s="247">
        <f ca="1">IF(I279="","",IF(COUNTIF($D$12:D279,D279)=1,IF(H279=1,I279*H279,IF(H279="X","X",0)),0))</f>
        <v>0</v>
      </c>
      <c r="K279" s="248">
        <f t="shared" ca="1" si="38"/>
        <v>0</v>
      </c>
      <c r="L279" s="212" t="s">
        <v>679</v>
      </c>
      <c r="M279" s="212" t="s">
        <v>448</v>
      </c>
      <c r="N279" s="212" t="s">
        <v>470</v>
      </c>
      <c r="O279" s="213">
        <v>41419</v>
      </c>
      <c r="P279" s="212" t="s">
        <v>531</v>
      </c>
      <c r="Q279" s="214">
        <v>100</v>
      </c>
      <c r="R279" s="212" t="s">
        <v>445</v>
      </c>
      <c r="S279" s="212" t="s">
        <v>532</v>
      </c>
      <c r="T279" s="212" t="s">
        <v>445</v>
      </c>
      <c r="U279" s="212" t="s">
        <v>446</v>
      </c>
      <c r="V279" s="214" t="b">
        <v>1</v>
      </c>
      <c r="W279" s="214">
        <v>1989</v>
      </c>
      <c r="X279" s="214">
        <v>5</v>
      </c>
      <c r="Y279" s="214">
        <v>2</v>
      </c>
      <c r="Z279" s="214">
        <v>4</v>
      </c>
      <c r="AA279" s="212" t="s">
        <v>447</v>
      </c>
      <c r="AB279" s="212" t="s">
        <v>531</v>
      </c>
      <c r="AC279" s="212" t="s">
        <v>533</v>
      </c>
      <c r="AD279" s="214">
        <v>2.069318</v>
      </c>
      <c r="AE279" s="214">
        <v>2018</v>
      </c>
      <c r="AF279" s="214">
        <v>0.61939999999999995</v>
      </c>
      <c r="AG279" s="214">
        <v>-99</v>
      </c>
      <c r="AH279" s="212" t="s">
        <v>224</v>
      </c>
      <c r="AI279" s="212" t="s">
        <v>449</v>
      </c>
      <c r="AJ279" s="212" t="s">
        <v>224</v>
      </c>
      <c r="AK279" s="212" t="s">
        <v>531</v>
      </c>
      <c r="AL279" s="212" t="s">
        <v>464</v>
      </c>
      <c r="AM279" s="214" t="b">
        <v>0</v>
      </c>
      <c r="AN279" s="214" t="b">
        <v>0</v>
      </c>
      <c r="AO279" s="212" t="s">
        <v>549</v>
      </c>
      <c r="AP279" s="212" t="s">
        <v>550</v>
      </c>
      <c r="AQ279" s="214">
        <v>127.23917598649743</v>
      </c>
      <c r="AR279" s="214" t="b">
        <v>0</v>
      </c>
      <c r="AS279" s="212" t="s">
        <v>534</v>
      </c>
      <c r="AU279" s="222" t="s">
        <v>819</v>
      </c>
    </row>
    <row r="280" spans="1:47" s="218" customFormat="1" x14ac:dyDescent="0.25">
      <c r="A280" s="245">
        <f t="shared" si="39"/>
        <v>280</v>
      </c>
      <c r="B280" s="246" t="str">
        <f t="shared" si="32"/>
        <v>Oil Field - Tank</v>
      </c>
      <c r="C280" s="246" t="str">
        <f ca="1">IF(B280="","",VLOOKUP(D280,'Species Data'!B:E,4,FALSE))</f>
        <v>ethben12</v>
      </c>
      <c r="D280" s="246">
        <f t="shared" ca="1" si="33"/>
        <v>80</v>
      </c>
      <c r="E280" s="246">
        <f t="shared" ca="1" si="34"/>
        <v>3.5999999999999999E-3</v>
      </c>
      <c r="F280" s="246" t="str">
        <f t="shared" ca="1" si="35"/>
        <v>1-Methyl-2-ethylbenzene</v>
      </c>
      <c r="G280" s="246">
        <f t="shared" ca="1" si="36"/>
        <v>120.19158</v>
      </c>
      <c r="H280" s="204">
        <f ca="1">IF(G280="","",IF(VLOOKUP(Tank!F280,'Species Data'!D:F,3,FALSE)=0,"X",IF(G280&lt;44.1,2,1)))</f>
        <v>1</v>
      </c>
      <c r="I280" s="204">
        <f t="shared" ca="1" si="37"/>
        <v>1.2980124609196252E-2</v>
      </c>
      <c r="J280" s="247">
        <f ca="1">IF(I280="","",IF(COUNTIF($D$12:D280,D280)=1,IF(H280=1,I280*H280,IF(H280="X","X",0)),0))</f>
        <v>0</v>
      </c>
      <c r="K280" s="248">
        <f t="shared" ca="1" si="38"/>
        <v>0</v>
      </c>
      <c r="L280" s="212" t="s">
        <v>679</v>
      </c>
      <c r="M280" s="212" t="s">
        <v>448</v>
      </c>
      <c r="N280" s="212" t="s">
        <v>470</v>
      </c>
      <c r="O280" s="213">
        <v>41419</v>
      </c>
      <c r="P280" s="212" t="s">
        <v>681</v>
      </c>
      <c r="Q280" s="214">
        <v>100</v>
      </c>
      <c r="R280" s="212" t="s">
        <v>445</v>
      </c>
      <c r="S280" s="212" t="s">
        <v>532</v>
      </c>
      <c r="T280" s="212" t="s">
        <v>445</v>
      </c>
      <c r="U280" s="212" t="s">
        <v>446</v>
      </c>
      <c r="V280" s="214" t="b">
        <v>1</v>
      </c>
      <c r="W280" s="214">
        <v>1989</v>
      </c>
      <c r="X280" s="214">
        <v>5</v>
      </c>
      <c r="Y280" s="214">
        <v>2</v>
      </c>
      <c r="Z280" s="214">
        <v>4</v>
      </c>
      <c r="AA280" s="212" t="s">
        <v>447</v>
      </c>
      <c r="AB280" s="212" t="s">
        <v>531</v>
      </c>
      <c r="AC280" s="212" t="s">
        <v>533</v>
      </c>
      <c r="AD280" s="214">
        <v>1.5049110000000001</v>
      </c>
      <c r="AE280" s="214">
        <v>80</v>
      </c>
      <c r="AF280" s="214">
        <v>3.5999999999999999E-3</v>
      </c>
      <c r="AG280" s="214">
        <v>-99</v>
      </c>
      <c r="AH280" s="212" t="s">
        <v>224</v>
      </c>
      <c r="AI280" s="212" t="s">
        <v>449</v>
      </c>
      <c r="AJ280" s="212" t="s">
        <v>408</v>
      </c>
      <c r="AK280" s="212" t="s">
        <v>531</v>
      </c>
      <c r="AL280" s="212" t="s">
        <v>450</v>
      </c>
      <c r="AM280" s="214" t="b">
        <v>1</v>
      </c>
      <c r="AN280" s="214" t="b">
        <v>0</v>
      </c>
      <c r="AO280" s="212" t="s">
        <v>409</v>
      </c>
      <c r="AP280" s="212" t="s">
        <v>410</v>
      </c>
      <c r="AQ280" s="214">
        <v>120.19158</v>
      </c>
      <c r="AR280" s="214" t="b">
        <v>0</v>
      </c>
      <c r="AS280" s="212" t="s">
        <v>534</v>
      </c>
      <c r="AU280" s="222" t="s">
        <v>819</v>
      </c>
    </row>
    <row r="281" spans="1:47" s="218" customFormat="1" x14ac:dyDescent="0.25">
      <c r="A281" s="245">
        <f t="shared" si="39"/>
        <v>281</v>
      </c>
      <c r="B281" s="246" t="str">
        <f t="shared" si="32"/>
        <v>Oil Field - Tank</v>
      </c>
      <c r="C281" s="246" t="str">
        <f ca="1">IF(B281="","",VLOOKUP(D281,'Species Data'!B:E,4,FALSE))</f>
        <v>ethben13</v>
      </c>
      <c r="D281" s="246">
        <f t="shared" ca="1" si="33"/>
        <v>89</v>
      </c>
      <c r="E281" s="246">
        <f t="shared" ca="1" si="34"/>
        <v>9.2999999999999992E-3</v>
      </c>
      <c r="F281" s="246" t="str">
        <f t="shared" ca="1" si="35"/>
        <v>1-Methyl-3-ethylbenzene (3-Ethyltoluene)</v>
      </c>
      <c r="G281" s="246">
        <f t="shared" ca="1" si="36"/>
        <v>120.19158</v>
      </c>
      <c r="H281" s="204">
        <f ca="1">IF(G281="","",IF(VLOOKUP(Tank!F281,'Species Data'!D:F,3,FALSE)=0,"X",IF(G281&lt;44.1,2,1)))</f>
        <v>1</v>
      </c>
      <c r="I281" s="204">
        <f t="shared" ca="1" si="37"/>
        <v>1.0893437910337275E-2</v>
      </c>
      <c r="J281" s="247">
        <f ca="1">IF(I281="","",IF(COUNTIF($D$12:D281,D281)=1,IF(H281=1,I281*H281,IF(H281="X","X",0)),0))</f>
        <v>0</v>
      </c>
      <c r="K281" s="248">
        <f t="shared" ca="1" si="38"/>
        <v>0</v>
      </c>
      <c r="L281" s="212" t="s">
        <v>679</v>
      </c>
      <c r="M281" s="212" t="s">
        <v>448</v>
      </c>
      <c r="N281" s="212" t="s">
        <v>470</v>
      </c>
      <c r="O281" s="213">
        <v>41419</v>
      </c>
      <c r="P281" s="212" t="s">
        <v>681</v>
      </c>
      <c r="Q281" s="214">
        <v>100</v>
      </c>
      <c r="R281" s="212" t="s">
        <v>445</v>
      </c>
      <c r="S281" s="212" t="s">
        <v>532</v>
      </c>
      <c r="T281" s="212" t="s">
        <v>445</v>
      </c>
      <c r="U281" s="212" t="s">
        <v>446</v>
      </c>
      <c r="V281" s="214" t="b">
        <v>1</v>
      </c>
      <c r="W281" s="214">
        <v>1989</v>
      </c>
      <c r="X281" s="214">
        <v>5</v>
      </c>
      <c r="Y281" s="214">
        <v>2</v>
      </c>
      <c r="Z281" s="214">
        <v>4</v>
      </c>
      <c r="AA281" s="212" t="s">
        <v>447</v>
      </c>
      <c r="AB281" s="212" t="s">
        <v>531</v>
      </c>
      <c r="AC281" s="212" t="s">
        <v>533</v>
      </c>
      <c r="AD281" s="214">
        <v>1.5049110000000001</v>
      </c>
      <c r="AE281" s="214">
        <v>89</v>
      </c>
      <c r="AF281" s="214">
        <v>9.2999999999999992E-3</v>
      </c>
      <c r="AG281" s="214">
        <v>-99</v>
      </c>
      <c r="AH281" s="212" t="s">
        <v>224</v>
      </c>
      <c r="AI281" s="212" t="s">
        <v>449</v>
      </c>
      <c r="AJ281" s="212" t="s">
        <v>411</v>
      </c>
      <c r="AK281" s="212" t="s">
        <v>531</v>
      </c>
      <c r="AL281" s="212" t="s">
        <v>451</v>
      </c>
      <c r="AM281" s="214" t="b">
        <v>1</v>
      </c>
      <c r="AN281" s="214" t="b">
        <v>0</v>
      </c>
      <c r="AO281" s="212" t="s">
        <v>412</v>
      </c>
      <c r="AP281" s="212" t="s">
        <v>413</v>
      </c>
      <c r="AQ281" s="214">
        <v>120.19158</v>
      </c>
      <c r="AR281" s="214" t="b">
        <v>0</v>
      </c>
      <c r="AS281" s="212" t="s">
        <v>534</v>
      </c>
      <c r="AU281" s="222" t="s">
        <v>819</v>
      </c>
    </row>
    <row r="282" spans="1:47" s="218" customFormat="1" x14ac:dyDescent="0.25">
      <c r="A282" s="245">
        <f t="shared" si="39"/>
        <v>282</v>
      </c>
      <c r="B282" s="246" t="str">
        <f t="shared" si="32"/>
        <v>Oil Field - Tank</v>
      </c>
      <c r="C282" s="246" t="str">
        <f ca="1">IF(B282="","",VLOOKUP(D282,'Species Data'!B:E,4,FALSE))</f>
        <v>dimetbut22</v>
      </c>
      <c r="D282" s="246">
        <f t="shared" ca="1" si="33"/>
        <v>122</v>
      </c>
      <c r="E282" s="246">
        <f t="shared" ca="1" si="34"/>
        <v>8.2799999999999999E-2</v>
      </c>
      <c r="F282" s="246" t="str">
        <f t="shared" ca="1" si="35"/>
        <v>2,2-dimethylbutane</v>
      </c>
      <c r="G282" s="246">
        <f t="shared" ca="1" si="36"/>
        <v>86.175359999999998</v>
      </c>
      <c r="H282" s="204">
        <f ca="1">IF(G282="","",IF(VLOOKUP(Tank!F282,'Species Data'!D:F,3,FALSE)=0,"X",IF(G282&lt;44.1,2,1)))</f>
        <v>1</v>
      </c>
      <c r="I282" s="204">
        <f t="shared" ca="1" si="37"/>
        <v>8.538748638653601E-2</v>
      </c>
      <c r="J282" s="247">
        <f ca="1">IF(I282="","",IF(COUNTIF($D$12:D282,D282)=1,IF(H282=1,I282*H282,IF(H282="X","X",0)),0))</f>
        <v>0</v>
      </c>
      <c r="K282" s="248">
        <f t="shared" ca="1" si="38"/>
        <v>0</v>
      </c>
      <c r="L282" s="212" t="s">
        <v>679</v>
      </c>
      <c r="M282" s="212" t="s">
        <v>448</v>
      </c>
      <c r="N282" s="212" t="s">
        <v>470</v>
      </c>
      <c r="O282" s="213">
        <v>41419</v>
      </c>
      <c r="P282" s="212" t="s">
        <v>681</v>
      </c>
      <c r="Q282" s="214">
        <v>100</v>
      </c>
      <c r="R282" s="212" t="s">
        <v>445</v>
      </c>
      <c r="S282" s="212" t="s">
        <v>532</v>
      </c>
      <c r="T282" s="212" t="s">
        <v>445</v>
      </c>
      <c r="U282" s="212" t="s">
        <v>446</v>
      </c>
      <c r="V282" s="214" t="b">
        <v>1</v>
      </c>
      <c r="W282" s="214">
        <v>1989</v>
      </c>
      <c r="X282" s="214">
        <v>5</v>
      </c>
      <c r="Y282" s="214">
        <v>2</v>
      </c>
      <c r="Z282" s="214">
        <v>4</v>
      </c>
      <c r="AA282" s="212" t="s">
        <v>447</v>
      </c>
      <c r="AB282" s="212" t="s">
        <v>531</v>
      </c>
      <c r="AC282" s="212" t="s">
        <v>533</v>
      </c>
      <c r="AD282" s="214">
        <v>1.5049110000000001</v>
      </c>
      <c r="AE282" s="214">
        <v>122</v>
      </c>
      <c r="AF282" s="214">
        <v>8.2799999999999999E-2</v>
      </c>
      <c r="AG282" s="214">
        <v>-99</v>
      </c>
      <c r="AH282" s="212" t="s">
        <v>224</v>
      </c>
      <c r="AI282" s="212" t="s">
        <v>449</v>
      </c>
      <c r="AJ282" s="212" t="s">
        <v>301</v>
      </c>
      <c r="AK282" s="212" t="s">
        <v>531</v>
      </c>
      <c r="AL282" s="212" t="s">
        <v>384</v>
      </c>
      <c r="AM282" s="214" t="b">
        <v>1</v>
      </c>
      <c r="AN282" s="214" t="b">
        <v>0</v>
      </c>
      <c r="AO282" s="212" t="s">
        <v>302</v>
      </c>
      <c r="AP282" s="212" t="s">
        <v>303</v>
      </c>
      <c r="AQ282" s="214">
        <v>86.175359999999998</v>
      </c>
      <c r="AR282" s="214" t="b">
        <v>0</v>
      </c>
      <c r="AS282" s="212" t="s">
        <v>534</v>
      </c>
      <c r="AU282" s="222" t="s">
        <v>819</v>
      </c>
    </row>
    <row r="283" spans="1:47" s="218" customFormat="1" x14ac:dyDescent="0.25">
      <c r="A283" s="245">
        <f t="shared" si="39"/>
        <v>283</v>
      </c>
      <c r="B283" s="246" t="str">
        <f t="shared" si="32"/>
        <v>Oil Field - Tank</v>
      </c>
      <c r="C283" s="246" t="str">
        <f ca="1">IF(B283="","",VLOOKUP(D283,'Species Data'!B:E,4,FALSE))</f>
        <v>dimethpro</v>
      </c>
      <c r="D283" s="246">
        <f t="shared" ca="1" si="33"/>
        <v>127</v>
      </c>
      <c r="E283" s="246">
        <f t="shared" ca="1" si="34"/>
        <v>4.1500000000000002E-2</v>
      </c>
      <c r="F283" s="246" t="str">
        <f t="shared" ca="1" si="35"/>
        <v>2,2-dimethylpropane</v>
      </c>
      <c r="G283" s="246">
        <f t="shared" ca="1" si="36"/>
        <v>72.148780000000002</v>
      </c>
      <c r="H283" s="204">
        <f ca="1">IF(G283="","",IF(VLOOKUP(Tank!F283,'Species Data'!D:F,3,FALSE)=0,"X",IF(G283&lt;44.1,2,1)))</f>
        <v>1</v>
      </c>
      <c r="I283" s="204">
        <f t="shared" ca="1" si="37"/>
        <v>9.7614270430329483E-2</v>
      </c>
      <c r="J283" s="247">
        <f ca="1">IF(I283="","",IF(COUNTIF($D$12:D283,D283)=1,IF(H283=1,I283*H283,IF(H283="X","X",0)),0))</f>
        <v>0</v>
      </c>
      <c r="K283" s="248">
        <f t="shared" ca="1" si="38"/>
        <v>0</v>
      </c>
      <c r="L283" s="212" t="s">
        <v>679</v>
      </c>
      <c r="M283" s="212" t="s">
        <v>448</v>
      </c>
      <c r="N283" s="212" t="s">
        <v>470</v>
      </c>
      <c r="O283" s="213">
        <v>41419</v>
      </c>
      <c r="P283" s="212" t="s">
        <v>681</v>
      </c>
      <c r="Q283" s="214">
        <v>100</v>
      </c>
      <c r="R283" s="212" t="s">
        <v>445</v>
      </c>
      <c r="S283" s="212" t="s">
        <v>532</v>
      </c>
      <c r="T283" s="212" t="s">
        <v>445</v>
      </c>
      <c r="U283" s="212" t="s">
        <v>446</v>
      </c>
      <c r="V283" s="214" t="b">
        <v>1</v>
      </c>
      <c r="W283" s="214">
        <v>1989</v>
      </c>
      <c r="X283" s="214">
        <v>5</v>
      </c>
      <c r="Y283" s="214">
        <v>2</v>
      </c>
      <c r="Z283" s="214">
        <v>4</v>
      </c>
      <c r="AA283" s="212" t="s">
        <v>447</v>
      </c>
      <c r="AB283" s="212" t="s">
        <v>531</v>
      </c>
      <c r="AC283" s="212" t="s">
        <v>533</v>
      </c>
      <c r="AD283" s="214">
        <v>1.5049110000000001</v>
      </c>
      <c r="AE283" s="214">
        <v>127</v>
      </c>
      <c r="AF283" s="214">
        <v>4.1500000000000002E-2</v>
      </c>
      <c r="AG283" s="214">
        <v>-99</v>
      </c>
      <c r="AH283" s="212" t="s">
        <v>224</v>
      </c>
      <c r="AI283" s="212" t="s">
        <v>449</v>
      </c>
      <c r="AJ283" s="212" t="s">
        <v>441</v>
      </c>
      <c r="AK283" s="212" t="s">
        <v>531</v>
      </c>
      <c r="AL283" s="212" t="s">
        <v>462</v>
      </c>
      <c r="AM283" s="214" t="b">
        <v>0</v>
      </c>
      <c r="AN283" s="214" t="b">
        <v>0</v>
      </c>
      <c r="AO283" s="212" t="s">
        <v>442</v>
      </c>
      <c r="AP283" s="212" t="s">
        <v>531</v>
      </c>
      <c r="AQ283" s="214">
        <v>72.148780000000002</v>
      </c>
      <c r="AR283" s="214" t="b">
        <v>0</v>
      </c>
      <c r="AS283" s="212" t="s">
        <v>534</v>
      </c>
      <c r="AU283" s="222" t="s">
        <v>819</v>
      </c>
    </row>
    <row r="284" spans="1:47" s="218" customFormat="1" x14ac:dyDescent="0.25">
      <c r="A284" s="245">
        <f t="shared" si="39"/>
        <v>284</v>
      </c>
      <c r="B284" s="246" t="str">
        <f t="shared" si="32"/>
        <v>Oil Field - Tank</v>
      </c>
      <c r="C284" s="246" t="str">
        <f ca="1">IF(B284="","",VLOOKUP(D284,'Species Data'!B:E,4,FALSE))</f>
        <v>trimentpen3</v>
      </c>
      <c r="D284" s="246">
        <f t="shared" ca="1" si="33"/>
        <v>130</v>
      </c>
      <c r="E284" s="246">
        <f t="shared" ca="1" si="34"/>
        <v>2.1600000000000001E-2</v>
      </c>
      <c r="F284" s="246" t="str">
        <f t="shared" ca="1" si="35"/>
        <v>2,3,4-trimethylpentane</v>
      </c>
      <c r="G284" s="246">
        <f t="shared" ca="1" si="36"/>
        <v>114.22852</v>
      </c>
      <c r="H284" s="204">
        <f ca="1">IF(G284="","",IF(VLOOKUP(Tank!F284,'Species Data'!D:F,3,FALSE)=0,"X",IF(G284&lt;44.1,2,1)))</f>
        <v>1</v>
      </c>
      <c r="I284" s="204">
        <f t="shared" ca="1" si="37"/>
        <v>0.22004211240427912</v>
      </c>
      <c r="J284" s="247">
        <f ca="1">IF(I284="","",IF(COUNTIF($D$12:D284,D284)=1,IF(H284=1,I284*H284,IF(H284="X","X",0)),0))</f>
        <v>0</v>
      </c>
      <c r="K284" s="248">
        <f t="shared" ca="1" si="38"/>
        <v>0</v>
      </c>
      <c r="L284" s="212" t="s">
        <v>679</v>
      </c>
      <c r="M284" s="212" t="s">
        <v>448</v>
      </c>
      <c r="N284" s="212" t="s">
        <v>470</v>
      </c>
      <c r="O284" s="213">
        <v>41419</v>
      </c>
      <c r="P284" s="212" t="s">
        <v>681</v>
      </c>
      <c r="Q284" s="214">
        <v>100</v>
      </c>
      <c r="R284" s="212" t="s">
        <v>445</v>
      </c>
      <c r="S284" s="212" t="s">
        <v>532</v>
      </c>
      <c r="T284" s="212" t="s">
        <v>445</v>
      </c>
      <c r="U284" s="212" t="s">
        <v>446</v>
      </c>
      <c r="V284" s="214" t="b">
        <v>1</v>
      </c>
      <c r="W284" s="214">
        <v>1989</v>
      </c>
      <c r="X284" s="214">
        <v>5</v>
      </c>
      <c r="Y284" s="214">
        <v>2</v>
      </c>
      <c r="Z284" s="214">
        <v>4</v>
      </c>
      <c r="AA284" s="212" t="s">
        <v>447</v>
      </c>
      <c r="AB284" s="212" t="s">
        <v>531</v>
      </c>
      <c r="AC284" s="212" t="s">
        <v>533</v>
      </c>
      <c r="AD284" s="214">
        <v>1.5049110000000001</v>
      </c>
      <c r="AE284" s="214">
        <v>130</v>
      </c>
      <c r="AF284" s="214">
        <v>2.1600000000000001E-2</v>
      </c>
      <c r="AG284" s="214">
        <v>-99</v>
      </c>
      <c r="AH284" s="212" t="s">
        <v>224</v>
      </c>
      <c r="AI284" s="212" t="s">
        <v>449</v>
      </c>
      <c r="AJ284" s="212" t="s">
        <v>404</v>
      </c>
      <c r="AK284" s="212" t="s">
        <v>531</v>
      </c>
      <c r="AL284" s="212" t="s">
        <v>405</v>
      </c>
      <c r="AM284" s="214" t="b">
        <v>1</v>
      </c>
      <c r="AN284" s="214" t="b">
        <v>0</v>
      </c>
      <c r="AO284" s="212" t="s">
        <v>406</v>
      </c>
      <c r="AP284" s="212" t="s">
        <v>407</v>
      </c>
      <c r="AQ284" s="214">
        <v>114.22852</v>
      </c>
      <c r="AR284" s="214" t="b">
        <v>0</v>
      </c>
      <c r="AS284" s="212" t="s">
        <v>534</v>
      </c>
      <c r="AU284" s="222" t="s">
        <v>819</v>
      </c>
    </row>
    <row r="285" spans="1:47" s="218" customFormat="1" x14ac:dyDescent="0.25">
      <c r="A285" s="245">
        <f t="shared" si="39"/>
        <v>285</v>
      </c>
      <c r="B285" s="246" t="str">
        <f t="shared" si="32"/>
        <v>Oil Field - Tank</v>
      </c>
      <c r="C285" s="246" t="str">
        <f ca="1">IF(B285="","",VLOOKUP(D285,'Species Data'!B:E,4,FALSE))</f>
        <v>dimethhex23</v>
      </c>
      <c r="D285" s="246">
        <f t="shared" ca="1" si="33"/>
        <v>138</v>
      </c>
      <c r="E285" s="246">
        <f t="shared" ca="1" si="34"/>
        <v>2.75E-2</v>
      </c>
      <c r="F285" s="246" t="str">
        <f t="shared" ca="1" si="35"/>
        <v>2,3-dimethylhexane</v>
      </c>
      <c r="G285" s="246">
        <f t="shared" ca="1" si="36"/>
        <v>114.22852</v>
      </c>
      <c r="H285" s="204">
        <f ca="1">IF(G285="","",IF(VLOOKUP(Tank!F285,'Species Data'!D:F,3,FALSE)=0,"X",IF(G285&lt;44.1,2,1)))</f>
        <v>1</v>
      </c>
      <c r="I285" s="204">
        <f t="shared" ca="1" si="37"/>
        <v>2.958028397072613E-2</v>
      </c>
      <c r="J285" s="247">
        <f ca="1">IF(I285="","",IF(COUNTIF($D$12:D285,D285)=1,IF(H285=1,I285*H285,IF(H285="X","X",0)),0))</f>
        <v>0</v>
      </c>
      <c r="K285" s="248">
        <f t="shared" ca="1" si="38"/>
        <v>0</v>
      </c>
      <c r="L285" s="212" t="s">
        <v>679</v>
      </c>
      <c r="M285" s="212" t="s">
        <v>448</v>
      </c>
      <c r="N285" s="212" t="s">
        <v>470</v>
      </c>
      <c r="O285" s="213">
        <v>41419</v>
      </c>
      <c r="P285" s="212" t="s">
        <v>681</v>
      </c>
      <c r="Q285" s="214">
        <v>100</v>
      </c>
      <c r="R285" s="212" t="s">
        <v>445</v>
      </c>
      <c r="S285" s="212" t="s">
        <v>532</v>
      </c>
      <c r="T285" s="212" t="s">
        <v>445</v>
      </c>
      <c r="U285" s="212" t="s">
        <v>446</v>
      </c>
      <c r="V285" s="214" t="b">
        <v>1</v>
      </c>
      <c r="W285" s="214">
        <v>1989</v>
      </c>
      <c r="X285" s="214">
        <v>5</v>
      </c>
      <c r="Y285" s="214">
        <v>2</v>
      </c>
      <c r="Z285" s="214">
        <v>4</v>
      </c>
      <c r="AA285" s="212" t="s">
        <v>447</v>
      </c>
      <c r="AB285" s="212" t="s">
        <v>531</v>
      </c>
      <c r="AC285" s="212" t="s">
        <v>533</v>
      </c>
      <c r="AD285" s="214">
        <v>1.5049110000000001</v>
      </c>
      <c r="AE285" s="214">
        <v>138</v>
      </c>
      <c r="AF285" s="214">
        <v>2.75E-2</v>
      </c>
      <c r="AG285" s="214">
        <v>-99</v>
      </c>
      <c r="AH285" s="212" t="s">
        <v>224</v>
      </c>
      <c r="AI285" s="212" t="s">
        <v>449</v>
      </c>
      <c r="AJ285" s="212" t="s">
        <v>443</v>
      </c>
      <c r="AK285" s="212" t="s">
        <v>531</v>
      </c>
      <c r="AL285" s="212" t="s">
        <v>463</v>
      </c>
      <c r="AM285" s="214" t="b">
        <v>0</v>
      </c>
      <c r="AN285" s="214" t="b">
        <v>0</v>
      </c>
      <c r="AO285" s="212" t="s">
        <v>444</v>
      </c>
      <c r="AP285" s="212" t="s">
        <v>531</v>
      </c>
      <c r="AQ285" s="214">
        <v>114.22852</v>
      </c>
      <c r="AR285" s="214" t="b">
        <v>0</v>
      </c>
      <c r="AS285" s="212" t="s">
        <v>534</v>
      </c>
      <c r="AU285" s="222" t="s">
        <v>819</v>
      </c>
    </row>
    <row r="286" spans="1:47" s="218" customFormat="1" x14ac:dyDescent="0.25">
      <c r="A286" s="245">
        <f t="shared" si="39"/>
        <v>286</v>
      </c>
      <c r="B286" s="246" t="str">
        <f t="shared" si="32"/>
        <v>Oil Field - Tank</v>
      </c>
      <c r="C286" s="246" t="str">
        <f ca="1">IF(B286="","",VLOOKUP(D286,'Species Data'!B:E,4,FALSE))</f>
        <v>dimetpen3</v>
      </c>
      <c r="D286" s="246">
        <f t="shared" ca="1" si="33"/>
        <v>140</v>
      </c>
      <c r="E286" s="246">
        <f t="shared" ca="1" si="34"/>
        <v>0.25600000000000001</v>
      </c>
      <c r="F286" s="246" t="str">
        <f t="shared" ca="1" si="35"/>
        <v>2,3-dimethylpentane</v>
      </c>
      <c r="G286" s="246">
        <f t="shared" ca="1" si="36"/>
        <v>100.20194000000001</v>
      </c>
      <c r="H286" s="204">
        <f ca="1">IF(G286="","",IF(VLOOKUP(Tank!F286,'Species Data'!D:F,3,FALSE)=0,"X",IF(G286&lt;44.1,2,1)))</f>
        <v>1</v>
      </c>
      <c r="I286" s="204">
        <f t="shared" ca="1" si="37"/>
        <v>0.24488235087056845</v>
      </c>
      <c r="J286" s="247">
        <f ca="1">IF(I286="","",IF(COUNTIF($D$12:D286,D286)=1,IF(H286=1,I286*H286,IF(H286="X","X",0)),0))</f>
        <v>0</v>
      </c>
      <c r="K286" s="248">
        <f t="shared" ca="1" si="38"/>
        <v>0</v>
      </c>
      <c r="L286" s="212" t="s">
        <v>679</v>
      </c>
      <c r="M286" s="212" t="s">
        <v>448</v>
      </c>
      <c r="N286" s="212" t="s">
        <v>470</v>
      </c>
      <c r="O286" s="213">
        <v>41419</v>
      </c>
      <c r="P286" s="212" t="s">
        <v>681</v>
      </c>
      <c r="Q286" s="214">
        <v>100</v>
      </c>
      <c r="R286" s="212" t="s">
        <v>445</v>
      </c>
      <c r="S286" s="212" t="s">
        <v>532</v>
      </c>
      <c r="T286" s="212" t="s">
        <v>445</v>
      </c>
      <c r="U286" s="212" t="s">
        <v>446</v>
      </c>
      <c r="V286" s="214" t="b">
        <v>1</v>
      </c>
      <c r="W286" s="214">
        <v>1989</v>
      </c>
      <c r="X286" s="214">
        <v>5</v>
      </c>
      <c r="Y286" s="214">
        <v>2</v>
      </c>
      <c r="Z286" s="214">
        <v>4</v>
      </c>
      <c r="AA286" s="212" t="s">
        <v>447</v>
      </c>
      <c r="AB286" s="212" t="s">
        <v>531</v>
      </c>
      <c r="AC286" s="212" t="s">
        <v>533</v>
      </c>
      <c r="AD286" s="214">
        <v>1.5049110000000001</v>
      </c>
      <c r="AE286" s="214">
        <v>140</v>
      </c>
      <c r="AF286" s="214">
        <v>0.25600000000000001</v>
      </c>
      <c r="AG286" s="214">
        <v>-99</v>
      </c>
      <c r="AH286" s="212" t="s">
        <v>224</v>
      </c>
      <c r="AI286" s="212" t="s">
        <v>449</v>
      </c>
      <c r="AJ286" s="212" t="s">
        <v>307</v>
      </c>
      <c r="AK286" s="212" t="s">
        <v>531</v>
      </c>
      <c r="AL286" s="212" t="s">
        <v>385</v>
      </c>
      <c r="AM286" s="214" t="b">
        <v>1</v>
      </c>
      <c r="AN286" s="214" t="b">
        <v>0</v>
      </c>
      <c r="AO286" s="212" t="s">
        <v>308</v>
      </c>
      <c r="AP286" s="212" t="s">
        <v>309</v>
      </c>
      <c r="AQ286" s="214">
        <v>100.20194000000001</v>
      </c>
      <c r="AR286" s="214" t="b">
        <v>0</v>
      </c>
      <c r="AS286" s="212" t="s">
        <v>534</v>
      </c>
      <c r="AU286" s="222" t="s">
        <v>819</v>
      </c>
    </row>
    <row r="287" spans="1:47" s="218" customFormat="1" x14ac:dyDescent="0.25">
      <c r="A287" s="245">
        <f t="shared" si="39"/>
        <v>287</v>
      </c>
      <c r="B287" s="246" t="str">
        <f t="shared" si="32"/>
        <v>Oil Field - Tank</v>
      </c>
      <c r="C287" s="246" t="str">
        <f ca="1">IF(B287="","",VLOOKUP(D287,'Species Data'!B:E,4,FALSE))</f>
        <v>dimethhex24</v>
      </c>
      <c r="D287" s="246">
        <f t="shared" ca="1" si="33"/>
        <v>149</v>
      </c>
      <c r="E287" s="246">
        <f t="shared" ca="1" si="34"/>
        <v>3.7600000000000001E-2</v>
      </c>
      <c r="F287" s="246" t="str">
        <f t="shared" ca="1" si="35"/>
        <v>2,4-dimethylhexane</v>
      </c>
      <c r="G287" s="246">
        <f t="shared" ca="1" si="36"/>
        <v>114.22852</v>
      </c>
      <c r="H287" s="204">
        <f ca="1">IF(G287="","",IF(VLOOKUP(Tank!F287,'Species Data'!D:F,3,FALSE)=0,"X",IF(G287&lt;44.1,2,1)))</f>
        <v>1</v>
      </c>
      <c r="I287" s="204">
        <f t="shared" ca="1" si="37"/>
        <v>6.6793974555489091E-2</v>
      </c>
      <c r="J287" s="247">
        <f ca="1">IF(I287="","",IF(COUNTIF($D$12:D287,D287)=1,IF(H287=1,I287*H287,IF(H287="X","X",0)),0))</f>
        <v>0</v>
      </c>
      <c r="K287" s="248">
        <f t="shared" ca="1" si="38"/>
        <v>0</v>
      </c>
      <c r="L287" s="212" t="s">
        <v>679</v>
      </c>
      <c r="M287" s="212" t="s">
        <v>448</v>
      </c>
      <c r="N287" s="212" t="s">
        <v>470</v>
      </c>
      <c r="O287" s="213">
        <v>41419</v>
      </c>
      <c r="P287" s="212" t="s">
        <v>681</v>
      </c>
      <c r="Q287" s="214">
        <v>100</v>
      </c>
      <c r="R287" s="212" t="s">
        <v>445</v>
      </c>
      <c r="S287" s="212" t="s">
        <v>532</v>
      </c>
      <c r="T287" s="212" t="s">
        <v>445</v>
      </c>
      <c r="U287" s="212" t="s">
        <v>446</v>
      </c>
      <c r="V287" s="214" t="b">
        <v>1</v>
      </c>
      <c r="W287" s="214">
        <v>1989</v>
      </c>
      <c r="X287" s="214">
        <v>5</v>
      </c>
      <c r="Y287" s="214">
        <v>2</v>
      </c>
      <c r="Z287" s="214">
        <v>4</v>
      </c>
      <c r="AA287" s="212" t="s">
        <v>447</v>
      </c>
      <c r="AB287" s="212" t="s">
        <v>531</v>
      </c>
      <c r="AC287" s="212" t="s">
        <v>533</v>
      </c>
      <c r="AD287" s="214">
        <v>1.5049110000000001</v>
      </c>
      <c r="AE287" s="214">
        <v>149</v>
      </c>
      <c r="AF287" s="214">
        <v>3.7600000000000001E-2</v>
      </c>
      <c r="AG287" s="214">
        <v>-99</v>
      </c>
      <c r="AH287" s="212" t="s">
        <v>224</v>
      </c>
      <c r="AI287" s="212" t="s">
        <v>449</v>
      </c>
      <c r="AJ287" s="212" t="s">
        <v>427</v>
      </c>
      <c r="AK287" s="212" t="s">
        <v>531</v>
      </c>
      <c r="AL287" s="212" t="s">
        <v>457</v>
      </c>
      <c r="AM287" s="214" t="b">
        <v>0</v>
      </c>
      <c r="AN287" s="214" t="b">
        <v>0</v>
      </c>
      <c r="AO287" s="212" t="s">
        <v>428</v>
      </c>
      <c r="AP287" s="212" t="s">
        <v>429</v>
      </c>
      <c r="AQ287" s="214">
        <v>114.22852</v>
      </c>
      <c r="AR287" s="214" t="b">
        <v>0</v>
      </c>
      <c r="AS287" s="212" t="s">
        <v>534</v>
      </c>
      <c r="AU287" s="222" t="s">
        <v>819</v>
      </c>
    </row>
    <row r="288" spans="1:47" s="218" customFormat="1" x14ac:dyDescent="0.25">
      <c r="A288" s="245">
        <f t="shared" si="39"/>
        <v>288</v>
      </c>
      <c r="B288" s="246" t="str">
        <f t="shared" si="32"/>
        <v>Oil Field - Tank</v>
      </c>
      <c r="C288" s="246" t="str">
        <f ca="1">IF(B288="","",VLOOKUP(D288,'Species Data'!B:E,4,FALSE))</f>
        <v>dimetpen4</v>
      </c>
      <c r="D288" s="246">
        <f t="shared" ca="1" si="33"/>
        <v>152</v>
      </c>
      <c r="E288" s="246">
        <f t="shared" ca="1" si="34"/>
        <v>8.7999999999999995E-2</v>
      </c>
      <c r="F288" s="246" t="str">
        <f t="shared" ca="1" si="35"/>
        <v>2,4-dimethylpentane</v>
      </c>
      <c r="G288" s="246">
        <f t="shared" ca="1" si="36"/>
        <v>100.20194000000001</v>
      </c>
      <c r="H288" s="204">
        <f ca="1">IF(G288="","",IF(VLOOKUP(Tank!F288,'Species Data'!D:F,3,FALSE)=0,"X",IF(G288&lt;44.1,2,1)))</f>
        <v>1</v>
      </c>
      <c r="I288" s="204">
        <f t="shared" ca="1" si="37"/>
        <v>7.947409628465768E-2</v>
      </c>
      <c r="J288" s="247">
        <f ca="1">IF(I288="","",IF(COUNTIF($D$12:D288,D288)=1,IF(H288=1,I288*H288,IF(H288="X","X",0)),0))</f>
        <v>0</v>
      </c>
      <c r="K288" s="248">
        <f t="shared" ca="1" si="38"/>
        <v>0</v>
      </c>
      <c r="L288" s="212" t="s">
        <v>679</v>
      </c>
      <c r="M288" s="212" t="s">
        <v>448</v>
      </c>
      <c r="N288" s="212" t="s">
        <v>470</v>
      </c>
      <c r="O288" s="213">
        <v>41419</v>
      </c>
      <c r="P288" s="212" t="s">
        <v>681</v>
      </c>
      <c r="Q288" s="214">
        <v>100</v>
      </c>
      <c r="R288" s="212" t="s">
        <v>445</v>
      </c>
      <c r="S288" s="212" t="s">
        <v>532</v>
      </c>
      <c r="T288" s="212" t="s">
        <v>445</v>
      </c>
      <c r="U288" s="212" t="s">
        <v>446</v>
      </c>
      <c r="V288" s="214" t="b">
        <v>1</v>
      </c>
      <c r="W288" s="214">
        <v>1989</v>
      </c>
      <c r="X288" s="214">
        <v>5</v>
      </c>
      <c r="Y288" s="214">
        <v>2</v>
      </c>
      <c r="Z288" s="214">
        <v>4</v>
      </c>
      <c r="AA288" s="212" t="s">
        <v>447</v>
      </c>
      <c r="AB288" s="212" t="s">
        <v>531</v>
      </c>
      <c r="AC288" s="212" t="s">
        <v>533</v>
      </c>
      <c r="AD288" s="214">
        <v>1.5049110000000001</v>
      </c>
      <c r="AE288" s="214">
        <v>152</v>
      </c>
      <c r="AF288" s="214">
        <v>8.7999999999999995E-2</v>
      </c>
      <c r="AG288" s="214">
        <v>-99</v>
      </c>
      <c r="AH288" s="212" t="s">
        <v>224</v>
      </c>
      <c r="AI288" s="212" t="s">
        <v>449</v>
      </c>
      <c r="AJ288" s="212" t="s">
        <v>310</v>
      </c>
      <c r="AK288" s="212" t="s">
        <v>531</v>
      </c>
      <c r="AL288" s="212" t="s">
        <v>386</v>
      </c>
      <c r="AM288" s="214" t="b">
        <v>1</v>
      </c>
      <c r="AN288" s="214" t="b">
        <v>0</v>
      </c>
      <c r="AO288" s="212" t="s">
        <v>311</v>
      </c>
      <c r="AP288" s="212" t="s">
        <v>312</v>
      </c>
      <c r="AQ288" s="214">
        <v>100.20194000000001</v>
      </c>
      <c r="AR288" s="214" t="b">
        <v>0</v>
      </c>
      <c r="AS288" s="212" t="s">
        <v>534</v>
      </c>
      <c r="AU288" s="222" t="s">
        <v>819</v>
      </c>
    </row>
    <row r="289" spans="1:47" s="218" customFormat="1" x14ac:dyDescent="0.25">
      <c r="A289" s="245">
        <f t="shared" si="39"/>
        <v>289</v>
      </c>
      <c r="B289" s="246" t="str">
        <f t="shared" si="32"/>
        <v>Oil Field - Tank</v>
      </c>
      <c r="C289" s="246" t="str">
        <f ca="1">IF(B289="","",VLOOKUP(D289,'Species Data'!B:E,4,FALSE))</f>
        <v>methep2</v>
      </c>
      <c r="D289" s="246">
        <f t="shared" ca="1" si="33"/>
        <v>193</v>
      </c>
      <c r="E289" s="246">
        <f t="shared" ca="1" si="34"/>
        <v>0.20499999999999999</v>
      </c>
      <c r="F289" s="246" t="str">
        <f t="shared" ca="1" si="35"/>
        <v>2-methylheptane</v>
      </c>
      <c r="G289" s="246">
        <f t="shared" ca="1" si="36"/>
        <v>114.22852</v>
      </c>
      <c r="H289" s="204">
        <f ca="1">IF(G289="","",IF(VLOOKUP(Tank!F289,'Species Data'!D:F,3,FALSE)=0,"X",IF(G289&lt;44.1,2,1)))</f>
        <v>1</v>
      </c>
      <c r="I289" s="204">
        <f t="shared" ca="1" si="37"/>
        <v>0.11845447049625013</v>
      </c>
      <c r="J289" s="247">
        <f ca="1">IF(I289="","",IF(COUNTIF($D$12:D289,D289)=1,IF(H289=1,I289*H289,IF(H289="X","X",0)),0))</f>
        <v>0</v>
      </c>
      <c r="K289" s="248">
        <f t="shared" ca="1" si="38"/>
        <v>0</v>
      </c>
      <c r="L289" s="212" t="s">
        <v>679</v>
      </c>
      <c r="M289" s="212" t="s">
        <v>448</v>
      </c>
      <c r="N289" s="212" t="s">
        <v>470</v>
      </c>
      <c r="O289" s="213">
        <v>41419</v>
      </c>
      <c r="P289" s="212" t="s">
        <v>681</v>
      </c>
      <c r="Q289" s="214">
        <v>100</v>
      </c>
      <c r="R289" s="212" t="s">
        <v>445</v>
      </c>
      <c r="S289" s="212" t="s">
        <v>532</v>
      </c>
      <c r="T289" s="212" t="s">
        <v>445</v>
      </c>
      <c r="U289" s="212" t="s">
        <v>446</v>
      </c>
      <c r="V289" s="214" t="b">
        <v>1</v>
      </c>
      <c r="W289" s="214">
        <v>1989</v>
      </c>
      <c r="X289" s="214">
        <v>5</v>
      </c>
      <c r="Y289" s="214">
        <v>2</v>
      </c>
      <c r="Z289" s="214">
        <v>4</v>
      </c>
      <c r="AA289" s="212" t="s">
        <v>447</v>
      </c>
      <c r="AB289" s="212" t="s">
        <v>531</v>
      </c>
      <c r="AC289" s="212" t="s">
        <v>533</v>
      </c>
      <c r="AD289" s="214">
        <v>1.5049110000000001</v>
      </c>
      <c r="AE289" s="214">
        <v>193</v>
      </c>
      <c r="AF289" s="214">
        <v>0.20499999999999999</v>
      </c>
      <c r="AG289" s="214">
        <v>-99</v>
      </c>
      <c r="AH289" s="212" t="s">
        <v>224</v>
      </c>
      <c r="AI289" s="212" t="s">
        <v>449</v>
      </c>
      <c r="AJ289" s="212" t="s">
        <v>313</v>
      </c>
      <c r="AK289" s="212" t="s">
        <v>531</v>
      </c>
      <c r="AL289" s="212" t="s">
        <v>387</v>
      </c>
      <c r="AM289" s="214" t="b">
        <v>1</v>
      </c>
      <c r="AN289" s="214" t="b">
        <v>0</v>
      </c>
      <c r="AO289" s="212" t="s">
        <v>314</v>
      </c>
      <c r="AP289" s="212" t="s">
        <v>315</v>
      </c>
      <c r="AQ289" s="214">
        <v>114.22852</v>
      </c>
      <c r="AR289" s="214" t="b">
        <v>0</v>
      </c>
      <c r="AS289" s="212" t="s">
        <v>534</v>
      </c>
      <c r="AU289" s="222" t="s">
        <v>819</v>
      </c>
    </row>
    <row r="290" spans="1:47" s="218" customFormat="1" x14ac:dyDescent="0.25">
      <c r="A290" s="245">
        <f t="shared" si="39"/>
        <v>290</v>
      </c>
      <c r="B290" s="246" t="str">
        <f t="shared" si="32"/>
        <v>Oil Field - Tank</v>
      </c>
      <c r="C290" s="246" t="str">
        <f ca="1">IF(B290="","",VLOOKUP(D290,'Species Data'!B:E,4,FALSE))</f>
        <v>twomethex</v>
      </c>
      <c r="D290" s="246">
        <f t="shared" ca="1" si="33"/>
        <v>194</v>
      </c>
      <c r="E290" s="246">
        <f t="shared" ca="1" si="34"/>
        <v>0.3533</v>
      </c>
      <c r="F290" s="246" t="str">
        <f t="shared" ca="1" si="35"/>
        <v>2-methylhexane</v>
      </c>
      <c r="G290" s="246">
        <f t="shared" ca="1" si="36"/>
        <v>100.20194000000001</v>
      </c>
      <c r="H290" s="204">
        <f ca="1">IF(G290="","",IF(VLOOKUP(Tank!F290,'Species Data'!D:F,3,FALSE)=0,"X",IF(G290&lt;44.1,2,1)))</f>
        <v>1</v>
      </c>
      <c r="I290" s="204">
        <f t="shared" ca="1" si="37"/>
        <v>0.30248957056654424</v>
      </c>
      <c r="J290" s="247">
        <f ca="1">IF(I290="","",IF(COUNTIF($D$12:D290,D290)=1,IF(H290=1,I290*H290,IF(H290="X","X",0)),0))</f>
        <v>0</v>
      </c>
      <c r="K290" s="248">
        <f t="shared" ca="1" si="38"/>
        <v>0</v>
      </c>
      <c r="L290" s="212" t="s">
        <v>679</v>
      </c>
      <c r="M290" s="212" t="s">
        <v>448</v>
      </c>
      <c r="N290" s="212" t="s">
        <v>470</v>
      </c>
      <c r="O290" s="213">
        <v>41419</v>
      </c>
      <c r="P290" s="212" t="s">
        <v>681</v>
      </c>
      <c r="Q290" s="214">
        <v>100</v>
      </c>
      <c r="R290" s="212" t="s">
        <v>445</v>
      </c>
      <c r="S290" s="212" t="s">
        <v>532</v>
      </c>
      <c r="T290" s="212" t="s">
        <v>445</v>
      </c>
      <c r="U290" s="212" t="s">
        <v>446</v>
      </c>
      <c r="V290" s="214" t="b">
        <v>1</v>
      </c>
      <c r="W290" s="214">
        <v>1989</v>
      </c>
      <c r="X290" s="214">
        <v>5</v>
      </c>
      <c r="Y290" s="214">
        <v>2</v>
      </c>
      <c r="Z290" s="214">
        <v>4</v>
      </c>
      <c r="AA290" s="212" t="s">
        <v>447</v>
      </c>
      <c r="AB290" s="212" t="s">
        <v>531</v>
      </c>
      <c r="AC290" s="212" t="s">
        <v>533</v>
      </c>
      <c r="AD290" s="214">
        <v>1.5049110000000001</v>
      </c>
      <c r="AE290" s="214">
        <v>194</v>
      </c>
      <c r="AF290" s="214">
        <v>0.3533</v>
      </c>
      <c r="AG290" s="214">
        <v>-99</v>
      </c>
      <c r="AH290" s="212" t="s">
        <v>224</v>
      </c>
      <c r="AI290" s="212" t="s">
        <v>449</v>
      </c>
      <c r="AJ290" s="212" t="s">
        <v>316</v>
      </c>
      <c r="AK290" s="212" t="s">
        <v>531</v>
      </c>
      <c r="AL290" s="212" t="s">
        <v>388</v>
      </c>
      <c r="AM290" s="214" t="b">
        <v>1</v>
      </c>
      <c r="AN290" s="214" t="b">
        <v>0</v>
      </c>
      <c r="AO290" s="212" t="s">
        <v>317</v>
      </c>
      <c r="AP290" s="212" t="s">
        <v>318</v>
      </c>
      <c r="AQ290" s="214">
        <v>100.20194000000001</v>
      </c>
      <c r="AR290" s="214" t="b">
        <v>0</v>
      </c>
      <c r="AS290" s="212" t="s">
        <v>534</v>
      </c>
      <c r="AU290" s="222" t="s">
        <v>819</v>
      </c>
    </row>
    <row r="291" spans="1:47" s="218" customFormat="1" x14ac:dyDescent="0.25">
      <c r="A291" s="245">
        <f t="shared" si="39"/>
        <v>291</v>
      </c>
      <c r="B291" s="246" t="str">
        <f t="shared" si="32"/>
        <v>Oil Field - Tank</v>
      </c>
      <c r="C291" s="246" t="str">
        <f ca="1">IF(B291="","",VLOOKUP(D291,'Species Data'!B:E,4,FALSE))</f>
        <v>twometpen</v>
      </c>
      <c r="D291" s="246">
        <f t="shared" ca="1" si="33"/>
        <v>199</v>
      </c>
      <c r="E291" s="246">
        <f t="shared" ca="1" si="34"/>
        <v>1.0833999999999999</v>
      </c>
      <c r="F291" s="246" t="str">
        <f t="shared" ca="1" si="35"/>
        <v>2-methylpentane (isohexane)</v>
      </c>
      <c r="G291" s="246">
        <f t="shared" ca="1" si="36"/>
        <v>86.175359999999998</v>
      </c>
      <c r="H291" s="204">
        <f ca="1">IF(G291="","",IF(VLOOKUP(Tank!F291,'Species Data'!D:F,3,FALSE)=0,"X",IF(G291&lt;44.1,2,1)))</f>
        <v>1</v>
      </c>
      <c r="I291" s="204">
        <f t="shared" ca="1" si="37"/>
        <v>0.93120227287515311</v>
      </c>
      <c r="J291" s="247">
        <f ca="1">IF(I291="","",IF(COUNTIF($D$12:D291,D291)=1,IF(H291=1,I291*H291,IF(H291="X","X",0)),0))</f>
        <v>0</v>
      </c>
      <c r="K291" s="248">
        <f t="shared" ca="1" si="38"/>
        <v>0</v>
      </c>
      <c r="L291" s="212" t="s">
        <v>679</v>
      </c>
      <c r="M291" s="212" t="s">
        <v>448</v>
      </c>
      <c r="N291" s="212" t="s">
        <v>470</v>
      </c>
      <c r="O291" s="213">
        <v>41419</v>
      </c>
      <c r="P291" s="212" t="s">
        <v>681</v>
      </c>
      <c r="Q291" s="214">
        <v>100</v>
      </c>
      <c r="R291" s="212" t="s">
        <v>445</v>
      </c>
      <c r="S291" s="212" t="s">
        <v>532</v>
      </c>
      <c r="T291" s="212" t="s">
        <v>445</v>
      </c>
      <c r="U291" s="212" t="s">
        <v>446</v>
      </c>
      <c r="V291" s="214" t="b">
        <v>1</v>
      </c>
      <c r="W291" s="214">
        <v>1989</v>
      </c>
      <c r="X291" s="214">
        <v>5</v>
      </c>
      <c r="Y291" s="214">
        <v>2</v>
      </c>
      <c r="Z291" s="214">
        <v>4</v>
      </c>
      <c r="AA291" s="212" t="s">
        <v>447</v>
      </c>
      <c r="AB291" s="212" t="s">
        <v>531</v>
      </c>
      <c r="AC291" s="212" t="s">
        <v>533</v>
      </c>
      <c r="AD291" s="214">
        <v>1.5049110000000001</v>
      </c>
      <c r="AE291" s="214">
        <v>199</v>
      </c>
      <c r="AF291" s="214">
        <v>1.0833999999999999</v>
      </c>
      <c r="AG291" s="214">
        <v>-99</v>
      </c>
      <c r="AH291" s="212" t="s">
        <v>224</v>
      </c>
      <c r="AI291" s="212" t="s">
        <v>449</v>
      </c>
      <c r="AJ291" s="212" t="s">
        <v>319</v>
      </c>
      <c r="AK291" s="212" t="s">
        <v>531</v>
      </c>
      <c r="AL291" s="212" t="s">
        <v>389</v>
      </c>
      <c r="AM291" s="214" t="b">
        <v>1</v>
      </c>
      <c r="AN291" s="214" t="b">
        <v>0</v>
      </c>
      <c r="AO291" s="212" t="s">
        <v>320</v>
      </c>
      <c r="AP291" s="212" t="s">
        <v>321</v>
      </c>
      <c r="AQ291" s="214">
        <v>86.175359999999998</v>
      </c>
      <c r="AR291" s="214" t="b">
        <v>0</v>
      </c>
      <c r="AS291" s="212" t="s">
        <v>534</v>
      </c>
      <c r="AU291" s="222" t="s">
        <v>819</v>
      </c>
    </row>
    <row r="292" spans="1:47" s="218" customFormat="1" x14ac:dyDescent="0.25">
      <c r="A292" s="245">
        <f t="shared" si="39"/>
        <v>292</v>
      </c>
      <c r="B292" s="246" t="str">
        <f t="shared" si="32"/>
        <v>Oil Field - Tank</v>
      </c>
      <c r="C292" s="246" t="str">
        <f ca="1">IF(B292="","",VLOOKUP(D292,'Species Data'!B:E,4,FALSE))</f>
        <v>ethylhexane</v>
      </c>
      <c r="D292" s="246">
        <f t="shared" ca="1" si="33"/>
        <v>226</v>
      </c>
      <c r="E292" s="246">
        <f t="shared" ca="1" si="34"/>
        <v>9.35E-2</v>
      </c>
      <c r="F292" s="246" t="str">
        <f t="shared" ca="1" si="35"/>
        <v>3-ethylhexane</v>
      </c>
      <c r="G292" s="246">
        <f t="shared" ca="1" si="36"/>
        <v>114.22852</v>
      </c>
      <c r="H292" s="204" t="str">
        <f ca="1">IF(G292="","",IF(VLOOKUP(Tank!F292,'Species Data'!D:F,3,FALSE)=0,"X",IF(G292&lt;44.1,2,1)))</f>
        <v>X</v>
      </c>
      <c r="I292" s="204">
        <f t="shared" ca="1" si="37"/>
        <v>9.0107531698970997E-2</v>
      </c>
      <c r="J292" s="247">
        <f ca="1">IF(I292="","",IF(COUNTIF($D$12:D292,D292)=1,IF(H292=1,I292*H292,IF(H292="X","X",0)),0))</f>
        <v>0</v>
      </c>
      <c r="K292" s="248">
        <f t="shared" ca="1" si="38"/>
        <v>0</v>
      </c>
      <c r="L292" s="212" t="s">
        <v>679</v>
      </c>
      <c r="M292" s="212" t="s">
        <v>448</v>
      </c>
      <c r="N292" s="212" t="s">
        <v>470</v>
      </c>
      <c r="O292" s="213">
        <v>41419</v>
      </c>
      <c r="P292" s="212" t="s">
        <v>681</v>
      </c>
      <c r="Q292" s="214">
        <v>100</v>
      </c>
      <c r="R292" s="212" t="s">
        <v>445</v>
      </c>
      <c r="S292" s="212" t="s">
        <v>532</v>
      </c>
      <c r="T292" s="212" t="s">
        <v>445</v>
      </c>
      <c r="U292" s="212" t="s">
        <v>446</v>
      </c>
      <c r="V292" s="214" t="b">
        <v>1</v>
      </c>
      <c r="W292" s="214">
        <v>1989</v>
      </c>
      <c r="X292" s="214">
        <v>5</v>
      </c>
      <c r="Y292" s="214">
        <v>2</v>
      </c>
      <c r="Z292" s="214">
        <v>4</v>
      </c>
      <c r="AA292" s="212" t="s">
        <v>447</v>
      </c>
      <c r="AB292" s="212" t="s">
        <v>531</v>
      </c>
      <c r="AC292" s="212" t="s">
        <v>533</v>
      </c>
      <c r="AD292" s="214">
        <v>1.5049110000000001</v>
      </c>
      <c r="AE292" s="214">
        <v>226</v>
      </c>
      <c r="AF292" s="214">
        <v>9.35E-2</v>
      </c>
      <c r="AG292" s="214">
        <v>-99</v>
      </c>
      <c r="AH292" s="212" t="s">
        <v>224</v>
      </c>
      <c r="AI292" s="212" t="s">
        <v>449</v>
      </c>
      <c r="AJ292" s="212" t="s">
        <v>439</v>
      </c>
      <c r="AK292" s="212" t="s">
        <v>531</v>
      </c>
      <c r="AL292" s="212" t="s">
        <v>461</v>
      </c>
      <c r="AM292" s="214" t="b">
        <v>0</v>
      </c>
      <c r="AN292" s="214" t="b">
        <v>0</v>
      </c>
      <c r="AO292" s="212" t="s">
        <v>440</v>
      </c>
      <c r="AP292" s="212" t="s">
        <v>531</v>
      </c>
      <c r="AQ292" s="214">
        <v>114.22852</v>
      </c>
      <c r="AR292" s="214" t="b">
        <v>0</v>
      </c>
      <c r="AS292" s="212" t="s">
        <v>534</v>
      </c>
      <c r="AU292" s="222" t="s">
        <v>819</v>
      </c>
    </row>
    <row r="293" spans="1:47" s="218" customFormat="1" x14ac:dyDescent="0.25">
      <c r="A293" s="245">
        <f t="shared" si="39"/>
        <v>293</v>
      </c>
      <c r="B293" s="246" t="str">
        <f t="shared" si="32"/>
        <v>Oil Field - Tank</v>
      </c>
      <c r="C293" s="246" t="str">
        <f ca="1">IF(B293="","",VLOOKUP(D293,'Species Data'!B:E,4,FALSE))</f>
        <v>threemethex</v>
      </c>
      <c r="D293" s="246">
        <f t="shared" ca="1" si="33"/>
        <v>245</v>
      </c>
      <c r="E293" s="246">
        <f t="shared" ca="1" si="34"/>
        <v>0.44800000000000001</v>
      </c>
      <c r="F293" s="246" t="str">
        <f t="shared" ca="1" si="35"/>
        <v>3-methylhexane</v>
      </c>
      <c r="G293" s="246">
        <f t="shared" ca="1" si="36"/>
        <v>100.20194000000001</v>
      </c>
      <c r="H293" s="204">
        <f ca="1">IF(G293="","",IF(VLOOKUP(Tank!F293,'Species Data'!D:F,3,FALSE)=0,"X",IF(G293&lt;44.1,2,1)))</f>
        <v>1</v>
      </c>
      <c r="I293" s="204">
        <f t="shared" ca="1" si="37"/>
        <v>0.33724323753508045</v>
      </c>
      <c r="J293" s="247">
        <f ca="1">IF(I293="","",IF(COUNTIF($D$12:D293,D293)=1,IF(H293=1,I293*H293,IF(H293="X","X",0)),0))</f>
        <v>0</v>
      </c>
      <c r="K293" s="248">
        <f t="shared" ca="1" si="38"/>
        <v>0</v>
      </c>
      <c r="L293" s="212" t="s">
        <v>679</v>
      </c>
      <c r="M293" s="212" t="s">
        <v>448</v>
      </c>
      <c r="N293" s="212" t="s">
        <v>470</v>
      </c>
      <c r="O293" s="213">
        <v>41419</v>
      </c>
      <c r="P293" s="212" t="s">
        <v>681</v>
      </c>
      <c r="Q293" s="214">
        <v>100</v>
      </c>
      <c r="R293" s="212" t="s">
        <v>445</v>
      </c>
      <c r="S293" s="212" t="s">
        <v>532</v>
      </c>
      <c r="T293" s="212" t="s">
        <v>445</v>
      </c>
      <c r="U293" s="212" t="s">
        <v>446</v>
      </c>
      <c r="V293" s="214" t="b">
        <v>1</v>
      </c>
      <c r="W293" s="214">
        <v>1989</v>
      </c>
      <c r="X293" s="214">
        <v>5</v>
      </c>
      <c r="Y293" s="214">
        <v>2</v>
      </c>
      <c r="Z293" s="214">
        <v>4</v>
      </c>
      <c r="AA293" s="212" t="s">
        <v>447</v>
      </c>
      <c r="AB293" s="212" t="s">
        <v>531</v>
      </c>
      <c r="AC293" s="212" t="s">
        <v>533</v>
      </c>
      <c r="AD293" s="214">
        <v>1.5049110000000001</v>
      </c>
      <c r="AE293" s="214">
        <v>245</v>
      </c>
      <c r="AF293" s="214">
        <v>0.44800000000000001</v>
      </c>
      <c r="AG293" s="214">
        <v>-99</v>
      </c>
      <c r="AH293" s="212" t="s">
        <v>224</v>
      </c>
      <c r="AI293" s="212" t="s">
        <v>449</v>
      </c>
      <c r="AJ293" s="212" t="s">
        <v>325</v>
      </c>
      <c r="AK293" s="212" t="s">
        <v>531</v>
      </c>
      <c r="AL293" s="212" t="s">
        <v>390</v>
      </c>
      <c r="AM293" s="214" t="b">
        <v>1</v>
      </c>
      <c r="AN293" s="214" t="b">
        <v>0</v>
      </c>
      <c r="AO293" s="212" t="s">
        <v>326</v>
      </c>
      <c r="AP293" s="212" t="s">
        <v>327</v>
      </c>
      <c r="AQ293" s="214">
        <v>100.20194000000001</v>
      </c>
      <c r="AR293" s="214" t="b">
        <v>0</v>
      </c>
      <c r="AS293" s="212" t="s">
        <v>534</v>
      </c>
      <c r="AU293" s="222" t="s">
        <v>819</v>
      </c>
    </row>
    <row r="294" spans="1:47" s="218" customFormat="1" x14ac:dyDescent="0.25">
      <c r="A294" s="245">
        <f t="shared" si="39"/>
        <v>294</v>
      </c>
      <c r="B294" s="246" t="str">
        <f t="shared" si="32"/>
        <v>Oil Field - Tank</v>
      </c>
      <c r="C294" s="246" t="str">
        <f ca="1">IF(B294="","",VLOOKUP(D294,'Species Data'!B:E,4,FALSE))</f>
        <v>threemetpen</v>
      </c>
      <c r="D294" s="246">
        <f t="shared" ca="1" si="33"/>
        <v>248</v>
      </c>
      <c r="E294" s="246">
        <f t="shared" ca="1" si="34"/>
        <v>1.0912999999999999</v>
      </c>
      <c r="F294" s="246" t="str">
        <f t="shared" ca="1" si="35"/>
        <v>3-methylpentane</v>
      </c>
      <c r="G294" s="246">
        <f t="shared" ca="1" si="36"/>
        <v>86.175359999999998</v>
      </c>
      <c r="H294" s="204">
        <f ca="1">IF(G294="","",IF(VLOOKUP(Tank!F294,'Species Data'!D:F,3,FALSE)=0,"X",IF(G294&lt;44.1,2,1)))</f>
        <v>1</v>
      </c>
      <c r="I294" s="204">
        <f t="shared" ca="1" si="37"/>
        <v>0.72479362468546382</v>
      </c>
      <c r="J294" s="247">
        <f ca="1">IF(I294="","",IF(COUNTIF($D$12:D294,D294)=1,IF(H294=1,I294*H294,IF(H294="X","X",0)),0))</f>
        <v>0</v>
      </c>
      <c r="K294" s="248">
        <f t="shared" ca="1" si="38"/>
        <v>0</v>
      </c>
      <c r="L294" s="212" t="s">
        <v>679</v>
      </c>
      <c r="M294" s="212" t="s">
        <v>448</v>
      </c>
      <c r="N294" s="212" t="s">
        <v>470</v>
      </c>
      <c r="O294" s="213">
        <v>41419</v>
      </c>
      <c r="P294" s="212" t="s">
        <v>681</v>
      </c>
      <c r="Q294" s="214">
        <v>100</v>
      </c>
      <c r="R294" s="212" t="s">
        <v>445</v>
      </c>
      <c r="S294" s="212" t="s">
        <v>532</v>
      </c>
      <c r="T294" s="212" t="s">
        <v>445</v>
      </c>
      <c r="U294" s="212" t="s">
        <v>446</v>
      </c>
      <c r="V294" s="214" t="b">
        <v>1</v>
      </c>
      <c r="W294" s="214">
        <v>1989</v>
      </c>
      <c r="X294" s="214">
        <v>5</v>
      </c>
      <c r="Y294" s="214">
        <v>2</v>
      </c>
      <c r="Z294" s="214">
        <v>4</v>
      </c>
      <c r="AA294" s="212" t="s">
        <v>447</v>
      </c>
      <c r="AB294" s="212" t="s">
        <v>531</v>
      </c>
      <c r="AC294" s="212" t="s">
        <v>533</v>
      </c>
      <c r="AD294" s="214">
        <v>1.5049110000000001</v>
      </c>
      <c r="AE294" s="214">
        <v>248</v>
      </c>
      <c r="AF294" s="214">
        <v>1.0912999999999999</v>
      </c>
      <c r="AG294" s="214">
        <v>-99</v>
      </c>
      <c r="AH294" s="212" t="s">
        <v>224</v>
      </c>
      <c r="AI294" s="212" t="s">
        <v>449</v>
      </c>
      <c r="AJ294" s="212" t="s">
        <v>328</v>
      </c>
      <c r="AK294" s="212" t="s">
        <v>531</v>
      </c>
      <c r="AL294" s="212" t="s">
        <v>391</v>
      </c>
      <c r="AM294" s="214" t="b">
        <v>1</v>
      </c>
      <c r="AN294" s="214" t="b">
        <v>0</v>
      </c>
      <c r="AO294" s="212" t="s">
        <v>329</v>
      </c>
      <c r="AP294" s="212" t="s">
        <v>330</v>
      </c>
      <c r="AQ294" s="214">
        <v>86.175359999999998</v>
      </c>
      <c r="AR294" s="214" t="b">
        <v>0</v>
      </c>
      <c r="AS294" s="212" t="s">
        <v>534</v>
      </c>
      <c r="AU294" s="222" t="s">
        <v>819</v>
      </c>
    </row>
    <row r="295" spans="1:47" s="218" customFormat="1" x14ac:dyDescent="0.25">
      <c r="A295" s="245">
        <f t="shared" si="39"/>
        <v>295</v>
      </c>
      <c r="B295" s="246" t="str">
        <f t="shared" si="32"/>
        <v>Oil Field - Tank</v>
      </c>
      <c r="C295" s="246" t="str">
        <f ca="1">IF(B295="","",VLOOKUP(D295,'Species Data'!B:E,4,FALSE))</f>
        <v>benzene</v>
      </c>
      <c r="D295" s="246">
        <f t="shared" ca="1" si="33"/>
        <v>302</v>
      </c>
      <c r="E295" s="246">
        <f t="shared" ca="1" si="34"/>
        <v>0.19980000000000001</v>
      </c>
      <c r="F295" s="246" t="str">
        <f t="shared" ca="1" si="35"/>
        <v>Benzene</v>
      </c>
      <c r="G295" s="246">
        <f t="shared" ca="1" si="36"/>
        <v>78.111840000000001</v>
      </c>
      <c r="H295" s="204">
        <f ca="1">IF(G295="","",IF(VLOOKUP(Tank!F295,'Species Data'!D:F,3,FALSE)=0,"X",IF(G295&lt;44.1,2,1)))</f>
        <v>1</v>
      </c>
      <c r="I295" s="204">
        <f t="shared" ca="1" si="37"/>
        <v>0.24518902048126334</v>
      </c>
      <c r="J295" s="247">
        <f ca="1">IF(I295="","",IF(COUNTIF($D$12:D295,D295)=1,IF(H295=1,I295*H295,IF(H295="X","X",0)),0))</f>
        <v>0</v>
      </c>
      <c r="K295" s="248">
        <f t="shared" ca="1" si="38"/>
        <v>0</v>
      </c>
      <c r="L295" s="212" t="s">
        <v>679</v>
      </c>
      <c r="M295" s="212" t="s">
        <v>448</v>
      </c>
      <c r="N295" s="212" t="s">
        <v>470</v>
      </c>
      <c r="O295" s="213">
        <v>41419</v>
      </c>
      <c r="P295" s="212" t="s">
        <v>681</v>
      </c>
      <c r="Q295" s="214">
        <v>100</v>
      </c>
      <c r="R295" s="212" t="s">
        <v>445</v>
      </c>
      <c r="S295" s="212" t="s">
        <v>532</v>
      </c>
      <c r="T295" s="212" t="s">
        <v>445</v>
      </c>
      <c r="U295" s="212" t="s">
        <v>446</v>
      </c>
      <c r="V295" s="214" t="b">
        <v>1</v>
      </c>
      <c r="W295" s="214">
        <v>1989</v>
      </c>
      <c r="X295" s="214">
        <v>5</v>
      </c>
      <c r="Y295" s="214">
        <v>2</v>
      </c>
      <c r="Z295" s="214">
        <v>4</v>
      </c>
      <c r="AA295" s="212" t="s">
        <v>447</v>
      </c>
      <c r="AB295" s="212" t="s">
        <v>531</v>
      </c>
      <c r="AC295" s="212" t="s">
        <v>533</v>
      </c>
      <c r="AD295" s="214">
        <v>1.5049110000000001</v>
      </c>
      <c r="AE295" s="214">
        <v>302</v>
      </c>
      <c r="AF295" s="214">
        <v>0.19980000000000001</v>
      </c>
      <c r="AG295" s="214">
        <v>-99</v>
      </c>
      <c r="AH295" s="212" t="s">
        <v>224</v>
      </c>
      <c r="AI295" s="212" t="s">
        <v>449</v>
      </c>
      <c r="AJ295" s="212" t="s">
        <v>262</v>
      </c>
      <c r="AK295" s="212" t="s">
        <v>531</v>
      </c>
      <c r="AL295" s="212" t="s">
        <v>373</v>
      </c>
      <c r="AM295" s="214" t="b">
        <v>1</v>
      </c>
      <c r="AN295" s="214" t="b">
        <v>1</v>
      </c>
      <c r="AO295" s="212" t="s">
        <v>263</v>
      </c>
      <c r="AP295" s="212" t="s">
        <v>264</v>
      </c>
      <c r="AQ295" s="214">
        <v>78.111840000000001</v>
      </c>
      <c r="AR295" s="214" t="b">
        <v>0</v>
      </c>
      <c r="AS295" s="212" t="s">
        <v>534</v>
      </c>
      <c r="AU295" s="222" t="s">
        <v>819</v>
      </c>
    </row>
    <row r="296" spans="1:47" s="218" customFormat="1" x14ac:dyDescent="0.25">
      <c r="A296" s="245">
        <f t="shared" si="39"/>
        <v>296</v>
      </c>
      <c r="B296" s="246" t="str">
        <f t="shared" si="32"/>
        <v>Oil Field - Tank</v>
      </c>
      <c r="C296" s="246" t="str">
        <f ca="1">IF(B296="","",VLOOKUP(D296,'Species Data'!B:E,4,FALSE))</f>
        <v>cyclohexane</v>
      </c>
      <c r="D296" s="246">
        <f t="shared" ca="1" si="33"/>
        <v>385</v>
      </c>
      <c r="E296" s="246">
        <f t="shared" ca="1" si="34"/>
        <v>1.77E-2</v>
      </c>
      <c r="F296" s="246" t="str">
        <f t="shared" ca="1" si="35"/>
        <v>Cyclohexane</v>
      </c>
      <c r="G296" s="246">
        <f t="shared" ca="1" si="36"/>
        <v>84.159480000000002</v>
      </c>
      <c r="H296" s="204">
        <f ca="1">IF(G296="","",IF(VLOOKUP(Tank!F296,'Species Data'!D:F,3,FALSE)=0,"X",IF(G296&lt;44.1,2,1)))</f>
        <v>1</v>
      </c>
      <c r="I296" s="204">
        <f t="shared" ca="1" si="37"/>
        <v>1.8406843372363042E-2</v>
      </c>
      <c r="J296" s="247">
        <f ca="1">IF(I296="","",IF(COUNTIF($D$12:D296,D296)=1,IF(H296=1,I296*H296,IF(H296="X","X",0)),0))</f>
        <v>0</v>
      </c>
      <c r="K296" s="248">
        <f t="shared" ca="1" si="38"/>
        <v>0</v>
      </c>
      <c r="L296" s="212" t="s">
        <v>679</v>
      </c>
      <c r="M296" s="212" t="s">
        <v>448</v>
      </c>
      <c r="N296" s="212" t="s">
        <v>470</v>
      </c>
      <c r="O296" s="213">
        <v>41419</v>
      </c>
      <c r="P296" s="212" t="s">
        <v>681</v>
      </c>
      <c r="Q296" s="214">
        <v>100</v>
      </c>
      <c r="R296" s="212" t="s">
        <v>445</v>
      </c>
      <c r="S296" s="212" t="s">
        <v>532</v>
      </c>
      <c r="T296" s="212" t="s">
        <v>445</v>
      </c>
      <c r="U296" s="212" t="s">
        <v>446</v>
      </c>
      <c r="V296" s="214" t="b">
        <v>1</v>
      </c>
      <c r="W296" s="214">
        <v>1989</v>
      </c>
      <c r="X296" s="214">
        <v>5</v>
      </c>
      <c r="Y296" s="214">
        <v>2</v>
      </c>
      <c r="Z296" s="214">
        <v>4</v>
      </c>
      <c r="AA296" s="212" t="s">
        <v>447</v>
      </c>
      <c r="AB296" s="212" t="s">
        <v>531</v>
      </c>
      <c r="AC296" s="212" t="s">
        <v>533</v>
      </c>
      <c r="AD296" s="214">
        <v>1.5049110000000001</v>
      </c>
      <c r="AE296" s="214">
        <v>385</v>
      </c>
      <c r="AF296" s="214">
        <v>1.77E-2</v>
      </c>
      <c r="AG296" s="214">
        <v>-99</v>
      </c>
      <c r="AH296" s="212" t="s">
        <v>224</v>
      </c>
      <c r="AI296" s="212" t="s">
        <v>449</v>
      </c>
      <c r="AJ296" s="212" t="s">
        <v>331</v>
      </c>
      <c r="AK296" s="212" t="s">
        <v>531</v>
      </c>
      <c r="AL296" s="212" t="s">
        <v>392</v>
      </c>
      <c r="AM296" s="214" t="b">
        <v>1</v>
      </c>
      <c r="AN296" s="214" t="b">
        <v>0</v>
      </c>
      <c r="AO296" s="212" t="s">
        <v>332</v>
      </c>
      <c r="AP296" s="212" t="s">
        <v>333</v>
      </c>
      <c r="AQ296" s="214">
        <v>84.159480000000002</v>
      </c>
      <c r="AR296" s="214" t="b">
        <v>0</v>
      </c>
      <c r="AS296" s="212" t="s">
        <v>534</v>
      </c>
      <c r="AU296" s="222" t="s">
        <v>819</v>
      </c>
    </row>
    <row r="297" spans="1:47" s="218" customFormat="1" x14ac:dyDescent="0.25">
      <c r="A297" s="245">
        <f t="shared" si="39"/>
        <v>297</v>
      </c>
      <c r="B297" s="246" t="str">
        <f t="shared" si="32"/>
        <v>Oil Field - Tank</v>
      </c>
      <c r="C297" s="246" t="str">
        <f ca="1">IF(B297="","",VLOOKUP(D297,'Species Data'!B:E,4,FALSE))</f>
        <v>cyclopentane</v>
      </c>
      <c r="D297" s="246">
        <f t="shared" ca="1" si="33"/>
        <v>390</v>
      </c>
      <c r="E297" s="246">
        <f t="shared" ca="1" si="34"/>
        <v>0.29170000000000001</v>
      </c>
      <c r="F297" s="246" t="str">
        <f t="shared" ca="1" si="35"/>
        <v>Cyclopentane</v>
      </c>
      <c r="G297" s="246">
        <f t="shared" ca="1" si="36"/>
        <v>70.132900000000006</v>
      </c>
      <c r="H297" s="204">
        <f ca="1">IF(G297="","",IF(VLOOKUP(Tank!F297,'Species Data'!D:F,3,FALSE)=0,"X",IF(G297&lt;44.1,2,1)))</f>
        <v>1</v>
      </c>
      <c r="I297" s="204">
        <f t="shared" ca="1" si="37"/>
        <v>0.15432814821688956</v>
      </c>
      <c r="J297" s="247">
        <f ca="1">IF(I297="","",IF(COUNTIF($D$12:D297,D297)=1,IF(H297=1,I297*H297,IF(H297="X","X",0)),0))</f>
        <v>0</v>
      </c>
      <c r="K297" s="248">
        <f t="shared" ca="1" si="38"/>
        <v>0</v>
      </c>
      <c r="L297" s="212" t="s">
        <v>679</v>
      </c>
      <c r="M297" s="212" t="s">
        <v>448</v>
      </c>
      <c r="N297" s="212" t="s">
        <v>470</v>
      </c>
      <c r="O297" s="213">
        <v>41419</v>
      </c>
      <c r="P297" s="212" t="s">
        <v>681</v>
      </c>
      <c r="Q297" s="214">
        <v>100</v>
      </c>
      <c r="R297" s="212" t="s">
        <v>445</v>
      </c>
      <c r="S297" s="212" t="s">
        <v>532</v>
      </c>
      <c r="T297" s="212" t="s">
        <v>445</v>
      </c>
      <c r="U297" s="212" t="s">
        <v>446</v>
      </c>
      <c r="V297" s="214" t="b">
        <v>1</v>
      </c>
      <c r="W297" s="214">
        <v>1989</v>
      </c>
      <c r="X297" s="214">
        <v>5</v>
      </c>
      <c r="Y297" s="214">
        <v>2</v>
      </c>
      <c r="Z297" s="214">
        <v>4</v>
      </c>
      <c r="AA297" s="212" t="s">
        <v>447</v>
      </c>
      <c r="AB297" s="212" t="s">
        <v>531</v>
      </c>
      <c r="AC297" s="212" t="s">
        <v>533</v>
      </c>
      <c r="AD297" s="214">
        <v>1.5049110000000001</v>
      </c>
      <c r="AE297" s="214">
        <v>390</v>
      </c>
      <c r="AF297" s="214">
        <v>0.29170000000000001</v>
      </c>
      <c r="AG297" s="214">
        <v>-99</v>
      </c>
      <c r="AH297" s="212" t="s">
        <v>224</v>
      </c>
      <c r="AI297" s="212" t="s">
        <v>449</v>
      </c>
      <c r="AJ297" s="212" t="s">
        <v>334</v>
      </c>
      <c r="AK297" s="212" t="s">
        <v>531</v>
      </c>
      <c r="AL297" s="212" t="s">
        <v>393</v>
      </c>
      <c r="AM297" s="214" t="b">
        <v>1</v>
      </c>
      <c r="AN297" s="214" t="b">
        <v>0</v>
      </c>
      <c r="AO297" s="212" t="s">
        <v>335</v>
      </c>
      <c r="AP297" s="212" t="s">
        <v>336</v>
      </c>
      <c r="AQ297" s="214">
        <v>70.132900000000006</v>
      </c>
      <c r="AR297" s="214" t="b">
        <v>0</v>
      </c>
      <c r="AS297" s="212" t="s">
        <v>534</v>
      </c>
      <c r="AU297" s="222" t="s">
        <v>819</v>
      </c>
    </row>
    <row r="298" spans="1:47" s="218" customFormat="1" x14ac:dyDescent="0.25">
      <c r="A298" s="245">
        <f t="shared" si="39"/>
        <v>298</v>
      </c>
      <c r="B298" s="246" t="str">
        <f t="shared" si="32"/>
        <v>Oil Field - Tank</v>
      </c>
      <c r="C298" s="246" t="str">
        <f ca="1">IF(B298="","",VLOOKUP(D298,'Species Data'!B:E,4,FALSE))</f>
        <v>ethane</v>
      </c>
      <c r="D298" s="246">
        <f t="shared" ca="1" si="33"/>
        <v>438</v>
      </c>
      <c r="E298" s="246">
        <f t="shared" ca="1" si="34"/>
        <v>7.944</v>
      </c>
      <c r="F298" s="246" t="str">
        <f t="shared" ca="1" si="35"/>
        <v>Ethane</v>
      </c>
      <c r="G298" s="246">
        <f t="shared" ca="1" si="36"/>
        <v>30.069040000000005</v>
      </c>
      <c r="H298" s="204">
        <f ca="1">IF(G298="","",IF(VLOOKUP(Tank!F298,'Species Data'!D:F,3,FALSE)=0,"X",IF(G298&lt;44.1,2,1)))</f>
        <v>2</v>
      </c>
      <c r="I298" s="204">
        <f t="shared" ca="1" si="37"/>
        <v>5.717421553913586</v>
      </c>
      <c r="J298" s="247">
        <f ca="1">IF(I298="","",IF(COUNTIF($D$12:D298,D298)=1,IF(H298=1,I298*H298,IF(H298="X","X",0)),0))</f>
        <v>0</v>
      </c>
      <c r="K298" s="248">
        <f t="shared" ca="1" si="38"/>
        <v>0</v>
      </c>
      <c r="L298" s="212" t="s">
        <v>679</v>
      </c>
      <c r="M298" s="212" t="s">
        <v>448</v>
      </c>
      <c r="N298" s="212" t="s">
        <v>470</v>
      </c>
      <c r="O298" s="213">
        <v>41419</v>
      </c>
      <c r="P298" s="212" t="s">
        <v>681</v>
      </c>
      <c r="Q298" s="214">
        <v>100</v>
      </c>
      <c r="R298" s="212" t="s">
        <v>445</v>
      </c>
      <c r="S298" s="212" t="s">
        <v>532</v>
      </c>
      <c r="T298" s="212" t="s">
        <v>445</v>
      </c>
      <c r="U298" s="212" t="s">
        <v>446</v>
      </c>
      <c r="V298" s="214" t="b">
        <v>1</v>
      </c>
      <c r="W298" s="214">
        <v>1989</v>
      </c>
      <c r="X298" s="214">
        <v>5</v>
      </c>
      <c r="Y298" s="214">
        <v>2</v>
      </c>
      <c r="Z298" s="214">
        <v>4</v>
      </c>
      <c r="AA298" s="212" t="s">
        <v>447</v>
      </c>
      <c r="AB298" s="212" t="s">
        <v>531</v>
      </c>
      <c r="AC298" s="212" t="s">
        <v>533</v>
      </c>
      <c r="AD298" s="214">
        <v>1.5049110000000001</v>
      </c>
      <c r="AE298" s="214">
        <v>438</v>
      </c>
      <c r="AF298" s="214">
        <v>7.944</v>
      </c>
      <c r="AG298" s="214">
        <v>-99</v>
      </c>
      <c r="AH298" s="212" t="s">
        <v>224</v>
      </c>
      <c r="AI298" s="212" t="s">
        <v>449</v>
      </c>
      <c r="AJ298" s="212" t="s">
        <v>265</v>
      </c>
      <c r="AK298" s="212" t="s">
        <v>531</v>
      </c>
      <c r="AL298" s="212" t="s">
        <v>374</v>
      </c>
      <c r="AM298" s="214" t="b">
        <v>1</v>
      </c>
      <c r="AN298" s="214" t="b">
        <v>0</v>
      </c>
      <c r="AO298" s="212" t="s">
        <v>266</v>
      </c>
      <c r="AP298" s="212" t="s">
        <v>267</v>
      </c>
      <c r="AQ298" s="214">
        <v>30.069040000000005</v>
      </c>
      <c r="AR298" s="214" t="b">
        <v>1</v>
      </c>
      <c r="AS298" s="212" t="s">
        <v>534</v>
      </c>
      <c r="AU298" s="222" t="s">
        <v>819</v>
      </c>
    </row>
    <row r="299" spans="1:47" s="218" customFormat="1" x14ac:dyDescent="0.25">
      <c r="A299" s="245">
        <f t="shared" si="39"/>
        <v>299</v>
      </c>
      <c r="B299" s="246" t="str">
        <f t="shared" si="32"/>
        <v>Oil Field - Tank</v>
      </c>
      <c r="C299" s="246" t="str">
        <f ca="1">IF(B299="","",VLOOKUP(D299,'Species Data'!B:E,4,FALSE))</f>
        <v>ethyl_benz</v>
      </c>
      <c r="D299" s="246">
        <f t="shared" ca="1" si="33"/>
        <v>449</v>
      </c>
      <c r="E299" s="246">
        <f t="shared" ca="1" si="34"/>
        <v>7.4099999999999999E-2</v>
      </c>
      <c r="F299" s="246" t="str">
        <f t="shared" ca="1" si="35"/>
        <v>Ethylbenzene</v>
      </c>
      <c r="G299" s="246">
        <f t="shared" ca="1" si="36"/>
        <v>106.16500000000001</v>
      </c>
      <c r="H299" s="204">
        <f ca="1">IF(G299="","",IF(VLOOKUP(Tank!F299,'Species Data'!D:F,3,FALSE)=0,"X",IF(G299&lt;44.1,2,1)))</f>
        <v>1</v>
      </c>
      <c r="I299" s="204">
        <f t="shared" ca="1" si="37"/>
        <v>0.12062115796311647</v>
      </c>
      <c r="J299" s="247">
        <f ca="1">IF(I299="","",IF(COUNTIF($D$12:D299,D299)=1,IF(H299=1,I299*H299,IF(H299="X","X",0)),0))</f>
        <v>0</v>
      </c>
      <c r="K299" s="248">
        <f t="shared" ca="1" si="38"/>
        <v>0</v>
      </c>
      <c r="L299" s="212" t="s">
        <v>679</v>
      </c>
      <c r="M299" s="212" t="s">
        <v>448</v>
      </c>
      <c r="N299" s="212" t="s">
        <v>470</v>
      </c>
      <c r="O299" s="213">
        <v>41419</v>
      </c>
      <c r="P299" s="212" t="s">
        <v>681</v>
      </c>
      <c r="Q299" s="214">
        <v>100</v>
      </c>
      <c r="R299" s="212" t="s">
        <v>445</v>
      </c>
      <c r="S299" s="212" t="s">
        <v>532</v>
      </c>
      <c r="T299" s="212" t="s">
        <v>445</v>
      </c>
      <c r="U299" s="212" t="s">
        <v>446</v>
      </c>
      <c r="V299" s="214" t="b">
        <v>1</v>
      </c>
      <c r="W299" s="214">
        <v>1989</v>
      </c>
      <c r="X299" s="214">
        <v>5</v>
      </c>
      <c r="Y299" s="214">
        <v>2</v>
      </c>
      <c r="Z299" s="214">
        <v>4</v>
      </c>
      <c r="AA299" s="212" t="s">
        <v>447</v>
      </c>
      <c r="AB299" s="212" t="s">
        <v>531</v>
      </c>
      <c r="AC299" s="212" t="s">
        <v>533</v>
      </c>
      <c r="AD299" s="214">
        <v>1.5049110000000001</v>
      </c>
      <c r="AE299" s="214">
        <v>449</v>
      </c>
      <c r="AF299" s="214">
        <v>7.4099999999999999E-2</v>
      </c>
      <c r="AG299" s="214">
        <v>-99</v>
      </c>
      <c r="AH299" s="212" t="s">
        <v>224</v>
      </c>
      <c r="AI299" s="212" t="s">
        <v>449</v>
      </c>
      <c r="AJ299" s="212" t="s">
        <v>337</v>
      </c>
      <c r="AK299" s="212" t="s">
        <v>531</v>
      </c>
      <c r="AL299" s="212" t="s">
        <v>394</v>
      </c>
      <c r="AM299" s="214" t="b">
        <v>1</v>
      </c>
      <c r="AN299" s="214" t="b">
        <v>1</v>
      </c>
      <c r="AO299" s="212" t="s">
        <v>338</v>
      </c>
      <c r="AP299" s="212" t="s">
        <v>339</v>
      </c>
      <c r="AQ299" s="214">
        <v>106.16500000000001</v>
      </c>
      <c r="AR299" s="214" t="b">
        <v>0</v>
      </c>
      <c r="AS299" s="212" t="s">
        <v>534</v>
      </c>
      <c r="AU299" s="222" t="s">
        <v>819</v>
      </c>
    </row>
    <row r="300" spans="1:47" s="218" customFormat="1" x14ac:dyDescent="0.25">
      <c r="A300" s="245">
        <f t="shared" si="39"/>
        <v>300</v>
      </c>
      <c r="B300" s="246" t="str">
        <f t="shared" si="32"/>
        <v>Oil Field - Tank</v>
      </c>
      <c r="C300" s="246" t="str">
        <f ca="1">IF(B300="","",VLOOKUP(D300,'Species Data'!B:E,4,FALSE))</f>
        <v>isobut</v>
      </c>
      <c r="D300" s="246">
        <f t="shared" ca="1" si="33"/>
        <v>491</v>
      </c>
      <c r="E300" s="246">
        <f t="shared" ca="1" si="34"/>
        <v>4.2843</v>
      </c>
      <c r="F300" s="246" t="str">
        <f t="shared" ca="1" si="35"/>
        <v>Isobutane</v>
      </c>
      <c r="G300" s="246">
        <f t="shared" ca="1" si="36"/>
        <v>58.122199999999992</v>
      </c>
      <c r="H300" s="204">
        <f ca="1">IF(G300="","",IF(VLOOKUP(Tank!F300,'Species Data'!D:F,3,FALSE)=0,"X",IF(G300&lt;44.1,2,1)))</f>
        <v>1</v>
      </c>
      <c r="I300" s="204">
        <f t="shared" ca="1" si="37"/>
        <v>3.2562712602040991</v>
      </c>
      <c r="J300" s="247">
        <f ca="1">IF(I300="","",IF(COUNTIF($D$12:D300,D300)=1,IF(H300=1,I300*H300,IF(H300="X","X",0)),0))</f>
        <v>0</v>
      </c>
      <c r="K300" s="248">
        <f t="shared" ca="1" si="38"/>
        <v>0</v>
      </c>
      <c r="L300" s="212" t="s">
        <v>679</v>
      </c>
      <c r="M300" s="212" t="s">
        <v>448</v>
      </c>
      <c r="N300" s="212" t="s">
        <v>470</v>
      </c>
      <c r="O300" s="213">
        <v>41419</v>
      </c>
      <c r="P300" s="212" t="s">
        <v>681</v>
      </c>
      <c r="Q300" s="214">
        <v>100</v>
      </c>
      <c r="R300" s="212" t="s">
        <v>445</v>
      </c>
      <c r="S300" s="212" t="s">
        <v>532</v>
      </c>
      <c r="T300" s="212" t="s">
        <v>445</v>
      </c>
      <c r="U300" s="212" t="s">
        <v>446</v>
      </c>
      <c r="V300" s="214" t="b">
        <v>1</v>
      </c>
      <c r="W300" s="214">
        <v>1989</v>
      </c>
      <c r="X300" s="214">
        <v>5</v>
      </c>
      <c r="Y300" s="214">
        <v>2</v>
      </c>
      <c r="Z300" s="214">
        <v>4</v>
      </c>
      <c r="AA300" s="212" t="s">
        <v>447</v>
      </c>
      <c r="AB300" s="212" t="s">
        <v>531</v>
      </c>
      <c r="AC300" s="212" t="s">
        <v>533</v>
      </c>
      <c r="AD300" s="214">
        <v>1.5049110000000001</v>
      </c>
      <c r="AE300" s="214">
        <v>491</v>
      </c>
      <c r="AF300" s="214">
        <v>4.2843</v>
      </c>
      <c r="AG300" s="214">
        <v>-99</v>
      </c>
      <c r="AH300" s="212" t="s">
        <v>224</v>
      </c>
      <c r="AI300" s="212" t="s">
        <v>449</v>
      </c>
      <c r="AJ300" s="212" t="s">
        <v>268</v>
      </c>
      <c r="AK300" s="212" t="s">
        <v>531</v>
      </c>
      <c r="AL300" s="212" t="s">
        <v>375</v>
      </c>
      <c r="AM300" s="214" t="b">
        <v>1</v>
      </c>
      <c r="AN300" s="214" t="b">
        <v>0</v>
      </c>
      <c r="AO300" s="212" t="s">
        <v>269</v>
      </c>
      <c r="AP300" s="212" t="s">
        <v>270</v>
      </c>
      <c r="AQ300" s="214">
        <v>58.122199999999992</v>
      </c>
      <c r="AR300" s="214" t="b">
        <v>0</v>
      </c>
      <c r="AS300" s="212" t="s">
        <v>534</v>
      </c>
      <c r="AU300" s="222" t="s">
        <v>819</v>
      </c>
    </row>
    <row r="301" spans="1:47" s="218" customFormat="1" x14ac:dyDescent="0.25">
      <c r="A301" s="245">
        <f t="shared" si="39"/>
        <v>301</v>
      </c>
      <c r="B301" s="246" t="str">
        <f t="shared" si="32"/>
        <v>Oil Field - Tank</v>
      </c>
      <c r="C301" s="246" t="str">
        <f ca="1">IF(B301="","",VLOOKUP(D301,'Species Data'!B:E,4,FALSE))</f>
        <v>i_but</v>
      </c>
      <c r="D301" s="246">
        <f t="shared" ca="1" si="33"/>
        <v>499</v>
      </c>
      <c r="E301" s="246">
        <f t="shared" ca="1" si="34"/>
        <v>2.0999999999999999E-3</v>
      </c>
      <c r="F301" s="246" t="str">
        <f t="shared" ca="1" si="35"/>
        <v>Isomers of butylbenzene</v>
      </c>
      <c r="G301" s="246">
        <f t="shared" ca="1" si="36"/>
        <v>134.21816000000001</v>
      </c>
      <c r="H301" s="204">
        <f ca="1">IF(G301="","",IF(VLOOKUP(Tank!F301,'Species Data'!D:F,3,FALSE)=0,"X",IF(G301&lt;44.1,2,1)))</f>
        <v>1</v>
      </c>
      <c r="I301" s="204">
        <f t="shared" ca="1" si="37"/>
        <v>1.7466834348276415E-3</v>
      </c>
      <c r="J301" s="247">
        <f ca="1">IF(I301="","",IF(COUNTIF($D$12:D301,D301)=1,IF(H301=1,I301*H301,IF(H301="X","X",0)),0))</f>
        <v>0</v>
      </c>
      <c r="K301" s="248">
        <f t="shared" ca="1" si="38"/>
        <v>0</v>
      </c>
      <c r="L301" s="212" t="s">
        <v>679</v>
      </c>
      <c r="M301" s="212" t="s">
        <v>448</v>
      </c>
      <c r="N301" s="212" t="s">
        <v>470</v>
      </c>
      <c r="O301" s="213">
        <v>41419</v>
      </c>
      <c r="P301" s="212" t="s">
        <v>681</v>
      </c>
      <c r="Q301" s="214">
        <v>100</v>
      </c>
      <c r="R301" s="212" t="s">
        <v>445</v>
      </c>
      <c r="S301" s="212" t="s">
        <v>532</v>
      </c>
      <c r="T301" s="212" t="s">
        <v>445</v>
      </c>
      <c r="U301" s="212" t="s">
        <v>446</v>
      </c>
      <c r="V301" s="214" t="b">
        <v>1</v>
      </c>
      <c r="W301" s="214">
        <v>1989</v>
      </c>
      <c r="X301" s="214">
        <v>5</v>
      </c>
      <c r="Y301" s="214">
        <v>2</v>
      </c>
      <c r="Z301" s="214">
        <v>4</v>
      </c>
      <c r="AA301" s="212" t="s">
        <v>447</v>
      </c>
      <c r="AB301" s="212" t="s">
        <v>531</v>
      </c>
      <c r="AC301" s="212" t="s">
        <v>533</v>
      </c>
      <c r="AD301" s="214">
        <v>1.5049110000000001</v>
      </c>
      <c r="AE301" s="214">
        <v>499</v>
      </c>
      <c r="AF301" s="214">
        <v>2.0999999999999999E-3</v>
      </c>
      <c r="AG301" s="214">
        <v>-99</v>
      </c>
      <c r="AH301" s="212" t="s">
        <v>224</v>
      </c>
      <c r="AI301" s="212" t="s">
        <v>449</v>
      </c>
      <c r="AJ301" s="212" t="s">
        <v>531</v>
      </c>
      <c r="AK301" s="212" t="s">
        <v>642</v>
      </c>
      <c r="AL301" s="212" t="s">
        <v>643</v>
      </c>
      <c r="AM301" s="214" t="b">
        <v>0</v>
      </c>
      <c r="AN301" s="214" t="b">
        <v>0</v>
      </c>
      <c r="AO301" s="212" t="s">
        <v>644</v>
      </c>
      <c r="AP301" s="212" t="s">
        <v>531</v>
      </c>
      <c r="AQ301" s="214">
        <v>134.21816000000001</v>
      </c>
      <c r="AR301" s="214" t="b">
        <v>0</v>
      </c>
      <c r="AS301" s="212" t="s">
        <v>534</v>
      </c>
      <c r="AU301" s="222" t="s">
        <v>819</v>
      </c>
    </row>
    <row r="302" spans="1:47" s="218" customFormat="1" x14ac:dyDescent="0.25">
      <c r="A302" s="245">
        <f t="shared" si="39"/>
        <v>302</v>
      </c>
      <c r="B302" s="246" t="str">
        <f t="shared" si="32"/>
        <v>Oil Field - Tank</v>
      </c>
      <c r="C302" s="246" t="str">
        <f ca="1">IF(B302="","",VLOOKUP(D302,'Species Data'!B:E,4,FALSE))</f>
        <v>isopentane</v>
      </c>
      <c r="D302" s="246">
        <f t="shared" ca="1" si="33"/>
        <v>508</v>
      </c>
      <c r="E302" s="246">
        <f t="shared" ca="1" si="34"/>
        <v>5.0877999999999997</v>
      </c>
      <c r="F302" s="246" t="str">
        <f t="shared" ca="1" si="35"/>
        <v>Isopentane (2-Methylbutane)</v>
      </c>
      <c r="G302" s="246">
        <f t="shared" ca="1" si="36"/>
        <v>72.148780000000002</v>
      </c>
      <c r="H302" s="204">
        <f ca="1">IF(G302="","",IF(VLOOKUP(Tank!F302,'Species Data'!D:F,3,FALSE)=0,"X",IF(G302&lt;44.1,2,1)))</f>
        <v>1</v>
      </c>
      <c r="I302" s="204">
        <f t="shared" ca="1" si="37"/>
        <v>3.397999287459827</v>
      </c>
      <c r="J302" s="247">
        <f ca="1">IF(I302="","",IF(COUNTIF($D$12:D302,D302)=1,IF(H302=1,I302*H302,IF(H302="X","X",0)),0))</f>
        <v>0</v>
      </c>
      <c r="K302" s="248">
        <f t="shared" ca="1" si="38"/>
        <v>0</v>
      </c>
      <c r="L302" s="212" t="s">
        <v>679</v>
      </c>
      <c r="M302" s="212" t="s">
        <v>448</v>
      </c>
      <c r="N302" s="212" t="s">
        <v>470</v>
      </c>
      <c r="O302" s="213">
        <v>41419</v>
      </c>
      <c r="P302" s="212" t="s">
        <v>681</v>
      </c>
      <c r="Q302" s="214">
        <v>100</v>
      </c>
      <c r="R302" s="212" t="s">
        <v>445</v>
      </c>
      <c r="S302" s="212" t="s">
        <v>532</v>
      </c>
      <c r="T302" s="212" t="s">
        <v>445</v>
      </c>
      <c r="U302" s="212" t="s">
        <v>446</v>
      </c>
      <c r="V302" s="214" t="b">
        <v>1</v>
      </c>
      <c r="W302" s="214">
        <v>1989</v>
      </c>
      <c r="X302" s="214">
        <v>5</v>
      </c>
      <c r="Y302" s="214">
        <v>2</v>
      </c>
      <c r="Z302" s="214">
        <v>4</v>
      </c>
      <c r="AA302" s="212" t="s">
        <v>447</v>
      </c>
      <c r="AB302" s="212" t="s">
        <v>531</v>
      </c>
      <c r="AC302" s="212" t="s">
        <v>533</v>
      </c>
      <c r="AD302" s="214">
        <v>1.5049110000000001</v>
      </c>
      <c r="AE302" s="214">
        <v>508</v>
      </c>
      <c r="AF302" s="214">
        <v>5.0877999999999997</v>
      </c>
      <c r="AG302" s="214">
        <v>-99</v>
      </c>
      <c r="AH302" s="212" t="s">
        <v>224</v>
      </c>
      <c r="AI302" s="212" t="s">
        <v>449</v>
      </c>
      <c r="AJ302" s="212" t="s">
        <v>342</v>
      </c>
      <c r="AK302" s="212" t="s">
        <v>531</v>
      </c>
      <c r="AL302" s="212" t="s">
        <v>395</v>
      </c>
      <c r="AM302" s="214" t="b">
        <v>1</v>
      </c>
      <c r="AN302" s="214" t="b">
        <v>0</v>
      </c>
      <c r="AO302" s="212" t="s">
        <v>343</v>
      </c>
      <c r="AP302" s="212" t="s">
        <v>344</v>
      </c>
      <c r="AQ302" s="214">
        <v>72.148780000000002</v>
      </c>
      <c r="AR302" s="214" t="b">
        <v>0</v>
      </c>
      <c r="AS302" s="212" t="s">
        <v>534</v>
      </c>
      <c r="AU302" s="222" t="s">
        <v>819</v>
      </c>
    </row>
    <row r="303" spans="1:47" s="218" customFormat="1" x14ac:dyDescent="0.25">
      <c r="A303" s="245">
        <f t="shared" si="39"/>
        <v>303</v>
      </c>
      <c r="B303" s="246" t="str">
        <f t="shared" si="32"/>
        <v>Oil Field - Tank</v>
      </c>
      <c r="C303" s="246" t="str">
        <f ca="1">IF(B303="","",VLOOKUP(D303,'Species Data'!B:E,4,FALSE))</f>
        <v>isopben</v>
      </c>
      <c r="D303" s="246">
        <f t="shared" ca="1" si="33"/>
        <v>514</v>
      </c>
      <c r="E303" s="246">
        <f t="shared" ca="1" si="34"/>
        <v>3.8999999999999998E-3</v>
      </c>
      <c r="F303" s="246" t="str">
        <f t="shared" ca="1" si="35"/>
        <v>Isopropylbenzene (cumene)</v>
      </c>
      <c r="G303" s="246">
        <f t="shared" ca="1" si="36"/>
        <v>120.19158</v>
      </c>
      <c r="H303" s="204">
        <f ca="1">IF(G303="","",IF(VLOOKUP(Tank!F303,'Species Data'!D:F,3,FALSE)=0,"X",IF(G303&lt;44.1,2,1)))</f>
        <v>1</v>
      </c>
      <c r="I303" s="204">
        <f t="shared" ca="1" si="37"/>
        <v>4.0067051310359253E-3</v>
      </c>
      <c r="J303" s="247">
        <f ca="1">IF(I303="","",IF(COUNTIF($D$12:D303,D303)=1,IF(H303=1,I303*H303,IF(H303="X","X",0)),0))</f>
        <v>0</v>
      </c>
      <c r="K303" s="248">
        <f t="shared" ca="1" si="38"/>
        <v>0</v>
      </c>
      <c r="L303" s="212" t="s">
        <v>679</v>
      </c>
      <c r="M303" s="212" t="s">
        <v>448</v>
      </c>
      <c r="N303" s="212" t="s">
        <v>470</v>
      </c>
      <c r="O303" s="213">
        <v>41419</v>
      </c>
      <c r="P303" s="212" t="s">
        <v>681</v>
      </c>
      <c r="Q303" s="214">
        <v>100</v>
      </c>
      <c r="R303" s="212" t="s">
        <v>445</v>
      </c>
      <c r="S303" s="212" t="s">
        <v>532</v>
      </c>
      <c r="T303" s="212" t="s">
        <v>445</v>
      </c>
      <c r="U303" s="212" t="s">
        <v>446</v>
      </c>
      <c r="V303" s="214" t="b">
        <v>1</v>
      </c>
      <c r="W303" s="214">
        <v>1989</v>
      </c>
      <c r="X303" s="214">
        <v>5</v>
      </c>
      <c r="Y303" s="214">
        <v>2</v>
      </c>
      <c r="Z303" s="214">
        <v>4</v>
      </c>
      <c r="AA303" s="212" t="s">
        <v>447</v>
      </c>
      <c r="AB303" s="212" t="s">
        <v>531</v>
      </c>
      <c r="AC303" s="212" t="s">
        <v>533</v>
      </c>
      <c r="AD303" s="214">
        <v>1.5049110000000001</v>
      </c>
      <c r="AE303" s="214">
        <v>514</v>
      </c>
      <c r="AF303" s="214">
        <v>3.8999999999999998E-3</v>
      </c>
      <c r="AG303" s="214">
        <v>-99</v>
      </c>
      <c r="AH303" s="212" t="s">
        <v>224</v>
      </c>
      <c r="AI303" s="212" t="s">
        <v>449</v>
      </c>
      <c r="AJ303" s="212" t="s">
        <v>362</v>
      </c>
      <c r="AK303" s="212" t="s">
        <v>531</v>
      </c>
      <c r="AL303" s="212" t="s">
        <v>399</v>
      </c>
      <c r="AM303" s="214" t="b">
        <v>1</v>
      </c>
      <c r="AN303" s="214" t="b">
        <v>1</v>
      </c>
      <c r="AO303" s="212" t="s">
        <v>363</v>
      </c>
      <c r="AP303" s="212" t="s">
        <v>364</v>
      </c>
      <c r="AQ303" s="214">
        <v>120.19158</v>
      </c>
      <c r="AR303" s="214" t="b">
        <v>0</v>
      </c>
      <c r="AS303" s="212" t="s">
        <v>534</v>
      </c>
      <c r="AU303" s="222" t="s">
        <v>819</v>
      </c>
    </row>
    <row r="304" spans="1:47" s="218" customFormat="1" x14ac:dyDescent="0.25">
      <c r="A304" s="245">
        <f t="shared" si="39"/>
        <v>304</v>
      </c>
      <c r="B304" s="246" t="str">
        <f t="shared" si="32"/>
        <v>Oil Field - Tank</v>
      </c>
      <c r="C304" s="246" t="str">
        <f ca="1">IF(B304="","",VLOOKUP(D304,'Species Data'!B:E,4,FALSE))</f>
        <v>M_xylene</v>
      </c>
      <c r="D304" s="246">
        <f t="shared" ca="1" si="33"/>
        <v>524</v>
      </c>
      <c r="E304" s="246">
        <f t="shared" ca="1" si="34"/>
        <v>8.3900000000000002E-2</v>
      </c>
      <c r="F304" s="246" t="str">
        <f t="shared" ca="1" si="35"/>
        <v>M-xylene</v>
      </c>
      <c r="G304" s="246">
        <f t="shared" ca="1" si="36"/>
        <v>106.16500000000001</v>
      </c>
      <c r="H304" s="204">
        <f ca="1">IF(G304="","",IF(VLOOKUP(Tank!F304,'Species Data'!D:F,3,FALSE)=0,"X",IF(G304&lt;44.1,2,1)))</f>
        <v>1</v>
      </c>
      <c r="I304" s="204">
        <f t="shared" ca="1" si="37"/>
        <v>7.6727403249737883E-2</v>
      </c>
      <c r="J304" s="247">
        <f ca="1">IF(I304="","",IF(COUNTIF($D$12:D304,D304)=1,IF(H304=1,I304*H304,IF(H304="X","X",0)),0))</f>
        <v>0</v>
      </c>
      <c r="K304" s="248">
        <f t="shared" ca="1" si="38"/>
        <v>0</v>
      </c>
      <c r="L304" s="212" t="s">
        <v>679</v>
      </c>
      <c r="M304" s="212" t="s">
        <v>448</v>
      </c>
      <c r="N304" s="212" t="s">
        <v>470</v>
      </c>
      <c r="O304" s="213">
        <v>41419</v>
      </c>
      <c r="P304" s="212" t="s">
        <v>681</v>
      </c>
      <c r="Q304" s="214">
        <v>100</v>
      </c>
      <c r="R304" s="212" t="s">
        <v>445</v>
      </c>
      <c r="S304" s="212" t="s">
        <v>532</v>
      </c>
      <c r="T304" s="212" t="s">
        <v>445</v>
      </c>
      <c r="U304" s="212" t="s">
        <v>446</v>
      </c>
      <c r="V304" s="214" t="b">
        <v>1</v>
      </c>
      <c r="W304" s="214">
        <v>1989</v>
      </c>
      <c r="X304" s="214">
        <v>5</v>
      </c>
      <c r="Y304" s="214">
        <v>2</v>
      </c>
      <c r="Z304" s="214">
        <v>4</v>
      </c>
      <c r="AA304" s="212" t="s">
        <v>447</v>
      </c>
      <c r="AB304" s="212" t="s">
        <v>531</v>
      </c>
      <c r="AC304" s="212" t="s">
        <v>533</v>
      </c>
      <c r="AD304" s="214">
        <v>1.5049110000000001</v>
      </c>
      <c r="AE304" s="214">
        <v>524</v>
      </c>
      <c r="AF304" s="214">
        <v>8.3900000000000002E-2</v>
      </c>
      <c r="AG304" s="214">
        <v>-99</v>
      </c>
      <c r="AH304" s="212" t="s">
        <v>224</v>
      </c>
      <c r="AI304" s="212" t="s">
        <v>449</v>
      </c>
      <c r="AJ304" s="212" t="s">
        <v>436</v>
      </c>
      <c r="AK304" s="212" t="s">
        <v>531</v>
      </c>
      <c r="AL304" s="212" t="s">
        <v>460</v>
      </c>
      <c r="AM304" s="214" t="b">
        <v>0</v>
      </c>
      <c r="AN304" s="214" t="b">
        <v>1</v>
      </c>
      <c r="AO304" s="212" t="s">
        <v>437</v>
      </c>
      <c r="AP304" s="212" t="s">
        <v>438</v>
      </c>
      <c r="AQ304" s="214">
        <v>106.16500000000001</v>
      </c>
      <c r="AR304" s="214" t="b">
        <v>0</v>
      </c>
      <c r="AS304" s="212" t="s">
        <v>534</v>
      </c>
      <c r="AU304" s="222" t="s">
        <v>819</v>
      </c>
    </row>
    <row r="305" spans="1:47" s="218" customFormat="1" x14ac:dyDescent="0.25">
      <c r="A305" s="245">
        <f t="shared" si="39"/>
        <v>305</v>
      </c>
      <c r="B305" s="246" t="str">
        <f t="shared" si="32"/>
        <v>Oil Field - Tank</v>
      </c>
      <c r="C305" s="246" t="str">
        <f ca="1">IF(B305="","",VLOOKUP(D305,'Species Data'!B:E,4,FALSE))</f>
        <v>methane</v>
      </c>
      <c r="D305" s="246">
        <f t="shared" ca="1" si="33"/>
        <v>529</v>
      </c>
      <c r="E305" s="246">
        <f t="shared" ca="1" si="34"/>
        <v>25.6069</v>
      </c>
      <c r="F305" s="246" t="str">
        <f t="shared" ca="1" si="35"/>
        <v>Methane</v>
      </c>
      <c r="G305" s="246">
        <f t="shared" ca="1" si="36"/>
        <v>16.042459999999998</v>
      </c>
      <c r="H305" s="204">
        <f ca="1">IF(G305="","",IF(VLOOKUP(Tank!F305,'Species Data'!D:F,3,FALSE)=0,"X",IF(G305&lt;44.1,2,1)))</f>
        <v>2</v>
      </c>
      <c r="I305" s="204">
        <f t="shared" ca="1" si="37"/>
        <v>44.518760713436194</v>
      </c>
      <c r="J305" s="247">
        <f ca="1">IF(I305="","",IF(COUNTIF($D$12:D305,D305)=1,IF(H305=1,I305*H305,IF(H305="X","X",0)),0))</f>
        <v>0</v>
      </c>
      <c r="K305" s="248">
        <f t="shared" ca="1" si="38"/>
        <v>0</v>
      </c>
      <c r="L305" s="212" t="s">
        <v>679</v>
      </c>
      <c r="M305" s="212" t="s">
        <v>448</v>
      </c>
      <c r="N305" s="212" t="s">
        <v>470</v>
      </c>
      <c r="O305" s="213">
        <v>41419</v>
      </c>
      <c r="P305" s="212" t="s">
        <v>681</v>
      </c>
      <c r="Q305" s="214">
        <v>100</v>
      </c>
      <c r="R305" s="212" t="s">
        <v>445</v>
      </c>
      <c r="S305" s="212" t="s">
        <v>532</v>
      </c>
      <c r="T305" s="212" t="s">
        <v>445</v>
      </c>
      <c r="U305" s="212" t="s">
        <v>446</v>
      </c>
      <c r="V305" s="214" t="b">
        <v>1</v>
      </c>
      <c r="W305" s="214">
        <v>1989</v>
      </c>
      <c r="X305" s="214">
        <v>5</v>
      </c>
      <c r="Y305" s="214">
        <v>2</v>
      </c>
      <c r="Z305" s="214">
        <v>4</v>
      </c>
      <c r="AA305" s="212" t="s">
        <v>447</v>
      </c>
      <c r="AB305" s="212" t="s">
        <v>531</v>
      </c>
      <c r="AC305" s="212" t="s">
        <v>533</v>
      </c>
      <c r="AD305" s="214">
        <v>1.5049110000000001</v>
      </c>
      <c r="AE305" s="214">
        <v>529</v>
      </c>
      <c r="AF305" s="214">
        <v>25.6069</v>
      </c>
      <c r="AG305" s="214">
        <v>-99</v>
      </c>
      <c r="AH305" s="212" t="s">
        <v>224</v>
      </c>
      <c r="AI305" s="212" t="s">
        <v>449</v>
      </c>
      <c r="AJ305" s="212" t="s">
        <v>271</v>
      </c>
      <c r="AK305" s="212" t="s">
        <v>531</v>
      </c>
      <c r="AL305" s="212" t="s">
        <v>376</v>
      </c>
      <c r="AM305" s="214" t="b">
        <v>0</v>
      </c>
      <c r="AN305" s="214" t="b">
        <v>0</v>
      </c>
      <c r="AO305" s="212" t="s">
        <v>272</v>
      </c>
      <c r="AP305" s="212" t="s">
        <v>531</v>
      </c>
      <c r="AQ305" s="214">
        <v>16.042459999999998</v>
      </c>
      <c r="AR305" s="214" t="b">
        <v>1</v>
      </c>
      <c r="AS305" s="212" t="s">
        <v>534</v>
      </c>
      <c r="AU305" s="222" t="s">
        <v>819</v>
      </c>
    </row>
    <row r="306" spans="1:47" s="218" customFormat="1" x14ac:dyDescent="0.25">
      <c r="A306" s="245">
        <f t="shared" si="39"/>
        <v>306</v>
      </c>
      <c r="B306" s="246" t="str">
        <f t="shared" si="32"/>
        <v>Oil Field - Tank</v>
      </c>
      <c r="C306" s="246" t="str">
        <f ca="1">IF(B306="","",VLOOKUP(D306,'Species Data'!B:E,4,FALSE))</f>
        <v>methcycpen</v>
      </c>
      <c r="D306" s="246">
        <f t="shared" ca="1" si="33"/>
        <v>551</v>
      </c>
      <c r="E306" s="246">
        <f t="shared" ca="1" si="34"/>
        <v>2.8540000000000001</v>
      </c>
      <c r="F306" s="246" t="str">
        <f t="shared" ca="1" si="35"/>
        <v>Methylcyclopentane</v>
      </c>
      <c r="G306" s="246">
        <f t="shared" ca="1" si="36"/>
        <v>84.159480000000002</v>
      </c>
      <c r="H306" s="204">
        <f ca="1">IF(G306="","",IF(VLOOKUP(Tank!F306,'Species Data'!D:F,3,FALSE)=0,"X",IF(G306&lt;44.1,2,1)))</f>
        <v>1</v>
      </c>
      <c r="I306" s="204">
        <f t="shared" ca="1" si="37"/>
        <v>1.4788275300776224</v>
      </c>
      <c r="J306" s="247">
        <f ca="1">IF(I306="","",IF(COUNTIF($D$12:D306,D306)=1,IF(H306=1,I306*H306,IF(H306="X","X",0)),0))</f>
        <v>0</v>
      </c>
      <c r="K306" s="248">
        <f t="shared" ca="1" si="38"/>
        <v>0</v>
      </c>
      <c r="L306" s="212" t="s">
        <v>679</v>
      </c>
      <c r="M306" s="212" t="s">
        <v>448</v>
      </c>
      <c r="N306" s="212" t="s">
        <v>470</v>
      </c>
      <c r="O306" s="213">
        <v>41419</v>
      </c>
      <c r="P306" s="212" t="s">
        <v>681</v>
      </c>
      <c r="Q306" s="214">
        <v>100</v>
      </c>
      <c r="R306" s="212" t="s">
        <v>445</v>
      </c>
      <c r="S306" s="212" t="s">
        <v>532</v>
      </c>
      <c r="T306" s="212" t="s">
        <v>445</v>
      </c>
      <c r="U306" s="212" t="s">
        <v>446</v>
      </c>
      <c r="V306" s="214" t="b">
        <v>1</v>
      </c>
      <c r="W306" s="214">
        <v>1989</v>
      </c>
      <c r="X306" s="214">
        <v>5</v>
      </c>
      <c r="Y306" s="214">
        <v>2</v>
      </c>
      <c r="Z306" s="214">
        <v>4</v>
      </c>
      <c r="AA306" s="212" t="s">
        <v>447</v>
      </c>
      <c r="AB306" s="212" t="s">
        <v>531</v>
      </c>
      <c r="AC306" s="212" t="s">
        <v>533</v>
      </c>
      <c r="AD306" s="214">
        <v>1.5049110000000001</v>
      </c>
      <c r="AE306" s="214">
        <v>551</v>
      </c>
      <c r="AF306" s="214">
        <v>2.8540000000000001</v>
      </c>
      <c r="AG306" s="214">
        <v>-99</v>
      </c>
      <c r="AH306" s="212" t="s">
        <v>224</v>
      </c>
      <c r="AI306" s="212" t="s">
        <v>449</v>
      </c>
      <c r="AJ306" s="212" t="s">
        <v>351</v>
      </c>
      <c r="AK306" s="212" t="s">
        <v>531</v>
      </c>
      <c r="AL306" s="212" t="s">
        <v>397</v>
      </c>
      <c r="AM306" s="214" t="b">
        <v>1</v>
      </c>
      <c r="AN306" s="214" t="b">
        <v>0</v>
      </c>
      <c r="AO306" s="212" t="s">
        <v>352</v>
      </c>
      <c r="AP306" s="212" t="s">
        <v>353</v>
      </c>
      <c r="AQ306" s="214">
        <v>84.159480000000002</v>
      </c>
      <c r="AR306" s="214" t="b">
        <v>0</v>
      </c>
      <c r="AS306" s="212" t="s">
        <v>534</v>
      </c>
      <c r="AU306" s="222" t="s">
        <v>819</v>
      </c>
    </row>
    <row r="307" spans="1:47" s="218" customFormat="1" x14ac:dyDescent="0.25">
      <c r="A307" s="245">
        <f t="shared" si="39"/>
        <v>307</v>
      </c>
      <c r="B307" s="246" t="str">
        <f t="shared" si="32"/>
        <v>Oil Field - Tank</v>
      </c>
      <c r="C307" s="246" t="str">
        <f ca="1">IF(B307="","",VLOOKUP(D307,'Species Data'!B:E,4,FALSE))</f>
        <v>N_but</v>
      </c>
      <c r="D307" s="246">
        <f t="shared" ca="1" si="33"/>
        <v>592</v>
      </c>
      <c r="E307" s="246">
        <f t="shared" ca="1" si="34"/>
        <v>14.001099999999999</v>
      </c>
      <c r="F307" s="246" t="str">
        <f t="shared" ca="1" si="35"/>
        <v>N-butane</v>
      </c>
      <c r="G307" s="246">
        <f t="shared" ca="1" si="36"/>
        <v>58.122199999999992</v>
      </c>
      <c r="H307" s="204">
        <f ca="1">IF(G307="","",IF(VLOOKUP(Tank!F307,'Species Data'!D:F,3,FALSE)=0,"X",IF(G307&lt;44.1,2,1)))</f>
        <v>1</v>
      </c>
      <c r="I307" s="204">
        <f t="shared" ca="1" si="37"/>
        <v>8.8589583793337763</v>
      </c>
      <c r="J307" s="247">
        <f ca="1">IF(I307="","",IF(COUNTIF($D$12:D307,D307)=1,IF(H307=1,I307*H307,IF(H307="X","X",0)),0))</f>
        <v>0</v>
      </c>
      <c r="K307" s="248">
        <f t="shared" ca="1" si="38"/>
        <v>0</v>
      </c>
      <c r="L307" s="212" t="s">
        <v>679</v>
      </c>
      <c r="M307" s="212" t="s">
        <v>448</v>
      </c>
      <c r="N307" s="212" t="s">
        <v>470</v>
      </c>
      <c r="O307" s="213">
        <v>41419</v>
      </c>
      <c r="P307" s="212" t="s">
        <v>681</v>
      </c>
      <c r="Q307" s="214">
        <v>100</v>
      </c>
      <c r="R307" s="212" t="s">
        <v>445</v>
      </c>
      <c r="S307" s="212" t="s">
        <v>532</v>
      </c>
      <c r="T307" s="212" t="s">
        <v>445</v>
      </c>
      <c r="U307" s="212" t="s">
        <v>446</v>
      </c>
      <c r="V307" s="214" t="b">
        <v>1</v>
      </c>
      <c r="W307" s="214">
        <v>1989</v>
      </c>
      <c r="X307" s="214">
        <v>5</v>
      </c>
      <c r="Y307" s="214">
        <v>2</v>
      </c>
      <c r="Z307" s="214">
        <v>4</v>
      </c>
      <c r="AA307" s="212" t="s">
        <v>447</v>
      </c>
      <c r="AB307" s="212" t="s">
        <v>531</v>
      </c>
      <c r="AC307" s="212" t="s">
        <v>533</v>
      </c>
      <c r="AD307" s="214">
        <v>1.5049110000000001</v>
      </c>
      <c r="AE307" s="214">
        <v>592</v>
      </c>
      <c r="AF307" s="214">
        <v>14.001099999999999</v>
      </c>
      <c r="AG307" s="214">
        <v>-99</v>
      </c>
      <c r="AH307" s="212" t="s">
        <v>224</v>
      </c>
      <c r="AI307" s="212" t="s">
        <v>449</v>
      </c>
      <c r="AJ307" s="212" t="s">
        <v>273</v>
      </c>
      <c r="AK307" s="212" t="s">
        <v>531</v>
      </c>
      <c r="AL307" s="212" t="s">
        <v>377</v>
      </c>
      <c r="AM307" s="214" t="b">
        <v>1</v>
      </c>
      <c r="AN307" s="214" t="b">
        <v>0</v>
      </c>
      <c r="AO307" s="212" t="s">
        <v>274</v>
      </c>
      <c r="AP307" s="212" t="s">
        <v>275</v>
      </c>
      <c r="AQ307" s="214">
        <v>58.122199999999992</v>
      </c>
      <c r="AR307" s="214" t="b">
        <v>0</v>
      </c>
      <c r="AS307" s="212" t="s">
        <v>534</v>
      </c>
      <c r="AU307" s="222" t="s">
        <v>819</v>
      </c>
    </row>
    <row r="308" spans="1:47" s="218" customFormat="1" x14ac:dyDescent="0.25">
      <c r="A308" s="245">
        <f t="shared" si="39"/>
        <v>308</v>
      </c>
      <c r="B308" s="246" t="str">
        <f t="shared" si="32"/>
        <v>Oil Field - Tank</v>
      </c>
      <c r="C308" s="246" t="str">
        <f ca="1">IF(B308="","",VLOOKUP(D308,'Species Data'!B:E,4,FALSE))</f>
        <v>N_hep</v>
      </c>
      <c r="D308" s="246">
        <f t="shared" ca="1" si="33"/>
        <v>600</v>
      </c>
      <c r="E308" s="246">
        <f t="shared" ca="1" si="34"/>
        <v>0.7147</v>
      </c>
      <c r="F308" s="246" t="str">
        <f t="shared" ca="1" si="35"/>
        <v>N-heptane</v>
      </c>
      <c r="G308" s="246">
        <f t="shared" ca="1" si="36"/>
        <v>100.20194000000001</v>
      </c>
      <c r="H308" s="204">
        <f ca="1">IF(G308="","",IF(VLOOKUP(Tank!F308,'Species Data'!D:F,3,FALSE)=0,"X",IF(G308&lt;44.1,2,1)))</f>
        <v>1</v>
      </c>
      <c r="I308" s="204">
        <f t="shared" ca="1" si="37"/>
        <v>0.55093195561344066</v>
      </c>
      <c r="J308" s="247">
        <f ca="1">IF(I308="","",IF(COUNTIF($D$12:D308,D308)=1,IF(H308=1,I308*H308,IF(H308="X","X",0)),0))</f>
        <v>0</v>
      </c>
      <c r="K308" s="248">
        <f t="shared" ca="1" si="38"/>
        <v>0</v>
      </c>
      <c r="L308" s="212" t="s">
        <v>679</v>
      </c>
      <c r="M308" s="212" t="s">
        <v>448</v>
      </c>
      <c r="N308" s="212" t="s">
        <v>470</v>
      </c>
      <c r="O308" s="213">
        <v>41419</v>
      </c>
      <c r="P308" s="212" t="s">
        <v>681</v>
      </c>
      <c r="Q308" s="214">
        <v>100</v>
      </c>
      <c r="R308" s="212" t="s">
        <v>445</v>
      </c>
      <c r="S308" s="212" t="s">
        <v>532</v>
      </c>
      <c r="T308" s="212" t="s">
        <v>445</v>
      </c>
      <c r="U308" s="212" t="s">
        <v>446</v>
      </c>
      <c r="V308" s="214" t="b">
        <v>1</v>
      </c>
      <c r="W308" s="214">
        <v>1989</v>
      </c>
      <c r="X308" s="214">
        <v>5</v>
      </c>
      <c r="Y308" s="214">
        <v>2</v>
      </c>
      <c r="Z308" s="214">
        <v>4</v>
      </c>
      <c r="AA308" s="212" t="s">
        <v>447</v>
      </c>
      <c r="AB308" s="212" t="s">
        <v>531</v>
      </c>
      <c r="AC308" s="212" t="s">
        <v>533</v>
      </c>
      <c r="AD308" s="214">
        <v>1.5049110000000001</v>
      </c>
      <c r="AE308" s="214">
        <v>600</v>
      </c>
      <c r="AF308" s="214">
        <v>0.7147</v>
      </c>
      <c r="AG308" s="214">
        <v>-99</v>
      </c>
      <c r="AH308" s="212" t="s">
        <v>224</v>
      </c>
      <c r="AI308" s="212" t="s">
        <v>449</v>
      </c>
      <c r="AJ308" s="212" t="s">
        <v>276</v>
      </c>
      <c r="AK308" s="212" t="s">
        <v>531</v>
      </c>
      <c r="AL308" s="212" t="s">
        <v>378</v>
      </c>
      <c r="AM308" s="214" t="b">
        <v>1</v>
      </c>
      <c r="AN308" s="214" t="b">
        <v>0</v>
      </c>
      <c r="AO308" s="212" t="s">
        <v>277</v>
      </c>
      <c r="AP308" s="212" t="s">
        <v>278</v>
      </c>
      <c r="AQ308" s="214">
        <v>100.20194000000001</v>
      </c>
      <c r="AR308" s="214" t="b">
        <v>0</v>
      </c>
      <c r="AS308" s="212" t="s">
        <v>534</v>
      </c>
      <c r="AU308" s="222" t="s">
        <v>819</v>
      </c>
    </row>
    <row r="309" spans="1:47" s="218" customFormat="1" x14ac:dyDescent="0.25">
      <c r="A309" s="245">
        <f t="shared" si="39"/>
        <v>309</v>
      </c>
      <c r="B309" s="246" t="str">
        <f t="shared" si="32"/>
        <v>Oil Field - Tank</v>
      </c>
      <c r="C309" s="246" t="str">
        <f ca="1">IF(B309="","",VLOOKUP(D309,'Species Data'!B:E,4,FALSE))</f>
        <v>N_hex</v>
      </c>
      <c r="D309" s="246">
        <f t="shared" ca="1" si="33"/>
        <v>601</v>
      </c>
      <c r="E309" s="246">
        <f t="shared" ca="1" si="34"/>
        <v>1.9673</v>
      </c>
      <c r="F309" s="246" t="str">
        <f t="shared" ca="1" si="35"/>
        <v>N-hexane</v>
      </c>
      <c r="G309" s="246">
        <f t="shared" ca="1" si="36"/>
        <v>86.175359999999998</v>
      </c>
      <c r="H309" s="204">
        <f ca="1">IF(G309="","",IF(VLOOKUP(Tank!F309,'Species Data'!D:F,3,FALSE)=0,"X",IF(G309&lt;44.1,2,1)))</f>
        <v>1</v>
      </c>
      <c r="I309" s="204">
        <f t="shared" ca="1" si="37"/>
        <v>1.4244870084086145</v>
      </c>
      <c r="J309" s="247">
        <f ca="1">IF(I309="","",IF(COUNTIF($D$12:D309,D309)=1,IF(H309=1,I309*H309,IF(H309="X","X",0)),0))</f>
        <v>0</v>
      </c>
      <c r="K309" s="248">
        <f t="shared" ca="1" si="38"/>
        <v>0</v>
      </c>
      <c r="L309" s="212" t="s">
        <v>679</v>
      </c>
      <c r="M309" s="212" t="s">
        <v>448</v>
      </c>
      <c r="N309" s="212" t="s">
        <v>470</v>
      </c>
      <c r="O309" s="213">
        <v>41419</v>
      </c>
      <c r="P309" s="212" t="s">
        <v>681</v>
      </c>
      <c r="Q309" s="214">
        <v>100</v>
      </c>
      <c r="R309" s="212" t="s">
        <v>445</v>
      </c>
      <c r="S309" s="212" t="s">
        <v>532</v>
      </c>
      <c r="T309" s="212" t="s">
        <v>445</v>
      </c>
      <c r="U309" s="212" t="s">
        <v>446</v>
      </c>
      <c r="V309" s="214" t="b">
        <v>1</v>
      </c>
      <c r="W309" s="214">
        <v>1989</v>
      </c>
      <c r="X309" s="214">
        <v>5</v>
      </c>
      <c r="Y309" s="214">
        <v>2</v>
      </c>
      <c r="Z309" s="214">
        <v>4</v>
      </c>
      <c r="AA309" s="212" t="s">
        <v>447</v>
      </c>
      <c r="AB309" s="212" t="s">
        <v>531</v>
      </c>
      <c r="AC309" s="212" t="s">
        <v>533</v>
      </c>
      <c r="AD309" s="214">
        <v>1.5049110000000001</v>
      </c>
      <c r="AE309" s="214">
        <v>601</v>
      </c>
      <c r="AF309" s="214">
        <v>1.9673</v>
      </c>
      <c r="AG309" s="214">
        <v>-99</v>
      </c>
      <c r="AH309" s="212" t="s">
        <v>224</v>
      </c>
      <c r="AI309" s="212" t="s">
        <v>449</v>
      </c>
      <c r="AJ309" s="212" t="s">
        <v>279</v>
      </c>
      <c r="AK309" s="212" t="s">
        <v>531</v>
      </c>
      <c r="AL309" s="212" t="s">
        <v>379</v>
      </c>
      <c r="AM309" s="214" t="b">
        <v>1</v>
      </c>
      <c r="AN309" s="214" t="b">
        <v>1</v>
      </c>
      <c r="AO309" s="212" t="s">
        <v>280</v>
      </c>
      <c r="AP309" s="212" t="s">
        <v>281</v>
      </c>
      <c r="AQ309" s="214">
        <v>86.175359999999998</v>
      </c>
      <c r="AR309" s="214" t="b">
        <v>0</v>
      </c>
      <c r="AS309" s="212" t="s">
        <v>534</v>
      </c>
      <c r="AU309" s="222" t="s">
        <v>819</v>
      </c>
    </row>
    <row r="310" spans="1:47" s="218" customFormat="1" x14ac:dyDescent="0.25">
      <c r="A310" s="245">
        <f t="shared" si="39"/>
        <v>310</v>
      </c>
      <c r="B310" s="246" t="str">
        <f t="shared" si="32"/>
        <v>Oil Field - Tank</v>
      </c>
      <c r="C310" s="246" t="str">
        <f ca="1">IF(B310="","",VLOOKUP(D310,'Species Data'!B:E,4,FALSE))</f>
        <v>N_nonane</v>
      </c>
      <c r="D310" s="246">
        <f t="shared" ca="1" si="33"/>
        <v>603</v>
      </c>
      <c r="E310" s="246">
        <f t="shared" ca="1" si="34"/>
        <v>2.01E-2</v>
      </c>
      <c r="F310" s="246" t="str">
        <f t="shared" ca="1" si="35"/>
        <v>N-nonane</v>
      </c>
      <c r="G310" s="246">
        <f t="shared" ca="1" si="36"/>
        <v>128.2551</v>
      </c>
      <c r="H310" s="204">
        <f ca="1">IF(G310="","",IF(VLOOKUP(Tank!F310,'Species Data'!D:F,3,FALSE)=0,"X",IF(G310&lt;44.1,2,1)))</f>
        <v>1</v>
      </c>
      <c r="I310" s="204">
        <f t="shared" ca="1" si="37"/>
        <v>6.0467247152239355E-2</v>
      </c>
      <c r="J310" s="247">
        <f ca="1">IF(I310="","",IF(COUNTIF($D$12:D310,D310)=1,IF(H310=1,I310*H310,IF(H310="X","X",0)),0))</f>
        <v>0</v>
      </c>
      <c r="K310" s="248">
        <f t="shared" ca="1" si="38"/>
        <v>0</v>
      </c>
      <c r="L310" s="212" t="s">
        <v>679</v>
      </c>
      <c r="M310" s="212" t="s">
        <v>448</v>
      </c>
      <c r="N310" s="212" t="s">
        <v>470</v>
      </c>
      <c r="O310" s="213">
        <v>41419</v>
      </c>
      <c r="P310" s="212" t="s">
        <v>681</v>
      </c>
      <c r="Q310" s="214">
        <v>100</v>
      </c>
      <c r="R310" s="212" t="s">
        <v>445</v>
      </c>
      <c r="S310" s="212" t="s">
        <v>532</v>
      </c>
      <c r="T310" s="212" t="s">
        <v>445</v>
      </c>
      <c r="U310" s="212" t="s">
        <v>446</v>
      </c>
      <c r="V310" s="214" t="b">
        <v>1</v>
      </c>
      <c r="W310" s="214">
        <v>1989</v>
      </c>
      <c r="X310" s="214">
        <v>5</v>
      </c>
      <c r="Y310" s="214">
        <v>2</v>
      </c>
      <c r="Z310" s="214">
        <v>4</v>
      </c>
      <c r="AA310" s="212" t="s">
        <v>447</v>
      </c>
      <c r="AB310" s="212" t="s">
        <v>531</v>
      </c>
      <c r="AC310" s="212" t="s">
        <v>533</v>
      </c>
      <c r="AD310" s="214">
        <v>1.5049110000000001</v>
      </c>
      <c r="AE310" s="214">
        <v>603</v>
      </c>
      <c r="AF310" s="214">
        <v>2.01E-2</v>
      </c>
      <c r="AG310" s="214">
        <v>-99</v>
      </c>
      <c r="AH310" s="212" t="s">
        <v>224</v>
      </c>
      <c r="AI310" s="212" t="s">
        <v>449</v>
      </c>
      <c r="AJ310" s="212" t="s">
        <v>417</v>
      </c>
      <c r="AK310" s="212" t="s">
        <v>531</v>
      </c>
      <c r="AL310" s="212" t="s">
        <v>453</v>
      </c>
      <c r="AM310" s="214" t="b">
        <v>1</v>
      </c>
      <c r="AN310" s="214" t="b">
        <v>0</v>
      </c>
      <c r="AO310" s="212" t="s">
        <v>418</v>
      </c>
      <c r="AP310" s="212" t="s">
        <v>419</v>
      </c>
      <c r="AQ310" s="214">
        <v>128.2551</v>
      </c>
      <c r="AR310" s="214" t="b">
        <v>0</v>
      </c>
      <c r="AS310" s="212" t="s">
        <v>534</v>
      </c>
      <c r="AU310" s="222" t="s">
        <v>819</v>
      </c>
    </row>
    <row r="311" spans="1:47" s="218" customFormat="1" x14ac:dyDescent="0.25">
      <c r="A311" s="245">
        <f t="shared" si="39"/>
        <v>311</v>
      </c>
      <c r="B311" s="246" t="str">
        <f t="shared" si="32"/>
        <v>Oil Field - Tank</v>
      </c>
      <c r="C311" s="246" t="str">
        <f ca="1">IF(B311="","",VLOOKUP(D311,'Species Data'!B:E,4,FALSE))</f>
        <v>N_octane</v>
      </c>
      <c r="D311" s="246">
        <f t="shared" ca="1" si="33"/>
        <v>604</v>
      </c>
      <c r="E311" s="246">
        <f t="shared" ca="1" si="34"/>
        <v>8.7400000000000005E-2</v>
      </c>
      <c r="F311" s="246" t="str">
        <f t="shared" ca="1" si="35"/>
        <v>N-octane</v>
      </c>
      <c r="G311" s="246">
        <f t="shared" ca="1" si="36"/>
        <v>114.22852</v>
      </c>
      <c r="H311" s="204">
        <f ca="1">IF(G311="","",IF(VLOOKUP(Tank!F311,'Species Data'!D:F,3,FALSE)=0,"X",IF(G311&lt;44.1,2,1)))</f>
        <v>1</v>
      </c>
      <c r="I311" s="204">
        <f t="shared" ca="1" si="37"/>
        <v>0.21590207265989761</v>
      </c>
      <c r="J311" s="247">
        <f ca="1">IF(I311="","",IF(COUNTIF($D$12:D311,D311)=1,IF(H311=1,I311*H311,IF(H311="X","X",0)),0))</f>
        <v>0</v>
      </c>
      <c r="K311" s="248">
        <f t="shared" ca="1" si="38"/>
        <v>0</v>
      </c>
      <c r="L311" s="212" t="s">
        <v>679</v>
      </c>
      <c r="M311" s="212" t="s">
        <v>448</v>
      </c>
      <c r="N311" s="212" t="s">
        <v>470</v>
      </c>
      <c r="O311" s="213">
        <v>41419</v>
      </c>
      <c r="P311" s="212" t="s">
        <v>681</v>
      </c>
      <c r="Q311" s="214">
        <v>100</v>
      </c>
      <c r="R311" s="212" t="s">
        <v>445</v>
      </c>
      <c r="S311" s="212" t="s">
        <v>532</v>
      </c>
      <c r="T311" s="212" t="s">
        <v>445</v>
      </c>
      <c r="U311" s="212" t="s">
        <v>446</v>
      </c>
      <c r="V311" s="214" t="b">
        <v>1</v>
      </c>
      <c r="W311" s="214">
        <v>1989</v>
      </c>
      <c r="X311" s="214">
        <v>5</v>
      </c>
      <c r="Y311" s="214">
        <v>2</v>
      </c>
      <c r="Z311" s="214">
        <v>4</v>
      </c>
      <c r="AA311" s="212" t="s">
        <v>447</v>
      </c>
      <c r="AB311" s="212" t="s">
        <v>531</v>
      </c>
      <c r="AC311" s="212" t="s">
        <v>533</v>
      </c>
      <c r="AD311" s="214">
        <v>1.5049110000000001</v>
      </c>
      <c r="AE311" s="214">
        <v>604</v>
      </c>
      <c r="AF311" s="214">
        <v>8.7400000000000005E-2</v>
      </c>
      <c r="AG311" s="214">
        <v>-99</v>
      </c>
      <c r="AH311" s="212" t="s">
        <v>224</v>
      </c>
      <c r="AI311" s="212" t="s">
        <v>449</v>
      </c>
      <c r="AJ311" s="212" t="s">
        <v>282</v>
      </c>
      <c r="AK311" s="212" t="s">
        <v>531</v>
      </c>
      <c r="AL311" s="212" t="s">
        <v>380</v>
      </c>
      <c r="AM311" s="214" t="b">
        <v>1</v>
      </c>
      <c r="AN311" s="214" t="b">
        <v>0</v>
      </c>
      <c r="AO311" s="212" t="s">
        <v>283</v>
      </c>
      <c r="AP311" s="212" t="s">
        <v>284</v>
      </c>
      <c r="AQ311" s="214">
        <v>114.22852</v>
      </c>
      <c r="AR311" s="214" t="b">
        <v>0</v>
      </c>
      <c r="AS311" s="212" t="s">
        <v>534</v>
      </c>
      <c r="AU311" s="222" t="s">
        <v>819</v>
      </c>
    </row>
    <row r="312" spans="1:47" s="218" customFormat="1" x14ac:dyDescent="0.25">
      <c r="A312" s="245">
        <f t="shared" si="39"/>
        <v>312</v>
      </c>
      <c r="B312" s="246" t="str">
        <f t="shared" si="32"/>
        <v>Oil Field - Tank</v>
      </c>
      <c r="C312" s="246" t="str">
        <f ca="1">IF(B312="","",VLOOKUP(D312,'Species Data'!B:E,4,FALSE))</f>
        <v>N_pentane</v>
      </c>
      <c r="D312" s="246">
        <f t="shared" ca="1" si="33"/>
        <v>605</v>
      </c>
      <c r="E312" s="246">
        <f t="shared" ca="1" si="34"/>
        <v>5.6848000000000001</v>
      </c>
      <c r="F312" s="246" t="str">
        <f t="shared" ca="1" si="35"/>
        <v>N-pentane</v>
      </c>
      <c r="G312" s="246">
        <f t="shared" ca="1" si="36"/>
        <v>72.148780000000002</v>
      </c>
      <c r="H312" s="204">
        <f ca="1">IF(G312="","",IF(VLOOKUP(Tank!F312,'Species Data'!D:F,3,FALSE)=0,"X",IF(G312&lt;44.1,2,1)))</f>
        <v>1</v>
      </c>
      <c r="I312" s="204">
        <f t="shared" ca="1" si="37"/>
        <v>3.2465311666992012</v>
      </c>
      <c r="J312" s="247">
        <f ca="1">IF(I312="","",IF(COUNTIF($D$12:D312,D312)=1,IF(H312=1,I312*H312,IF(H312="X","X",0)),0))</f>
        <v>0</v>
      </c>
      <c r="K312" s="248">
        <f t="shared" ca="1" si="38"/>
        <v>0</v>
      </c>
      <c r="L312" s="212" t="s">
        <v>679</v>
      </c>
      <c r="M312" s="212" t="s">
        <v>448</v>
      </c>
      <c r="N312" s="212" t="s">
        <v>470</v>
      </c>
      <c r="O312" s="213">
        <v>41419</v>
      </c>
      <c r="P312" s="212" t="s">
        <v>681</v>
      </c>
      <c r="Q312" s="214">
        <v>100</v>
      </c>
      <c r="R312" s="212" t="s">
        <v>445</v>
      </c>
      <c r="S312" s="212" t="s">
        <v>532</v>
      </c>
      <c r="T312" s="212" t="s">
        <v>445</v>
      </c>
      <c r="U312" s="212" t="s">
        <v>446</v>
      </c>
      <c r="V312" s="214" t="b">
        <v>1</v>
      </c>
      <c r="W312" s="214">
        <v>1989</v>
      </c>
      <c r="X312" s="214">
        <v>5</v>
      </c>
      <c r="Y312" s="214">
        <v>2</v>
      </c>
      <c r="Z312" s="214">
        <v>4</v>
      </c>
      <c r="AA312" s="212" t="s">
        <v>447</v>
      </c>
      <c r="AB312" s="212" t="s">
        <v>531</v>
      </c>
      <c r="AC312" s="212" t="s">
        <v>533</v>
      </c>
      <c r="AD312" s="214">
        <v>1.5049110000000001</v>
      </c>
      <c r="AE312" s="214">
        <v>605</v>
      </c>
      <c r="AF312" s="214">
        <v>5.6848000000000001</v>
      </c>
      <c r="AG312" s="214">
        <v>-99</v>
      </c>
      <c r="AH312" s="212" t="s">
        <v>224</v>
      </c>
      <c r="AI312" s="212" t="s">
        <v>449</v>
      </c>
      <c r="AJ312" s="212" t="s">
        <v>285</v>
      </c>
      <c r="AK312" s="212" t="s">
        <v>531</v>
      </c>
      <c r="AL312" s="212" t="s">
        <v>381</v>
      </c>
      <c r="AM312" s="214" t="b">
        <v>1</v>
      </c>
      <c r="AN312" s="214" t="b">
        <v>0</v>
      </c>
      <c r="AO312" s="212" t="s">
        <v>286</v>
      </c>
      <c r="AP312" s="212" t="s">
        <v>287</v>
      </c>
      <c r="AQ312" s="214">
        <v>72.148780000000002</v>
      </c>
      <c r="AR312" s="214" t="b">
        <v>0</v>
      </c>
      <c r="AS312" s="212" t="s">
        <v>534</v>
      </c>
      <c r="AU312" s="222" t="s">
        <v>819</v>
      </c>
    </row>
    <row r="313" spans="1:47" s="218" customFormat="1" x14ac:dyDescent="0.25">
      <c r="A313" s="245">
        <f t="shared" si="39"/>
        <v>313</v>
      </c>
      <c r="B313" s="246" t="str">
        <f t="shared" si="32"/>
        <v>Oil Field - Tank</v>
      </c>
      <c r="C313" s="246" t="str">
        <f ca="1">IF(B313="","",VLOOKUP(D313,'Species Data'!B:E,4,FALSE))</f>
        <v>N_proben</v>
      </c>
      <c r="D313" s="246">
        <f t="shared" ca="1" si="33"/>
        <v>608</v>
      </c>
      <c r="E313" s="246">
        <f t="shared" ca="1" si="34"/>
        <v>9.4000000000000004E-3</v>
      </c>
      <c r="F313" s="246" t="str">
        <f t="shared" ca="1" si="35"/>
        <v>N-propylbenzene</v>
      </c>
      <c r="G313" s="246">
        <f t="shared" ca="1" si="36"/>
        <v>120.19158</v>
      </c>
      <c r="H313" s="204">
        <f ca="1">IF(G313="","",IF(VLOOKUP(Tank!F313,'Species Data'!D:F,3,FALSE)=0,"X",IF(G313&lt;44.1,2,1)))</f>
        <v>1</v>
      </c>
      <c r="I313" s="204">
        <f t="shared" ca="1" si="37"/>
        <v>2.0193527191194376E-2</v>
      </c>
      <c r="J313" s="247">
        <f ca="1">IF(I313="","",IF(COUNTIF($D$12:D313,D313)=1,IF(H313=1,I313*H313,IF(H313="X","X",0)),0))</f>
        <v>0</v>
      </c>
      <c r="K313" s="248">
        <f t="shared" ca="1" si="38"/>
        <v>0</v>
      </c>
      <c r="L313" s="212" t="s">
        <v>679</v>
      </c>
      <c r="M313" s="212" t="s">
        <v>448</v>
      </c>
      <c r="N313" s="212" t="s">
        <v>470</v>
      </c>
      <c r="O313" s="213">
        <v>41419</v>
      </c>
      <c r="P313" s="212" t="s">
        <v>681</v>
      </c>
      <c r="Q313" s="214">
        <v>100</v>
      </c>
      <c r="R313" s="212" t="s">
        <v>445</v>
      </c>
      <c r="S313" s="212" t="s">
        <v>532</v>
      </c>
      <c r="T313" s="212" t="s">
        <v>445</v>
      </c>
      <c r="U313" s="212" t="s">
        <v>446</v>
      </c>
      <c r="V313" s="214" t="b">
        <v>1</v>
      </c>
      <c r="W313" s="214">
        <v>1989</v>
      </c>
      <c r="X313" s="214">
        <v>5</v>
      </c>
      <c r="Y313" s="214">
        <v>2</v>
      </c>
      <c r="Z313" s="214">
        <v>4</v>
      </c>
      <c r="AA313" s="212" t="s">
        <v>447</v>
      </c>
      <c r="AB313" s="212" t="s">
        <v>531</v>
      </c>
      <c r="AC313" s="212" t="s">
        <v>533</v>
      </c>
      <c r="AD313" s="214">
        <v>1.5049110000000001</v>
      </c>
      <c r="AE313" s="214">
        <v>608</v>
      </c>
      <c r="AF313" s="214">
        <v>9.4000000000000004E-3</v>
      </c>
      <c r="AG313" s="214">
        <v>-99</v>
      </c>
      <c r="AH313" s="212" t="s">
        <v>224</v>
      </c>
      <c r="AI313" s="212" t="s">
        <v>449</v>
      </c>
      <c r="AJ313" s="212" t="s">
        <v>420</v>
      </c>
      <c r="AK313" s="212" t="s">
        <v>531</v>
      </c>
      <c r="AL313" s="212" t="s">
        <v>454</v>
      </c>
      <c r="AM313" s="214" t="b">
        <v>1</v>
      </c>
      <c r="AN313" s="214" t="b">
        <v>0</v>
      </c>
      <c r="AO313" s="212" t="s">
        <v>421</v>
      </c>
      <c r="AP313" s="212" t="s">
        <v>422</v>
      </c>
      <c r="AQ313" s="214">
        <v>120.19158</v>
      </c>
      <c r="AR313" s="214" t="b">
        <v>0</v>
      </c>
      <c r="AS313" s="212" t="s">
        <v>534</v>
      </c>
      <c r="AU313" s="222" t="s">
        <v>819</v>
      </c>
    </row>
    <row r="314" spans="1:47" s="218" customFormat="1" x14ac:dyDescent="0.25">
      <c r="A314" s="245">
        <f t="shared" si="39"/>
        <v>314</v>
      </c>
      <c r="B314" s="246" t="str">
        <f t="shared" si="32"/>
        <v>Oil Field - Tank</v>
      </c>
      <c r="C314" s="246" t="str">
        <f ca="1">IF(B314="","",VLOOKUP(D314,'Species Data'!B:E,4,FALSE))</f>
        <v>O_xylene</v>
      </c>
      <c r="D314" s="246">
        <f t="shared" ca="1" si="33"/>
        <v>620</v>
      </c>
      <c r="E314" s="246">
        <f t="shared" ca="1" si="34"/>
        <v>2.8000000000000001E-2</v>
      </c>
      <c r="F314" s="246" t="str">
        <f t="shared" ca="1" si="35"/>
        <v>O-xylene</v>
      </c>
      <c r="G314" s="246">
        <f t="shared" ca="1" si="36"/>
        <v>106.16500000000001</v>
      </c>
      <c r="H314" s="204">
        <f ca="1">IF(G314="","",IF(VLOOKUP(Tank!F314,'Species Data'!D:F,3,FALSE)=0,"X",IF(G314&lt;44.1,2,1)))</f>
        <v>1</v>
      </c>
      <c r="I314" s="204">
        <f t="shared" ca="1" si="37"/>
        <v>5.0080480772615434E-2</v>
      </c>
      <c r="J314" s="247">
        <f ca="1">IF(I314="","",IF(COUNTIF($D$12:D314,D314)=1,IF(H314=1,I314*H314,IF(H314="X","X",0)),0))</f>
        <v>0</v>
      </c>
      <c r="K314" s="248">
        <f t="shared" ca="1" si="38"/>
        <v>0</v>
      </c>
      <c r="L314" s="212" t="s">
        <v>679</v>
      </c>
      <c r="M314" s="212" t="s">
        <v>448</v>
      </c>
      <c r="N314" s="212" t="s">
        <v>470</v>
      </c>
      <c r="O314" s="213">
        <v>41419</v>
      </c>
      <c r="P314" s="212" t="s">
        <v>681</v>
      </c>
      <c r="Q314" s="214">
        <v>100</v>
      </c>
      <c r="R314" s="212" t="s">
        <v>445</v>
      </c>
      <c r="S314" s="212" t="s">
        <v>532</v>
      </c>
      <c r="T314" s="212" t="s">
        <v>445</v>
      </c>
      <c r="U314" s="212" t="s">
        <v>446</v>
      </c>
      <c r="V314" s="214" t="b">
        <v>1</v>
      </c>
      <c r="W314" s="214">
        <v>1989</v>
      </c>
      <c r="X314" s="214">
        <v>5</v>
      </c>
      <c r="Y314" s="214">
        <v>2</v>
      </c>
      <c r="Z314" s="214">
        <v>4</v>
      </c>
      <c r="AA314" s="212" t="s">
        <v>447</v>
      </c>
      <c r="AB314" s="212" t="s">
        <v>531</v>
      </c>
      <c r="AC314" s="212" t="s">
        <v>533</v>
      </c>
      <c r="AD314" s="214">
        <v>1.5049110000000001</v>
      </c>
      <c r="AE314" s="214">
        <v>620</v>
      </c>
      <c r="AF314" s="214">
        <v>2.8000000000000001E-2</v>
      </c>
      <c r="AG314" s="214">
        <v>-99</v>
      </c>
      <c r="AH314" s="212" t="s">
        <v>224</v>
      </c>
      <c r="AI314" s="212" t="s">
        <v>449</v>
      </c>
      <c r="AJ314" s="212" t="s">
        <v>354</v>
      </c>
      <c r="AK314" s="212" t="s">
        <v>531</v>
      </c>
      <c r="AL314" s="212" t="s">
        <v>398</v>
      </c>
      <c r="AM314" s="214" t="b">
        <v>1</v>
      </c>
      <c r="AN314" s="214" t="b">
        <v>1</v>
      </c>
      <c r="AO314" s="212" t="s">
        <v>355</v>
      </c>
      <c r="AP314" s="212" t="s">
        <v>356</v>
      </c>
      <c r="AQ314" s="214">
        <v>106.16500000000001</v>
      </c>
      <c r="AR314" s="214" t="b">
        <v>0</v>
      </c>
      <c r="AS314" s="212" t="s">
        <v>534</v>
      </c>
      <c r="AU314" s="222" t="s">
        <v>819</v>
      </c>
    </row>
    <row r="315" spans="1:47" s="218" customFormat="1" x14ac:dyDescent="0.25">
      <c r="A315" s="245">
        <f t="shared" si="39"/>
        <v>315</v>
      </c>
      <c r="B315" s="246" t="str">
        <f t="shared" si="32"/>
        <v>Oil Field - Tank</v>
      </c>
      <c r="C315" s="246" t="str">
        <f ca="1">IF(B315="","",VLOOKUP(D315,'Species Data'!B:E,4,FALSE))</f>
        <v>propane</v>
      </c>
      <c r="D315" s="246">
        <f t="shared" ca="1" si="33"/>
        <v>671</v>
      </c>
      <c r="E315" s="246">
        <f t="shared" ca="1" si="34"/>
        <v>16.761099999999999</v>
      </c>
      <c r="F315" s="246" t="str">
        <f t="shared" ca="1" si="35"/>
        <v>Propane</v>
      </c>
      <c r="G315" s="246">
        <f t="shared" ca="1" si="36"/>
        <v>44.095619999999997</v>
      </c>
      <c r="H315" s="204">
        <f ca="1">IF(G315="","",IF(VLOOKUP(Tank!F315,'Species Data'!D:F,3,FALSE)=0,"X",IF(G315&lt;44.1,2,1)))</f>
        <v>2</v>
      </c>
      <c r="I315" s="204">
        <f t="shared" ca="1" si="37"/>
        <v>10.138737331878389</v>
      </c>
      <c r="J315" s="247">
        <f ca="1">IF(I315="","",IF(COUNTIF($D$12:D315,D315)=1,IF(H315=1,I315*H315,IF(H315="X","X",0)),0))</f>
        <v>0</v>
      </c>
      <c r="K315" s="248">
        <f t="shared" ca="1" si="38"/>
        <v>0</v>
      </c>
      <c r="L315" s="212" t="s">
        <v>679</v>
      </c>
      <c r="M315" s="212" t="s">
        <v>448</v>
      </c>
      <c r="N315" s="212" t="s">
        <v>470</v>
      </c>
      <c r="O315" s="213">
        <v>41419</v>
      </c>
      <c r="P315" s="212" t="s">
        <v>681</v>
      </c>
      <c r="Q315" s="214">
        <v>100</v>
      </c>
      <c r="R315" s="212" t="s">
        <v>445</v>
      </c>
      <c r="S315" s="212" t="s">
        <v>532</v>
      </c>
      <c r="T315" s="212" t="s">
        <v>445</v>
      </c>
      <c r="U315" s="212" t="s">
        <v>446</v>
      </c>
      <c r="V315" s="214" t="b">
        <v>1</v>
      </c>
      <c r="W315" s="214">
        <v>1989</v>
      </c>
      <c r="X315" s="214">
        <v>5</v>
      </c>
      <c r="Y315" s="214">
        <v>2</v>
      </c>
      <c r="Z315" s="214">
        <v>4</v>
      </c>
      <c r="AA315" s="212" t="s">
        <v>447</v>
      </c>
      <c r="AB315" s="212" t="s">
        <v>531</v>
      </c>
      <c r="AC315" s="212" t="s">
        <v>533</v>
      </c>
      <c r="AD315" s="214">
        <v>1.5049110000000001</v>
      </c>
      <c r="AE315" s="214">
        <v>671</v>
      </c>
      <c r="AF315" s="214">
        <v>16.761099999999999</v>
      </c>
      <c r="AG315" s="214">
        <v>-99</v>
      </c>
      <c r="AH315" s="212" t="s">
        <v>224</v>
      </c>
      <c r="AI315" s="212" t="s">
        <v>449</v>
      </c>
      <c r="AJ315" s="212" t="s">
        <v>288</v>
      </c>
      <c r="AK315" s="212" t="s">
        <v>531</v>
      </c>
      <c r="AL315" s="212" t="s">
        <v>382</v>
      </c>
      <c r="AM315" s="214" t="b">
        <v>1</v>
      </c>
      <c r="AN315" s="214" t="b">
        <v>0</v>
      </c>
      <c r="AO315" s="212" t="s">
        <v>289</v>
      </c>
      <c r="AP315" s="212" t="s">
        <v>290</v>
      </c>
      <c r="AQ315" s="214">
        <v>44.095619999999997</v>
      </c>
      <c r="AR315" s="214" t="b">
        <v>0</v>
      </c>
      <c r="AS315" s="212" t="s">
        <v>534</v>
      </c>
      <c r="AU315" s="222" t="s">
        <v>819</v>
      </c>
    </row>
    <row r="316" spans="1:47" s="218" customFormat="1" x14ac:dyDescent="0.25">
      <c r="A316" s="245">
        <f t="shared" si="39"/>
        <v>316</v>
      </c>
      <c r="B316" s="246" t="str">
        <f t="shared" si="32"/>
        <v>Oil Field - Tank</v>
      </c>
      <c r="C316" s="246" t="str">
        <f ca="1">IF(B316="","",VLOOKUP(D316,'Species Data'!B:E,4,FALSE))</f>
        <v>toluene</v>
      </c>
      <c r="D316" s="246">
        <f t="shared" ca="1" si="33"/>
        <v>717</v>
      </c>
      <c r="E316" s="246">
        <f t="shared" ca="1" si="34"/>
        <v>0.33129999999999998</v>
      </c>
      <c r="F316" s="246" t="str">
        <f t="shared" ca="1" si="35"/>
        <v>Toluene</v>
      </c>
      <c r="G316" s="246">
        <f t="shared" ca="1" si="36"/>
        <v>92.138419999999996</v>
      </c>
      <c r="H316" s="204">
        <f ca="1">IF(G316="","",IF(VLOOKUP(Tank!F316,'Species Data'!D:F,3,FALSE)=0,"X",IF(G316&lt;44.1,2,1)))</f>
        <v>1</v>
      </c>
      <c r="I316" s="204">
        <f t="shared" ca="1" si="37"/>
        <v>0.21631540996126902</v>
      </c>
      <c r="J316" s="247">
        <f ca="1">IF(I316="","",IF(COUNTIF($D$12:D316,D316)=1,IF(H316=1,I316*H316,IF(H316="X","X",0)),0))</f>
        <v>0</v>
      </c>
      <c r="K316" s="248">
        <f t="shared" ca="1" si="38"/>
        <v>0</v>
      </c>
      <c r="L316" s="212" t="s">
        <v>679</v>
      </c>
      <c r="M316" s="212" t="s">
        <v>448</v>
      </c>
      <c r="N316" s="212" t="s">
        <v>470</v>
      </c>
      <c r="O316" s="213">
        <v>41419</v>
      </c>
      <c r="P316" s="212" t="s">
        <v>681</v>
      </c>
      <c r="Q316" s="214">
        <v>100</v>
      </c>
      <c r="R316" s="212" t="s">
        <v>445</v>
      </c>
      <c r="S316" s="212" t="s">
        <v>532</v>
      </c>
      <c r="T316" s="212" t="s">
        <v>445</v>
      </c>
      <c r="U316" s="212" t="s">
        <v>446</v>
      </c>
      <c r="V316" s="214" t="b">
        <v>1</v>
      </c>
      <c r="W316" s="214">
        <v>1989</v>
      </c>
      <c r="X316" s="214">
        <v>5</v>
      </c>
      <c r="Y316" s="214">
        <v>2</v>
      </c>
      <c r="Z316" s="214">
        <v>4</v>
      </c>
      <c r="AA316" s="212" t="s">
        <v>447</v>
      </c>
      <c r="AB316" s="212" t="s">
        <v>531</v>
      </c>
      <c r="AC316" s="212" t="s">
        <v>533</v>
      </c>
      <c r="AD316" s="214">
        <v>1.5049110000000001</v>
      </c>
      <c r="AE316" s="214">
        <v>717</v>
      </c>
      <c r="AF316" s="214">
        <v>0.33129999999999998</v>
      </c>
      <c r="AG316" s="214">
        <v>-99</v>
      </c>
      <c r="AH316" s="212" t="s">
        <v>224</v>
      </c>
      <c r="AI316" s="212" t="s">
        <v>449</v>
      </c>
      <c r="AJ316" s="212" t="s">
        <v>294</v>
      </c>
      <c r="AK316" s="212" t="s">
        <v>531</v>
      </c>
      <c r="AL316" s="212" t="s">
        <v>383</v>
      </c>
      <c r="AM316" s="214" t="b">
        <v>1</v>
      </c>
      <c r="AN316" s="214" t="b">
        <v>1</v>
      </c>
      <c r="AO316" s="212" t="s">
        <v>295</v>
      </c>
      <c r="AP316" s="212" t="s">
        <v>296</v>
      </c>
      <c r="AQ316" s="214">
        <v>92.138419999999996</v>
      </c>
      <c r="AR316" s="214" t="b">
        <v>0</v>
      </c>
      <c r="AS316" s="212" t="s">
        <v>534</v>
      </c>
      <c r="AU316" s="222" t="s">
        <v>819</v>
      </c>
    </row>
    <row r="317" spans="1:47" s="218" customFormat="1" x14ac:dyDescent="0.25">
      <c r="A317" s="245">
        <f t="shared" si="39"/>
        <v>317</v>
      </c>
      <c r="B317" s="246" t="str">
        <f t="shared" si="32"/>
        <v>Oil Field - Tank</v>
      </c>
      <c r="C317" s="246" t="str">
        <f ca="1">IF(B317="","",VLOOKUP(D317,'Species Data'!B:E,4,FALSE))</f>
        <v>c10_comp</v>
      </c>
      <c r="D317" s="246">
        <f t="shared" ca="1" si="33"/>
        <v>1924</v>
      </c>
      <c r="E317" s="246">
        <f t="shared" ca="1" si="34"/>
        <v>3.3099999999999997E-2</v>
      </c>
      <c r="F317" s="246" t="str">
        <f t="shared" ca="1" si="35"/>
        <v>C-10 Compounds</v>
      </c>
      <c r="G317" s="246">
        <f t="shared" ca="1" si="36"/>
        <v>142.28167999999999</v>
      </c>
      <c r="H317" s="204" t="str">
        <f ca="1">IF(G317="","",IF(VLOOKUP(Tank!F317,'Species Data'!D:F,3,FALSE)=0,"X",IF(G317&lt;44.1,2,1)))</f>
        <v>X</v>
      </c>
      <c r="I317" s="204">
        <f t="shared" ca="1" si="37"/>
        <v>0.15904819352932459</v>
      </c>
      <c r="J317" s="247">
        <f ca="1">IF(I317="","",IF(COUNTIF($D$12:D317,D317)=1,IF(H317=1,I317*H317,IF(H317="X","X",0)),0))</f>
        <v>0</v>
      </c>
      <c r="K317" s="248">
        <f t="shared" ca="1" si="38"/>
        <v>0</v>
      </c>
      <c r="L317" s="212" t="s">
        <v>679</v>
      </c>
      <c r="M317" s="212" t="s">
        <v>448</v>
      </c>
      <c r="N317" s="212" t="s">
        <v>470</v>
      </c>
      <c r="O317" s="213">
        <v>41419</v>
      </c>
      <c r="P317" s="212" t="s">
        <v>681</v>
      </c>
      <c r="Q317" s="214">
        <v>100</v>
      </c>
      <c r="R317" s="212" t="s">
        <v>445</v>
      </c>
      <c r="S317" s="212" t="s">
        <v>532</v>
      </c>
      <c r="T317" s="212" t="s">
        <v>445</v>
      </c>
      <c r="U317" s="212" t="s">
        <v>446</v>
      </c>
      <c r="V317" s="214" t="b">
        <v>1</v>
      </c>
      <c r="W317" s="214">
        <v>1989</v>
      </c>
      <c r="X317" s="214">
        <v>5</v>
      </c>
      <c r="Y317" s="214">
        <v>2</v>
      </c>
      <c r="Z317" s="214">
        <v>4</v>
      </c>
      <c r="AA317" s="212" t="s">
        <v>447</v>
      </c>
      <c r="AB317" s="212" t="s">
        <v>531</v>
      </c>
      <c r="AC317" s="212" t="s">
        <v>533</v>
      </c>
      <c r="AD317" s="214">
        <v>1.5049110000000001</v>
      </c>
      <c r="AE317" s="214">
        <v>1924</v>
      </c>
      <c r="AF317" s="214">
        <v>3.3099999999999997E-2</v>
      </c>
      <c r="AG317" s="214">
        <v>-99</v>
      </c>
      <c r="AH317" s="212" t="s">
        <v>224</v>
      </c>
      <c r="AI317" s="212" t="s">
        <v>449</v>
      </c>
      <c r="AJ317" s="212" t="s">
        <v>224</v>
      </c>
      <c r="AK317" s="212" t="s">
        <v>531</v>
      </c>
      <c r="AL317" s="212" t="s">
        <v>466</v>
      </c>
      <c r="AM317" s="214" t="b">
        <v>0</v>
      </c>
      <c r="AN317" s="214" t="b">
        <v>0</v>
      </c>
      <c r="AO317" s="212" t="s">
        <v>535</v>
      </c>
      <c r="AP317" s="212" t="s">
        <v>536</v>
      </c>
      <c r="AQ317" s="214">
        <v>142.28167999999999</v>
      </c>
      <c r="AR317" s="214" t="b">
        <v>0</v>
      </c>
      <c r="AS317" s="212" t="s">
        <v>534</v>
      </c>
      <c r="AU317" s="222" t="s">
        <v>819</v>
      </c>
    </row>
    <row r="318" spans="1:47" s="218" customFormat="1" x14ac:dyDescent="0.25">
      <c r="A318" s="245">
        <f t="shared" si="39"/>
        <v>318</v>
      </c>
      <c r="B318" s="246" t="str">
        <f t="shared" si="32"/>
        <v>Oil Field - Tank</v>
      </c>
      <c r="C318" s="246" t="str">
        <f ca="1">IF(B318="","",VLOOKUP(D318,'Species Data'!B:E,4,FALSE))</f>
        <v>c5_comp</v>
      </c>
      <c r="D318" s="246">
        <f t="shared" ca="1" si="33"/>
        <v>1986</v>
      </c>
      <c r="E318" s="246">
        <f t="shared" ca="1" si="34"/>
        <v>1.6789000000000001</v>
      </c>
      <c r="F318" s="246" t="str">
        <f t="shared" ca="1" si="35"/>
        <v>C-5 Compounds</v>
      </c>
      <c r="G318" s="246">
        <f t="shared" ca="1" si="36"/>
        <v>72.148780000000002</v>
      </c>
      <c r="H318" s="204" t="str">
        <f ca="1">IF(G318="","",IF(VLOOKUP(Tank!F318,'Species Data'!D:F,3,FALSE)=0,"X",IF(G318&lt;44.1,2,1)))</f>
        <v>X</v>
      </c>
      <c r="I318" s="204">
        <f t="shared" ca="1" si="37"/>
        <v>2.1162936497523712</v>
      </c>
      <c r="J318" s="247">
        <f ca="1">IF(I318="","",IF(COUNTIF($D$12:D318,D318)=1,IF(H318=1,I318*H318,IF(H318="X","X",0)),0))</f>
        <v>0</v>
      </c>
      <c r="K318" s="248">
        <f t="shared" ca="1" si="38"/>
        <v>0</v>
      </c>
      <c r="L318" s="212" t="s">
        <v>679</v>
      </c>
      <c r="M318" s="212" t="s">
        <v>448</v>
      </c>
      <c r="N318" s="212" t="s">
        <v>470</v>
      </c>
      <c r="O318" s="213">
        <v>41419</v>
      </c>
      <c r="P318" s="212" t="s">
        <v>681</v>
      </c>
      <c r="Q318" s="214">
        <v>100</v>
      </c>
      <c r="R318" s="212" t="s">
        <v>445</v>
      </c>
      <c r="S318" s="212" t="s">
        <v>532</v>
      </c>
      <c r="T318" s="212" t="s">
        <v>445</v>
      </c>
      <c r="U318" s="212" t="s">
        <v>446</v>
      </c>
      <c r="V318" s="214" t="b">
        <v>1</v>
      </c>
      <c r="W318" s="214">
        <v>1989</v>
      </c>
      <c r="X318" s="214">
        <v>5</v>
      </c>
      <c r="Y318" s="214">
        <v>2</v>
      </c>
      <c r="Z318" s="214">
        <v>4</v>
      </c>
      <c r="AA318" s="212" t="s">
        <v>447</v>
      </c>
      <c r="AB318" s="212" t="s">
        <v>531</v>
      </c>
      <c r="AC318" s="212" t="s">
        <v>533</v>
      </c>
      <c r="AD318" s="214">
        <v>1.5049110000000001</v>
      </c>
      <c r="AE318" s="214">
        <v>1986</v>
      </c>
      <c r="AF318" s="214">
        <v>1.6789000000000001</v>
      </c>
      <c r="AG318" s="214">
        <v>-99</v>
      </c>
      <c r="AH318" s="212" t="s">
        <v>224</v>
      </c>
      <c r="AI318" s="212" t="s">
        <v>449</v>
      </c>
      <c r="AJ318" s="212" t="s">
        <v>224</v>
      </c>
      <c r="AK318" s="212" t="s">
        <v>531</v>
      </c>
      <c r="AL318" s="212" t="s">
        <v>537</v>
      </c>
      <c r="AM318" s="214" t="b">
        <v>0</v>
      </c>
      <c r="AN318" s="214" t="b">
        <v>0</v>
      </c>
      <c r="AO318" s="212" t="s">
        <v>538</v>
      </c>
      <c r="AP318" s="212" t="s">
        <v>539</v>
      </c>
      <c r="AQ318" s="214">
        <v>72.148780000000002</v>
      </c>
      <c r="AR318" s="214" t="b">
        <v>0</v>
      </c>
      <c r="AS318" s="212" t="s">
        <v>534</v>
      </c>
      <c r="AU318" s="222" t="s">
        <v>819</v>
      </c>
    </row>
    <row r="319" spans="1:47" s="218" customFormat="1" x14ac:dyDescent="0.25">
      <c r="A319" s="245">
        <f t="shared" si="39"/>
        <v>319</v>
      </c>
      <c r="B319" s="246" t="str">
        <f t="shared" si="32"/>
        <v>Oil Field - Tank</v>
      </c>
      <c r="C319" s="246" t="str">
        <f ca="1">IF(B319="","",VLOOKUP(D319,'Species Data'!B:E,4,FALSE))</f>
        <v>c6_comp</v>
      </c>
      <c r="D319" s="246">
        <f t="shared" ca="1" si="33"/>
        <v>1999</v>
      </c>
      <c r="E319" s="246">
        <f t="shared" ca="1" si="34"/>
        <v>4.2202000000000002</v>
      </c>
      <c r="F319" s="246" t="str">
        <f t="shared" ca="1" si="35"/>
        <v>C-6 Compounds</v>
      </c>
      <c r="G319" s="246">
        <f t="shared" ca="1" si="36"/>
        <v>86.175359999999998</v>
      </c>
      <c r="H319" s="204" t="str">
        <f ca="1">IF(G319="","",IF(VLOOKUP(Tank!F319,'Species Data'!D:F,3,FALSE)=0,"X",IF(G319&lt;44.1,2,1)))</f>
        <v>X</v>
      </c>
      <c r="I319" s="204">
        <f t="shared" ca="1" si="37"/>
        <v>3.9709781213899662</v>
      </c>
      <c r="J319" s="247">
        <f ca="1">IF(I319="","",IF(COUNTIF($D$12:D319,D319)=1,IF(H319=1,I319*H319,IF(H319="X","X",0)),0))</f>
        <v>0</v>
      </c>
      <c r="K319" s="248">
        <f t="shared" ca="1" si="38"/>
        <v>0</v>
      </c>
      <c r="L319" s="212" t="s">
        <v>679</v>
      </c>
      <c r="M319" s="212" t="s">
        <v>448</v>
      </c>
      <c r="N319" s="212" t="s">
        <v>470</v>
      </c>
      <c r="O319" s="213">
        <v>41419</v>
      </c>
      <c r="P319" s="212" t="s">
        <v>681</v>
      </c>
      <c r="Q319" s="214">
        <v>100</v>
      </c>
      <c r="R319" s="212" t="s">
        <v>445</v>
      </c>
      <c r="S319" s="212" t="s">
        <v>532</v>
      </c>
      <c r="T319" s="212" t="s">
        <v>445</v>
      </c>
      <c r="U319" s="212" t="s">
        <v>446</v>
      </c>
      <c r="V319" s="214" t="b">
        <v>1</v>
      </c>
      <c r="W319" s="214">
        <v>1989</v>
      </c>
      <c r="X319" s="214">
        <v>5</v>
      </c>
      <c r="Y319" s="214">
        <v>2</v>
      </c>
      <c r="Z319" s="214">
        <v>4</v>
      </c>
      <c r="AA319" s="212" t="s">
        <v>447</v>
      </c>
      <c r="AB319" s="212" t="s">
        <v>531</v>
      </c>
      <c r="AC319" s="212" t="s">
        <v>533</v>
      </c>
      <c r="AD319" s="214">
        <v>1.5049110000000001</v>
      </c>
      <c r="AE319" s="214">
        <v>1999</v>
      </c>
      <c r="AF319" s="214">
        <v>4.2202000000000002</v>
      </c>
      <c r="AG319" s="214">
        <v>-99</v>
      </c>
      <c r="AH319" s="212" t="s">
        <v>224</v>
      </c>
      <c r="AI319" s="212" t="s">
        <v>449</v>
      </c>
      <c r="AJ319" s="212" t="s">
        <v>224</v>
      </c>
      <c r="AK319" s="212" t="s">
        <v>531</v>
      </c>
      <c r="AL319" s="212" t="s">
        <v>540</v>
      </c>
      <c r="AM319" s="214" t="b">
        <v>0</v>
      </c>
      <c r="AN319" s="214" t="b">
        <v>0</v>
      </c>
      <c r="AO319" s="212" t="s">
        <v>541</v>
      </c>
      <c r="AP319" s="212" t="s">
        <v>542</v>
      </c>
      <c r="AQ319" s="214">
        <v>86.175359999999998</v>
      </c>
      <c r="AR319" s="214" t="b">
        <v>0</v>
      </c>
      <c r="AS319" s="212" t="s">
        <v>534</v>
      </c>
      <c r="AU319" s="222" t="s">
        <v>819</v>
      </c>
    </row>
    <row r="320" spans="1:47" s="218" customFormat="1" x14ac:dyDescent="0.25">
      <c r="A320" s="245">
        <f t="shared" si="39"/>
        <v>320</v>
      </c>
      <c r="B320" s="246" t="str">
        <f t="shared" si="32"/>
        <v>Oil Field - Tank</v>
      </c>
      <c r="C320" s="246" t="str">
        <f ca="1">IF(B320="","",VLOOKUP(D320,'Species Data'!B:E,4,FALSE))</f>
        <v>c7_comp</v>
      </c>
      <c r="D320" s="246">
        <f t="shared" ca="1" si="33"/>
        <v>2005</v>
      </c>
      <c r="E320" s="246">
        <f t="shared" ca="1" si="34"/>
        <v>3.0840000000000001</v>
      </c>
      <c r="F320" s="246" t="str">
        <f t="shared" ca="1" si="35"/>
        <v>C-7 Compounds</v>
      </c>
      <c r="G320" s="246">
        <f t="shared" ca="1" si="36"/>
        <v>100.20194000000001</v>
      </c>
      <c r="H320" s="204" t="str">
        <f ca="1">IF(G320="","",IF(VLOOKUP(Tank!F320,'Species Data'!D:F,3,FALSE)=0,"X",IF(G320&lt;44.1,2,1)))</f>
        <v>X</v>
      </c>
      <c r="I320" s="204">
        <f t="shared" ca="1" si="37"/>
        <v>2.5253842436887401</v>
      </c>
      <c r="J320" s="247">
        <f ca="1">IF(I320="","",IF(COUNTIF($D$12:D320,D320)=1,IF(H320=1,I320*H320,IF(H320="X","X",0)),0))</f>
        <v>0</v>
      </c>
      <c r="K320" s="248">
        <f t="shared" ca="1" si="38"/>
        <v>0</v>
      </c>
      <c r="L320" s="212" t="s">
        <v>679</v>
      </c>
      <c r="M320" s="212" t="s">
        <v>448</v>
      </c>
      <c r="N320" s="212" t="s">
        <v>470</v>
      </c>
      <c r="O320" s="213">
        <v>41419</v>
      </c>
      <c r="P320" s="212" t="s">
        <v>681</v>
      </c>
      <c r="Q320" s="214">
        <v>100</v>
      </c>
      <c r="R320" s="212" t="s">
        <v>445</v>
      </c>
      <c r="S320" s="212" t="s">
        <v>532</v>
      </c>
      <c r="T320" s="212" t="s">
        <v>445</v>
      </c>
      <c r="U320" s="212" t="s">
        <v>446</v>
      </c>
      <c r="V320" s="214" t="b">
        <v>1</v>
      </c>
      <c r="W320" s="214">
        <v>1989</v>
      </c>
      <c r="X320" s="214">
        <v>5</v>
      </c>
      <c r="Y320" s="214">
        <v>2</v>
      </c>
      <c r="Z320" s="214">
        <v>4</v>
      </c>
      <c r="AA320" s="212" t="s">
        <v>447</v>
      </c>
      <c r="AB320" s="212" t="s">
        <v>531</v>
      </c>
      <c r="AC320" s="212" t="s">
        <v>533</v>
      </c>
      <c r="AD320" s="214">
        <v>1.5049110000000001</v>
      </c>
      <c r="AE320" s="214">
        <v>2005</v>
      </c>
      <c r="AF320" s="214">
        <v>3.0840000000000001</v>
      </c>
      <c r="AG320" s="214">
        <v>-99</v>
      </c>
      <c r="AH320" s="212" t="s">
        <v>224</v>
      </c>
      <c r="AI320" s="212" t="s">
        <v>449</v>
      </c>
      <c r="AJ320" s="212" t="s">
        <v>224</v>
      </c>
      <c r="AK320" s="212" t="s">
        <v>531</v>
      </c>
      <c r="AL320" s="212" t="s">
        <v>543</v>
      </c>
      <c r="AM320" s="214" t="b">
        <v>0</v>
      </c>
      <c r="AN320" s="214" t="b">
        <v>0</v>
      </c>
      <c r="AO320" s="212" t="s">
        <v>544</v>
      </c>
      <c r="AP320" s="212" t="s">
        <v>545</v>
      </c>
      <c r="AQ320" s="214">
        <v>100.20194000000001</v>
      </c>
      <c r="AR320" s="214" t="b">
        <v>0</v>
      </c>
      <c r="AS320" s="212" t="s">
        <v>534</v>
      </c>
      <c r="AU320" s="222" t="s">
        <v>819</v>
      </c>
    </row>
    <row r="321" spans="1:47" s="218" customFormat="1" x14ac:dyDescent="0.25">
      <c r="A321" s="245">
        <f t="shared" si="39"/>
        <v>321</v>
      </c>
      <c r="B321" s="246" t="str">
        <f t="shared" si="32"/>
        <v>Oil Field - Tank</v>
      </c>
      <c r="C321" s="246" t="str">
        <f ca="1">IF(B321="","",VLOOKUP(D321,'Species Data'!B:E,4,FALSE))</f>
        <v>c8_comp</v>
      </c>
      <c r="D321" s="246">
        <f t="shared" ca="1" si="33"/>
        <v>2011</v>
      </c>
      <c r="E321" s="246">
        <f t="shared" ca="1" si="34"/>
        <v>0.94410000000000005</v>
      </c>
      <c r="F321" s="246" t="str">
        <f t="shared" ca="1" si="35"/>
        <v>C-8 Compounds</v>
      </c>
      <c r="G321" s="246">
        <f t="shared" ca="1" si="36"/>
        <v>113.21160686946486</v>
      </c>
      <c r="H321" s="204" t="str">
        <f ca="1">IF(G321="","",IF(VLOOKUP(Tank!F321,'Species Data'!D:F,3,FALSE)=0,"X",IF(G321&lt;44.1,2,1)))</f>
        <v>X</v>
      </c>
      <c r="I321" s="204">
        <f t="shared" ca="1" si="37"/>
        <v>1.3164259710226556</v>
      </c>
      <c r="J321" s="247">
        <f ca="1">IF(I321="","",IF(COUNTIF($D$12:D321,D321)=1,IF(H321=1,I321*H321,IF(H321="X","X",0)),0))</f>
        <v>0</v>
      </c>
      <c r="K321" s="248">
        <f t="shared" ca="1" si="38"/>
        <v>0</v>
      </c>
      <c r="L321" s="212" t="s">
        <v>679</v>
      </c>
      <c r="M321" s="212" t="s">
        <v>448</v>
      </c>
      <c r="N321" s="212" t="s">
        <v>470</v>
      </c>
      <c r="O321" s="213">
        <v>41419</v>
      </c>
      <c r="P321" s="212" t="s">
        <v>681</v>
      </c>
      <c r="Q321" s="214">
        <v>100</v>
      </c>
      <c r="R321" s="212" t="s">
        <v>445</v>
      </c>
      <c r="S321" s="212" t="s">
        <v>532</v>
      </c>
      <c r="T321" s="212" t="s">
        <v>445</v>
      </c>
      <c r="U321" s="212" t="s">
        <v>446</v>
      </c>
      <c r="V321" s="214" t="b">
        <v>1</v>
      </c>
      <c r="W321" s="214">
        <v>1989</v>
      </c>
      <c r="X321" s="214">
        <v>5</v>
      </c>
      <c r="Y321" s="214">
        <v>2</v>
      </c>
      <c r="Z321" s="214">
        <v>4</v>
      </c>
      <c r="AA321" s="212" t="s">
        <v>447</v>
      </c>
      <c r="AB321" s="212" t="s">
        <v>531</v>
      </c>
      <c r="AC321" s="212" t="s">
        <v>533</v>
      </c>
      <c r="AD321" s="214">
        <v>1.5049110000000001</v>
      </c>
      <c r="AE321" s="214">
        <v>2011</v>
      </c>
      <c r="AF321" s="214">
        <v>0.94410000000000005</v>
      </c>
      <c r="AG321" s="214">
        <v>-99</v>
      </c>
      <c r="AH321" s="212" t="s">
        <v>224</v>
      </c>
      <c r="AI321" s="212" t="s">
        <v>449</v>
      </c>
      <c r="AJ321" s="212" t="s">
        <v>224</v>
      </c>
      <c r="AK321" s="212" t="s">
        <v>531</v>
      </c>
      <c r="AL321" s="212" t="s">
        <v>546</v>
      </c>
      <c r="AM321" s="214" t="b">
        <v>0</v>
      </c>
      <c r="AN321" s="214" t="b">
        <v>0</v>
      </c>
      <c r="AO321" s="212" t="s">
        <v>547</v>
      </c>
      <c r="AP321" s="212" t="s">
        <v>548</v>
      </c>
      <c r="AQ321" s="214">
        <v>113.21160686946486</v>
      </c>
      <c r="AR321" s="214" t="b">
        <v>0</v>
      </c>
      <c r="AS321" s="212" t="s">
        <v>534</v>
      </c>
      <c r="AU321" s="222" t="s">
        <v>819</v>
      </c>
    </row>
    <row r="322" spans="1:47" s="218" customFormat="1" x14ac:dyDescent="0.25">
      <c r="A322" s="245">
        <f t="shared" si="39"/>
        <v>322</v>
      </c>
      <c r="B322" s="246" t="str">
        <f t="shared" si="32"/>
        <v>Oil Field - Tank</v>
      </c>
      <c r="C322" s="246" t="str">
        <f ca="1">IF(B322="","",VLOOKUP(D322,'Species Data'!B:E,4,FALSE))</f>
        <v>c9_comp</v>
      </c>
      <c r="D322" s="246">
        <f t="shared" ca="1" si="33"/>
        <v>2018</v>
      </c>
      <c r="E322" s="246">
        <f t="shared" ca="1" si="34"/>
        <v>0.1285</v>
      </c>
      <c r="F322" s="246" t="str">
        <f t="shared" ca="1" si="35"/>
        <v>C-9 Compounds</v>
      </c>
      <c r="G322" s="246">
        <f t="shared" ca="1" si="36"/>
        <v>127.23917598649743</v>
      </c>
      <c r="H322" s="204" t="str">
        <f ca="1">IF(G322="","",IF(VLOOKUP(Tank!F322,'Species Data'!D:F,3,FALSE)=0,"X",IF(G322&lt;44.1,2,1)))</f>
        <v>X</v>
      </c>
      <c r="I322" s="204">
        <f t="shared" ca="1" si="37"/>
        <v>0.54975194428533192</v>
      </c>
      <c r="J322" s="247">
        <f ca="1">IF(I322="","",IF(COUNTIF($D$12:D322,D322)=1,IF(H322=1,I322*H322,IF(H322="X","X",0)),0))</f>
        <v>0</v>
      </c>
      <c r="K322" s="248">
        <f t="shared" ca="1" si="38"/>
        <v>0</v>
      </c>
      <c r="L322" s="212" t="s">
        <v>679</v>
      </c>
      <c r="M322" s="212" t="s">
        <v>448</v>
      </c>
      <c r="N322" s="212" t="s">
        <v>470</v>
      </c>
      <c r="O322" s="213">
        <v>41419</v>
      </c>
      <c r="P322" s="212" t="s">
        <v>681</v>
      </c>
      <c r="Q322" s="214">
        <v>100</v>
      </c>
      <c r="R322" s="212" t="s">
        <v>445</v>
      </c>
      <c r="S322" s="212" t="s">
        <v>532</v>
      </c>
      <c r="T322" s="212" t="s">
        <v>445</v>
      </c>
      <c r="U322" s="212" t="s">
        <v>446</v>
      </c>
      <c r="V322" s="214" t="b">
        <v>1</v>
      </c>
      <c r="W322" s="214">
        <v>1989</v>
      </c>
      <c r="X322" s="214">
        <v>5</v>
      </c>
      <c r="Y322" s="214">
        <v>2</v>
      </c>
      <c r="Z322" s="214">
        <v>4</v>
      </c>
      <c r="AA322" s="212" t="s">
        <v>447</v>
      </c>
      <c r="AB322" s="212" t="s">
        <v>531</v>
      </c>
      <c r="AC322" s="212" t="s">
        <v>533</v>
      </c>
      <c r="AD322" s="214">
        <v>1.5049110000000001</v>
      </c>
      <c r="AE322" s="214">
        <v>2018</v>
      </c>
      <c r="AF322" s="214">
        <v>0.1285</v>
      </c>
      <c r="AG322" s="214">
        <v>-99</v>
      </c>
      <c r="AH322" s="212" t="s">
        <v>224</v>
      </c>
      <c r="AI322" s="212" t="s">
        <v>449</v>
      </c>
      <c r="AJ322" s="212" t="s">
        <v>224</v>
      </c>
      <c r="AK322" s="212" t="s">
        <v>531</v>
      </c>
      <c r="AL322" s="212" t="s">
        <v>464</v>
      </c>
      <c r="AM322" s="214" t="b">
        <v>0</v>
      </c>
      <c r="AN322" s="214" t="b">
        <v>0</v>
      </c>
      <c r="AO322" s="212" t="s">
        <v>549</v>
      </c>
      <c r="AP322" s="212" t="s">
        <v>550</v>
      </c>
      <c r="AQ322" s="214">
        <v>127.23917598649743</v>
      </c>
      <c r="AR322" s="214" t="b">
        <v>0</v>
      </c>
      <c r="AS322" s="212" t="s">
        <v>534</v>
      </c>
      <c r="AU322" s="222" t="s">
        <v>819</v>
      </c>
    </row>
    <row r="323" spans="1:47" s="218" customFormat="1" x14ac:dyDescent="0.25">
      <c r="A323" s="245">
        <f t="shared" si="39"/>
        <v>323</v>
      </c>
      <c r="B323" s="246" t="str">
        <f t="shared" si="32"/>
        <v>Oil Field - Tank</v>
      </c>
      <c r="C323" s="246" t="str">
        <f ca="1">IF(B323="","",VLOOKUP(D323,'Species Data'!B:E,4,FALSE))</f>
        <v>isobutben</v>
      </c>
      <c r="D323" s="246">
        <f t="shared" ca="1" si="33"/>
        <v>3</v>
      </c>
      <c r="E323" s="246">
        <f t="shared" ca="1" si="34"/>
        <v>1.01E-2</v>
      </c>
      <c r="F323" s="246" t="str">
        <f t="shared" ca="1" si="35"/>
        <v>(2-methylpropyl)benzene; isobutylbenzene</v>
      </c>
      <c r="G323" s="246">
        <f t="shared" ca="1" si="36"/>
        <v>134.21816000000001</v>
      </c>
      <c r="H323" s="204" t="str">
        <f ca="1">IF(G323="","",IF(VLOOKUP(Tank!F323,'Species Data'!D:F,3,FALSE)=0,"X",IF(G323&lt;44.1,2,1)))</f>
        <v>X</v>
      </c>
      <c r="I323" s="204">
        <f t="shared" ca="1" si="37"/>
        <v>1.3866799787944635E-3</v>
      </c>
      <c r="J323" s="247">
        <f ca="1">IF(I323="","",IF(COUNTIF($D$12:D323,D323)=1,IF(H323=1,I323*H323,IF(H323="X","X",0)),0))</f>
        <v>0</v>
      </c>
      <c r="K323" s="248">
        <f t="shared" ca="1" si="38"/>
        <v>0</v>
      </c>
      <c r="L323" s="212" t="s">
        <v>679</v>
      </c>
      <c r="M323" s="212" t="s">
        <v>448</v>
      </c>
      <c r="N323" s="212" t="s">
        <v>470</v>
      </c>
      <c r="O323" s="213">
        <v>41419</v>
      </c>
      <c r="P323" s="212" t="s">
        <v>683</v>
      </c>
      <c r="Q323" s="214">
        <v>100</v>
      </c>
      <c r="R323" s="212" t="s">
        <v>445</v>
      </c>
      <c r="S323" s="212" t="s">
        <v>532</v>
      </c>
      <c r="T323" s="212" t="s">
        <v>445</v>
      </c>
      <c r="U323" s="212" t="s">
        <v>446</v>
      </c>
      <c r="V323" s="214" t="b">
        <v>1</v>
      </c>
      <c r="W323" s="214">
        <v>1989</v>
      </c>
      <c r="X323" s="214">
        <v>5</v>
      </c>
      <c r="Y323" s="214">
        <v>2</v>
      </c>
      <c r="Z323" s="214">
        <v>4</v>
      </c>
      <c r="AA323" s="212" t="s">
        <v>447</v>
      </c>
      <c r="AB323" s="212" t="s">
        <v>531</v>
      </c>
      <c r="AC323" s="212" t="s">
        <v>533</v>
      </c>
      <c r="AD323" s="214">
        <v>28.907579999999999</v>
      </c>
      <c r="AE323" s="214">
        <v>3</v>
      </c>
      <c r="AF323" s="214">
        <v>1.01E-2</v>
      </c>
      <c r="AG323" s="214">
        <v>-99</v>
      </c>
      <c r="AH323" s="212" t="s">
        <v>224</v>
      </c>
      <c r="AI323" s="212" t="s">
        <v>449</v>
      </c>
      <c r="AJ323" s="212" t="s">
        <v>425</v>
      </c>
      <c r="AK323" s="212" t="s">
        <v>531</v>
      </c>
      <c r="AL323" s="212" t="s">
        <v>456</v>
      </c>
      <c r="AM323" s="214" t="b">
        <v>0</v>
      </c>
      <c r="AN323" s="214" t="b">
        <v>0</v>
      </c>
      <c r="AO323" s="212" t="s">
        <v>426</v>
      </c>
      <c r="AP323" s="212" t="s">
        <v>531</v>
      </c>
      <c r="AQ323" s="214">
        <v>134.21816000000001</v>
      </c>
      <c r="AR323" s="214" t="b">
        <v>0</v>
      </c>
      <c r="AS323" s="212" t="s">
        <v>534</v>
      </c>
      <c r="AU323" s="222" t="s">
        <v>819</v>
      </c>
    </row>
    <row r="324" spans="1:47" s="218" customFormat="1" x14ac:dyDescent="0.25">
      <c r="A324" s="245">
        <f t="shared" si="39"/>
        <v>324</v>
      </c>
      <c r="B324" s="246" t="str">
        <f t="shared" si="32"/>
        <v>Oil Field - Tank</v>
      </c>
      <c r="C324" s="246" t="str">
        <f ca="1">IF(B324="","",VLOOKUP(D324,'Species Data'!B:E,4,FALSE))</f>
        <v>trimethben123</v>
      </c>
      <c r="D324" s="246">
        <f t="shared" ca="1" si="33"/>
        <v>25</v>
      </c>
      <c r="E324" s="246">
        <f t="shared" ca="1" si="34"/>
        <v>4.9000000000000002E-2</v>
      </c>
      <c r="F324" s="246" t="str">
        <f t="shared" ca="1" si="35"/>
        <v>1,2,3-trimethylbenzene</v>
      </c>
      <c r="G324" s="246">
        <f t="shared" ca="1" si="36"/>
        <v>120.19158</v>
      </c>
      <c r="H324" s="204">
        <f ca="1">IF(G324="","",IF(VLOOKUP(Tank!F324,'Species Data'!D:F,3,FALSE)=0,"X",IF(G324&lt;44.1,2,1)))</f>
        <v>1</v>
      </c>
      <c r="I324" s="204">
        <f t="shared" ca="1" si="37"/>
        <v>1.0560101376973221E-2</v>
      </c>
      <c r="J324" s="247">
        <f ca="1">IF(I324="","",IF(COUNTIF($D$12:D324,D324)=1,IF(H324=1,I324*H324,IF(H324="X","X",0)),0))</f>
        <v>0</v>
      </c>
      <c r="K324" s="248">
        <f t="shared" ca="1" si="38"/>
        <v>0</v>
      </c>
      <c r="L324" s="212" t="s">
        <v>679</v>
      </c>
      <c r="M324" s="212" t="s">
        <v>448</v>
      </c>
      <c r="N324" s="212" t="s">
        <v>470</v>
      </c>
      <c r="O324" s="213">
        <v>41419</v>
      </c>
      <c r="P324" s="212" t="s">
        <v>683</v>
      </c>
      <c r="Q324" s="214">
        <v>100</v>
      </c>
      <c r="R324" s="212" t="s">
        <v>445</v>
      </c>
      <c r="S324" s="212" t="s">
        <v>532</v>
      </c>
      <c r="T324" s="212" t="s">
        <v>445</v>
      </c>
      <c r="U324" s="212" t="s">
        <v>446</v>
      </c>
      <c r="V324" s="214" t="b">
        <v>1</v>
      </c>
      <c r="W324" s="214">
        <v>1989</v>
      </c>
      <c r="X324" s="214">
        <v>5</v>
      </c>
      <c r="Y324" s="214">
        <v>2</v>
      </c>
      <c r="Z324" s="214">
        <v>4</v>
      </c>
      <c r="AA324" s="212" t="s">
        <v>447</v>
      </c>
      <c r="AB324" s="212" t="s">
        <v>531</v>
      </c>
      <c r="AC324" s="212" t="s">
        <v>533</v>
      </c>
      <c r="AD324" s="214">
        <v>28.907579999999999</v>
      </c>
      <c r="AE324" s="214">
        <v>25</v>
      </c>
      <c r="AF324" s="214">
        <v>4.9000000000000002E-2</v>
      </c>
      <c r="AG324" s="214">
        <v>-99</v>
      </c>
      <c r="AH324" s="212" t="s">
        <v>224</v>
      </c>
      <c r="AI324" s="212" t="s">
        <v>449</v>
      </c>
      <c r="AJ324" s="212" t="s">
        <v>627</v>
      </c>
      <c r="AK324" s="212" t="s">
        <v>531</v>
      </c>
      <c r="AL324" s="212" t="s">
        <v>628</v>
      </c>
      <c r="AM324" s="214" t="b">
        <v>1</v>
      </c>
      <c r="AN324" s="214" t="b">
        <v>0</v>
      </c>
      <c r="AO324" s="212" t="s">
        <v>629</v>
      </c>
      <c r="AP324" s="212" t="s">
        <v>630</v>
      </c>
      <c r="AQ324" s="214">
        <v>120.19158</v>
      </c>
      <c r="AR324" s="214" t="b">
        <v>0</v>
      </c>
      <c r="AS324" s="212" t="s">
        <v>534</v>
      </c>
      <c r="AU324" s="222" t="s">
        <v>819</v>
      </c>
    </row>
    <row r="325" spans="1:47" s="218" customFormat="1" x14ac:dyDescent="0.25">
      <c r="A325" s="245">
        <f t="shared" si="39"/>
        <v>325</v>
      </c>
      <c r="B325" s="246" t="str">
        <f t="shared" si="32"/>
        <v>Oil Field - Tank</v>
      </c>
      <c r="C325" s="246" t="str">
        <f ca="1">IF(B325="","",VLOOKUP(D325,'Species Data'!B:E,4,FALSE))</f>
        <v>trimethben135</v>
      </c>
      <c r="D325" s="246">
        <f t="shared" ca="1" si="33"/>
        <v>44</v>
      </c>
      <c r="E325" s="246">
        <f t="shared" ca="1" si="34"/>
        <v>1.8599999999999998E-2</v>
      </c>
      <c r="F325" s="246" t="str">
        <f t="shared" ca="1" si="35"/>
        <v>1,3,5-trimethylbenzene</v>
      </c>
      <c r="G325" s="246">
        <f t="shared" ca="1" si="36"/>
        <v>120.19158</v>
      </c>
      <c r="H325" s="204">
        <f ca="1">IF(G325="","",IF(VLOOKUP(Tank!F325,'Species Data'!D:F,3,FALSE)=0,"X",IF(G325&lt;44.1,2,1)))</f>
        <v>1</v>
      </c>
      <c r="I325" s="204">
        <f t="shared" ca="1" si="37"/>
        <v>1.3046791915869061E-2</v>
      </c>
      <c r="J325" s="247">
        <f ca="1">IF(I325="","",IF(COUNTIF($D$12:D325,D325)=1,IF(H325=1,I325*H325,IF(H325="X","X",0)),0))</f>
        <v>0</v>
      </c>
      <c r="K325" s="248">
        <f t="shared" ca="1" si="38"/>
        <v>0</v>
      </c>
      <c r="L325" s="212" t="s">
        <v>679</v>
      </c>
      <c r="M325" s="212" t="s">
        <v>448</v>
      </c>
      <c r="N325" s="212" t="s">
        <v>470</v>
      </c>
      <c r="O325" s="213">
        <v>41419</v>
      </c>
      <c r="P325" s="212" t="s">
        <v>683</v>
      </c>
      <c r="Q325" s="214">
        <v>100</v>
      </c>
      <c r="R325" s="212" t="s">
        <v>445</v>
      </c>
      <c r="S325" s="212" t="s">
        <v>532</v>
      </c>
      <c r="T325" s="212" t="s">
        <v>445</v>
      </c>
      <c r="U325" s="212" t="s">
        <v>446</v>
      </c>
      <c r="V325" s="214" t="b">
        <v>1</v>
      </c>
      <c r="W325" s="214">
        <v>1989</v>
      </c>
      <c r="X325" s="214">
        <v>5</v>
      </c>
      <c r="Y325" s="214">
        <v>2</v>
      </c>
      <c r="Z325" s="214">
        <v>4</v>
      </c>
      <c r="AA325" s="212" t="s">
        <v>447</v>
      </c>
      <c r="AB325" s="212" t="s">
        <v>531</v>
      </c>
      <c r="AC325" s="212" t="s">
        <v>533</v>
      </c>
      <c r="AD325" s="214">
        <v>28.907579999999999</v>
      </c>
      <c r="AE325" s="214">
        <v>44</v>
      </c>
      <c r="AF325" s="214">
        <v>1.8599999999999998E-2</v>
      </c>
      <c r="AG325" s="214">
        <v>-99</v>
      </c>
      <c r="AH325" s="212" t="s">
        <v>224</v>
      </c>
      <c r="AI325" s="212" t="s">
        <v>449</v>
      </c>
      <c r="AJ325" s="212" t="s">
        <v>400</v>
      </c>
      <c r="AK325" s="212" t="s">
        <v>531</v>
      </c>
      <c r="AL325" s="212" t="s">
        <v>401</v>
      </c>
      <c r="AM325" s="214" t="b">
        <v>1</v>
      </c>
      <c r="AN325" s="214" t="b">
        <v>0</v>
      </c>
      <c r="AO325" s="212" t="s">
        <v>402</v>
      </c>
      <c r="AP325" s="212" t="s">
        <v>403</v>
      </c>
      <c r="AQ325" s="214">
        <v>120.19158</v>
      </c>
      <c r="AR325" s="214" t="b">
        <v>0</v>
      </c>
      <c r="AS325" s="212" t="s">
        <v>534</v>
      </c>
      <c r="AU325" s="222" t="s">
        <v>819</v>
      </c>
    </row>
    <row r="326" spans="1:47" s="218" customFormat="1" x14ac:dyDescent="0.25">
      <c r="A326" s="245">
        <f t="shared" si="39"/>
        <v>326</v>
      </c>
      <c r="B326" s="246" t="str">
        <f t="shared" si="32"/>
        <v>Oil Field - Tank</v>
      </c>
      <c r="C326" s="246" t="str">
        <f ca="1">IF(B326="","",VLOOKUP(D326,'Species Data'!B:E,4,FALSE))</f>
        <v>dietben14</v>
      </c>
      <c r="D326" s="246">
        <f t="shared" ca="1" si="33"/>
        <v>59</v>
      </c>
      <c r="E326" s="246">
        <f t="shared" ca="1" si="34"/>
        <v>1.9199999999999998E-2</v>
      </c>
      <c r="F326" s="246" t="str">
        <f t="shared" ca="1" si="35"/>
        <v>1,4-diethylbenzene (para)</v>
      </c>
      <c r="G326" s="246">
        <f t="shared" ca="1" si="36"/>
        <v>134.21816000000001</v>
      </c>
      <c r="H326" s="204" t="str">
        <f ca="1">IF(G326="","",IF(VLOOKUP(Tank!F326,'Species Data'!D:F,3,FALSE)=0,"X",IF(G326&lt;44.1,2,1)))</f>
        <v>X</v>
      </c>
      <c r="I326" s="204">
        <f t="shared" ca="1" si="37"/>
        <v>4.2867078190617306E-3</v>
      </c>
      <c r="J326" s="247">
        <f ca="1">IF(I326="","",IF(COUNTIF($D$12:D326,D326)=1,IF(H326=1,I326*H326,IF(H326="X","X",0)),0))</f>
        <v>0</v>
      </c>
      <c r="K326" s="248">
        <f t="shared" ca="1" si="38"/>
        <v>0</v>
      </c>
      <c r="L326" s="212" t="s">
        <v>679</v>
      </c>
      <c r="M326" s="212" t="s">
        <v>448</v>
      </c>
      <c r="N326" s="212" t="s">
        <v>470</v>
      </c>
      <c r="O326" s="213">
        <v>41419</v>
      </c>
      <c r="P326" s="212" t="s">
        <v>683</v>
      </c>
      <c r="Q326" s="214">
        <v>100</v>
      </c>
      <c r="R326" s="212" t="s">
        <v>445</v>
      </c>
      <c r="S326" s="212" t="s">
        <v>532</v>
      </c>
      <c r="T326" s="212" t="s">
        <v>445</v>
      </c>
      <c r="U326" s="212" t="s">
        <v>446</v>
      </c>
      <c r="V326" s="214" t="b">
        <v>1</v>
      </c>
      <c r="W326" s="214">
        <v>1989</v>
      </c>
      <c r="X326" s="214">
        <v>5</v>
      </c>
      <c r="Y326" s="214">
        <v>2</v>
      </c>
      <c r="Z326" s="214">
        <v>4</v>
      </c>
      <c r="AA326" s="212" t="s">
        <v>447</v>
      </c>
      <c r="AB326" s="212" t="s">
        <v>531</v>
      </c>
      <c r="AC326" s="212" t="s">
        <v>533</v>
      </c>
      <c r="AD326" s="214">
        <v>28.907579999999999</v>
      </c>
      <c r="AE326" s="214">
        <v>59</v>
      </c>
      <c r="AF326" s="214">
        <v>1.9199999999999998E-2</v>
      </c>
      <c r="AG326" s="214">
        <v>-99</v>
      </c>
      <c r="AH326" s="212" t="s">
        <v>224</v>
      </c>
      <c r="AI326" s="212" t="s">
        <v>449</v>
      </c>
      <c r="AJ326" s="212" t="s">
        <v>638</v>
      </c>
      <c r="AK326" s="212" t="s">
        <v>531</v>
      </c>
      <c r="AL326" s="212" t="s">
        <v>639</v>
      </c>
      <c r="AM326" s="214" t="b">
        <v>1</v>
      </c>
      <c r="AN326" s="214" t="b">
        <v>0</v>
      </c>
      <c r="AO326" s="212" t="s">
        <v>640</v>
      </c>
      <c r="AP326" s="212" t="s">
        <v>641</v>
      </c>
      <c r="AQ326" s="214">
        <v>134.21816000000001</v>
      </c>
      <c r="AR326" s="214" t="b">
        <v>0</v>
      </c>
      <c r="AS326" s="212" t="s">
        <v>534</v>
      </c>
      <c r="AU326" s="222" t="s">
        <v>819</v>
      </c>
    </row>
    <row r="327" spans="1:47" s="218" customFormat="1" x14ac:dyDescent="0.25">
      <c r="A327" s="245">
        <f t="shared" si="39"/>
        <v>327</v>
      </c>
      <c r="B327" s="246" t="str">
        <f t="shared" si="32"/>
        <v>Oil Field - Tank</v>
      </c>
      <c r="C327" s="246" t="str">
        <f ca="1">IF(B327="","",VLOOKUP(D327,'Species Data'!B:E,4,FALSE))</f>
        <v>ethben12</v>
      </c>
      <c r="D327" s="246">
        <f t="shared" ca="1" si="33"/>
        <v>80</v>
      </c>
      <c r="E327" s="246">
        <f t="shared" ca="1" si="34"/>
        <v>1.18E-2</v>
      </c>
      <c r="F327" s="246" t="str">
        <f t="shared" ca="1" si="35"/>
        <v>1-Methyl-2-ethylbenzene</v>
      </c>
      <c r="G327" s="246">
        <f t="shared" ca="1" si="36"/>
        <v>120.19158</v>
      </c>
      <c r="H327" s="204">
        <f ca="1">IF(G327="","",IF(VLOOKUP(Tank!F327,'Species Data'!D:F,3,FALSE)=0,"X",IF(G327&lt;44.1,2,1)))</f>
        <v>1</v>
      </c>
      <c r="I327" s="204">
        <f t="shared" ca="1" si="37"/>
        <v>1.2980124609196252E-2</v>
      </c>
      <c r="J327" s="247">
        <f ca="1">IF(I327="","",IF(COUNTIF($D$12:D327,D327)=1,IF(H327=1,I327*H327,IF(H327="X","X",0)),0))</f>
        <v>0</v>
      </c>
      <c r="K327" s="248">
        <f t="shared" ca="1" si="38"/>
        <v>0</v>
      </c>
      <c r="L327" s="212" t="s">
        <v>679</v>
      </c>
      <c r="M327" s="212" t="s">
        <v>448</v>
      </c>
      <c r="N327" s="212" t="s">
        <v>470</v>
      </c>
      <c r="O327" s="213">
        <v>41419</v>
      </c>
      <c r="P327" s="212" t="s">
        <v>683</v>
      </c>
      <c r="Q327" s="214">
        <v>100</v>
      </c>
      <c r="R327" s="212" t="s">
        <v>445</v>
      </c>
      <c r="S327" s="212" t="s">
        <v>532</v>
      </c>
      <c r="T327" s="212" t="s">
        <v>445</v>
      </c>
      <c r="U327" s="212" t="s">
        <v>446</v>
      </c>
      <c r="V327" s="214" t="b">
        <v>1</v>
      </c>
      <c r="W327" s="214">
        <v>1989</v>
      </c>
      <c r="X327" s="214">
        <v>5</v>
      </c>
      <c r="Y327" s="214">
        <v>2</v>
      </c>
      <c r="Z327" s="214">
        <v>4</v>
      </c>
      <c r="AA327" s="212" t="s">
        <v>447</v>
      </c>
      <c r="AB327" s="212" t="s">
        <v>531</v>
      </c>
      <c r="AC327" s="212" t="s">
        <v>533</v>
      </c>
      <c r="AD327" s="214">
        <v>28.907579999999999</v>
      </c>
      <c r="AE327" s="214">
        <v>80</v>
      </c>
      <c r="AF327" s="214">
        <v>1.18E-2</v>
      </c>
      <c r="AG327" s="214">
        <v>-99</v>
      </c>
      <c r="AH327" s="212" t="s">
        <v>224</v>
      </c>
      <c r="AI327" s="212" t="s">
        <v>449</v>
      </c>
      <c r="AJ327" s="212" t="s">
        <v>408</v>
      </c>
      <c r="AK327" s="212" t="s">
        <v>531</v>
      </c>
      <c r="AL327" s="212" t="s">
        <v>450</v>
      </c>
      <c r="AM327" s="214" t="b">
        <v>1</v>
      </c>
      <c r="AN327" s="214" t="b">
        <v>0</v>
      </c>
      <c r="AO327" s="212" t="s">
        <v>409</v>
      </c>
      <c r="AP327" s="212" t="s">
        <v>410</v>
      </c>
      <c r="AQ327" s="214">
        <v>120.19158</v>
      </c>
      <c r="AR327" s="214" t="b">
        <v>0</v>
      </c>
      <c r="AS327" s="212" t="s">
        <v>534</v>
      </c>
      <c r="AU327" s="222" t="s">
        <v>819</v>
      </c>
    </row>
    <row r="328" spans="1:47" s="218" customFormat="1" x14ac:dyDescent="0.25">
      <c r="A328" s="245">
        <f t="shared" si="39"/>
        <v>328</v>
      </c>
      <c r="B328" s="246" t="str">
        <f t="shared" si="32"/>
        <v>Oil Field - Tank</v>
      </c>
      <c r="C328" s="246" t="str">
        <f ca="1">IF(B328="","",VLOOKUP(D328,'Species Data'!B:E,4,FALSE))</f>
        <v>ethben13</v>
      </c>
      <c r="D328" s="246">
        <f t="shared" ca="1" si="33"/>
        <v>89</v>
      </c>
      <c r="E328" s="246">
        <f t="shared" ca="1" si="34"/>
        <v>2.1100000000000001E-2</v>
      </c>
      <c r="F328" s="246" t="str">
        <f t="shared" ca="1" si="35"/>
        <v>1-Methyl-3-ethylbenzene (3-Ethyltoluene)</v>
      </c>
      <c r="G328" s="246">
        <f t="shared" ca="1" si="36"/>
        <v>120.19158</v>
      </c>
      <c r="H328" s="204">
        <f ca="1">IF(G328="","",IF(VLOOKUP(Tank!F328,'Species Data'!D:F,3,FALSE)=0,"X",IF(G328&lt;44.1,2,1)))</f>
        <v>1</v>
      </c>
      <c r="I328" s="204">
        <f t="shared" ca="1" si="37"/>
        <v>1.0893437910337275E-2</v>
      </c>
      <c r="J328" s="247">
        <f ca="1">IF(I328="","",IF(COUNTIF($D$12:D328,D328)=1,IF(H328=1,I328*H328,IF(H328="X","X",0)),0))</f>
        <v>0</v>
      </c>
      <c r="K328" s="248">
        <f t="shared" ca="1" si="38"/>
        <v>0</v>
      </c>
      <c r="L328" s="212" t="s">
        <v>679</v>
      </c>
      <c r="M328" s="212" t="s">
        <v>448</v>
      </c>
      <c r="N328" s="212" t="s">
        <v>470</v>
      </c>
      <c r="O328" s="213">
        <v>41419</v>
      </c>
      <c r="P328" s="212" t="s">
        <v>683</v>
      </c>
      <c r="Q328" s="214">
        <v>100</v>
      </c>
      <c r="R328" s="212" t="s">
        <v>445</v>
      </c>
      <c r="S328" s="212" t="s">
        <v>532</v>
      </c>
      <c r="T328" s="212" t="s">
        <v>445</v>
      </c>
      <c r="U328" s="212" t="s">
        <v>446</v>
      </c>
      <c r="V328" s="214" t="b">
        <v>1</v>
      </c>
      <c r="W328" s="214">
        <v>1989</v>
      </c>
      <c r="X328" s="214">
        <v>5</v>
      </c>
      <c r="Y328" s="214">
        <v>2</v>
      </c>
      <c r="Z328" s="214">
        <v>4</v>
      </c>
      <c r="AA328" s="212" t="s">
        <v>447</v>
      </c>
      <c r="AB328" s="212" t="s">
        <v>531</v>
      </c>
      <c r="AC328" s="212" t="s">
        <v>533</v>
      </c>
      <c r="AD328" s="214">
        <v>28.907579999999999</v>
      </c>
      <c r="AE328" s="214">
        <v>89</v>
      </c>
      <c r="AF328" s="214">
        <v>2.1100000000000001E-2</v>
      </c>
      <c r="AG328" s="214">
        <v>-99</v>
      </c>
      <c r="AH328" s="212" t="s">
        <v>224</v>
      </c>
      <c r="AI328" s="212" t="s">
        <v>449</v>
      </c>
      <c r="AJ328" s="212" t="s">
        <v>411</v>
      </c>
      <c r="AK328" s="212" t="s">
        <v>531</v>
      </c>
      <c r="AL328" s="212" t="s">
        <v>451</v>
      </c>
      <c r="AM328" s="214" t="b">
        <v>1</v>
      </c>
      <c r="AN328" s="214" t="b">
        <v>0</v>
      </c>
      <c r="AO328" s="212" t="s">
        <v>412</v>
      </c>
      <c r="AP328" s="212" t="s">
        <v>413</v>
      </c>
      <c r="AQ328" s="214">
        <v>120.19158</v>
      </c>
      <c r="AR328" s="214" t="b">
        <v>0</v>
      </c>
      <c r="AS328" s="212" t="s">
        <v>534</v>
      </c>
      <c r="AU328" s="222" t="s">
        <v>819</v>
      </c>
    </row>
    <row r="329" spans="1:47" s="218" customFormat="1" x14ac:dyDescent="0.25">
      <c r="A329" s="245">
        <f t="shared" si="39"/>
        <v>329</v>
      </c>
      <c r="B329" s="246" t="str">
        <f t="shared" si="32"/>
        <v>Oil Field - Tank</v>
      </c>
      <c r="C329" s="246" t="str">
        <f ca="1">IF(B329="","",VLOOKUP(D329,'Species Data'!B:E,4,FALSE))</f>
        <v>dimethpro</v>
      </c>
      <c r="D329" s="246">
        <f t="shared" ca="1" si="33"/>
        <v>127</v>
      </c>
      <c r="E329" s="246">
        <f t="shared" ca="1" si="34"/>
        <v>7.9399999999999998E-2</v>
      </c>
      <c r="F329" s="246" t="str">
        <f t="shared" ca="1" si="35"/>
        <v>2,2-dimethylpropane</v>
      </c>
      <c r="G329" s="246">
        <f t="shared" ca="1" si="36"/>
        <v>72.148780000000002</v>
      </c>
      <c r="H329" s="204">
        <f ca="1">IF(G329="","",IF(VLOOKUP(Tank!F329,'Species Data'!D:F,3,FALSE)=0,"X",IF(G329&lt;44.1,2,1)))</f>
        <v>1</v>
      </c>
      <c r="I329" s="204">
        <f t="shared" ca="1" si="37"/>
        <v>9.7614270430329483E-2</v>
      </c>
      <c r="J329" s="247">
        <f ca="1">IF(I329="","",IF(COUNTIF($D$12:D329,D329)=1,IF(H329=1,I329*H329,IF(H329="X","X",0)),0))</f>
        <v>0</v>
      </c>
      <c r="K329" s="248">
        <f t="shared" ca="1" si="38"/>
        <v>0</v>
      </c>
      <c r="L329" s="212" t="s">
        <v>679</v>
      </c>
      <c r="M329" s="212" t="s">
        <v>448</v>
      </c>
      <c r="N329" s="212" t="s">
        <v>470</v>
      </c>
      <c r="O329" s="213">
        <v>41419</v>
      </c>
      <c r="P329" s="212" t="s">
        <v>683</v>
      </c>
      <c r="Q329" s="214">
        <v>100</v>
      </c>
      <c r="R329" s="212" t="s">
        <v>445</v>
      </c>
      <c r="S329" s="212" t="s">
        <v>532</v>
      </c>
      <c r="T329" s="212" t="s">
        <v>445</v>
      </c>
      <c r="U329" s="212" t="s">
        <v>446</v>
      </c>
      <c r="V329" s="214" t="b">
        <v>1</v>
      </c>
      <c r="W329" s="214">
        <v>1989</v>
      </c>
      <c r="X329" s="214">
        <v>5</v>
      </c>
      <c r="Y329" s="214">
        <v>2</v>
      </c>
      <c r="Z329" s="214">
        <v>4</v>
      </c>
      <c r="AA329" s="212" t="s">
        <v>447</v>
      </c>
      <c r="AB329" s="212" t="s">
        <v>531</v>
      </c>
      <c r="AC329" s="212" t="s">
        <v>533</v>
      </c>
      <c r="AD329" s="214">
        <v>28.907579999999999</v>
      </c>
      <c r="AE329" s="214">
        <v>127</v>
      </c>
      <c r="AF329" s="214">
        <v>7.9399999999999998E-2</v>
      </c>
      <c r="AG329" s="214">
        <v>-99</v>
      </c>
      <c r="AH329" s="212" t="s">
        <v>224</v>
      </c>
      <c r="AI329" s="212" t="s">
        <v>449</v>
      </c>
      <c r="AJ329" s="212" t="s">
        <v>441</v>
      </c>
      <c r="AK329" s="212" t="s">
        <v>531</v>
      </c>
      <c r="AL329" s="212" t="s">
        <v>462</v>
      </c>
      <c r="AM329" s="214" t="b">
        <v>0</v>
      </c>
      <c r="AN329" s="214" t="b">
        <v>0</v>
      </c>
      <c r="AO329" s="212" t="s">
        <v>442</v>
      </c>
      <c r="AP329" s="212" t="s">
        <v>531</v>
      </c>
      <c r="AQ329" s="214">
        <v>72.148780000000002</v>
      </c>
      <c r="AR329" s="214" t="b">
        <v>0</v>
      </c>
      <c r="AS329" s="212" t="s">
        <v>534</v>
      </c>
      <c r="AU329" s="222" t="s">
        <v>819</v>
      </c>
    </row>
    <row r="330" spans="1:47" s="218" customFormat="1" x14ac:dyDescent="0.25">
      <c r="A330" s="245">
        <f t="shared" si="39"/>
        <v>330</v>
      </c>
      <c r="B330" s="246" t="str">
        <f t="shared" si="32"/>
        <v>Oil Field - Tank</v>
      </c>
      <c r="C330" s="246" t="str">
        <f ca="1">IF(B330="","",VLOOKUP(D330,'Species Data'!B:E,4,FALSE))</f>
        <v>trimentpen3</v>
      </c>
      <c r="D330" s="246">
        <f t="shared" ca="1" si="33"/>
        <v>130</v>
      </c>
      <c r="E330" s="246">
        <f t="shared" ca="1" si="34"/>
        <v>7.9899999999999999E-2</v>
      </c>
      <c r="F330" s="246" t="str">
        <f t="shared" ca="1" si="35"/>
        <v>2,3,4-trimethylpentane</v>
      </c>
      <c r="G330" s="246">
        <f t="shared" ca="1" si="36"/>
        <v>114.22852</v>
      </c>
      <c r="H330" s="204">
        <f ca="1">IF(G330="","",IF(VLOOKUP(Tank!F330,'Species Data'!D:F,3,FALSE)=0,"X",IF(G330&lt;44.1,2,1)))</f>
        <v>1</v>
      </c>
      <c r="I330" s="204">
        <f t="shared" ca="1" si="37"/>
        <v>0.22004211240427912</v>
      </c>
      <c r="J330" s="247">
        <f ca="1">IF(I330="","",IF(COUNTIF($D$12:D330,D330)=1,IF(H330=1,I330*H330,IF(H330="X","X",0)),0))</f>
        <v>0</v>
      </c>
      <c r="K330" s="248">
        <f t="shared" ca="1" si="38"/>
        <v>0</v>
      </c>
      <c r="L330" s="212" t="s">
        <v>679</v>
      </c>
      <c r="M330" s="212" t="s">
        <v>448</v>
      </c>
      <c r="N330" s="212" t="s">
        <v>470</v>
      </c>
      <c r="O330" s="213">
        <v>41419</v>
      </c>
      <c r="P330" s="212" t="s">
        <v>683</v>
      </c>
      <c r="Q330" s="214">
        <v>100</v>
      </c>
      <c r="R330" s="212" t="s">
        <v>445</v>
      </c>
      <c r="S330" s="212" t="s">
        <v>532</v>
      </c>
      <c r="T330" s="212" t="s">
        <v>445</v>
      </c>
      <c r="U330" s="212" t="s">
        <v>446</v>
      </c>
      <c r="V330" s="214" t="b">
        <v>1</v>
      </c>
      <c r="W330" s="214">
        <v>1989</v>
      </c>
      <c r="X330" s="214">
        <v>5</v>
      </c>
      <c r="Y330" s="214">
        <v>2</v>
      </c>
      <c r="Z330" s="214">
        <v>4</v>
      </c>
      <c r="AA330" s="212" t="s">
        <v>447</v>
      </c>
      <c r="AB330" s="212" t="s">
        <v>531</v>
      </c>
      <c r="AC330" s="212" t="s">
        <v>533</v>
      </c>
      <c r="AD330" s="214">
        <v>28.907579999999999</v>
      </c>
      <c r="AE330" s="214">
        <v>130</v>
      </c>
      <c r="AF330" s="214">
        <v>7.9899999999999999E-2</v>
      </c>
      <c r="AG330" s="214">
        <v>-99</v>
      </c>
      <c r="AH330" s="212" t="s">
        <v>224</v>
      </c>
      <c r="AI330" s="212" t="s">
        <v>449</v>
      </c>
      <c r="AJ330" s="212" t="s">
        <v>404</v>
      </c>
      <c r="AK330" s="212" t="s">
        <v>531</v>
      </c>
      <c r="AL330" s="212" t="s">
        <v>405</v>
      </c>
      <c r="AM330" s="214" t="b">
        <v>1</v>
      </c>
      <c r="AN330" s="214" t="b">
        <v>0</v>
      </c>
      <c r="AO330" s="212" t="s">
        <v>406</v>
      </c>
      <c r="AP330" s="212" t="s">
        <v>407</v>
      </c>
      <c r="AQ330" s="214">
        <v>114.22852</v>
      </c>
      <c r="AR330" s="214" t="b">
        <v>0</v>
      </c>
      <c r="AS330" s="212" t="s">
        <v>534</v>
      </c>
      <c r="AU330" s="222" t="s">
        <v>819</v>
      </c>
    </row>
    <row r="331" spans="1:47" s="218" customFormat="1" x14ac:dyDescent="0.25">
      <c r="A331" s="245">
        <f t="shared" si="39"/>
        <v>331</v>
      </c>
      <c r="B331" s="246" t="str">
        <f t="shared" si="32"/>
        <v>Oil Field - Tank</v>
      </c>
      <c r="C331" s="246" t="str">
        <f ca="1">IF(B331="","",VLOOKUP(D331,'Species Data'!B:E,4,FALSE))</f>
        <v>dimetbut</v>
      </c>
      <c r="D331" s="246">
        <f t="shared" ca="1" si="33"/>
        <v>136</v>
      </c>
      <c r="E331" s="246">
        <f t="shared" ca="1" si="34"/>
        <v>1.9099999999999999E-2</v>
      </c>
      <c r="F331" s="246" t="str">
        <f t="shared" ca="1" si="35"/>
        <v>2,3-dimethylbutane</v>
      </c>
      <c r="G331" s="246">
        <f t="shared" ca="1" si="36"/>
        <v>86.175359999999998</v>
      </c>
      <c r="H331" s="204">
        <f ca="1">IF(G331="","",IF(VLOOKUP(Tank!F331,'Species Data'!D:F,3,FALSE)=0,"X",IF(G331&lt;44.1,2,1)))</f>
        <v>1</v>
      </c>
      <c r="I331" s="204">
        <f t="shared" ca="1" si="37"/>
        <v>0.22725551498627725</v>
      </c>
      <c r="J331" s="247">
        <f ca="1">IF(I331="","",IF(COUNTIF($D$12:D331,D331)=1,IF(H331=1,I331*H331,IF(H331="X","X",0)),0))</f>
        <v>0</v>
      </c>
      <c r="K331" s="248">
        <f t="shared" ca="1" si="38"/>
        <v>0</v>
      </c>
      <c r="L331" s="212" t="s">
        <v>679</v>
      </c>
      <c r="M331" s="212" t="s">
        <v>448</v>
      </c>
      <c r="N331" s="212" t="s">
        <v>470</v>
      </c>
      <c r="O331" s="213">
        <v>41419</v>
      </c>
      <c r="P331" s="212" t="s">
        <v>683</v>
      </c>
      <c r="Q331" s="214">
        <v>100</v>
      </c>
      <c r="R331" s="212" t="s">
        <v>445</v>
      </c>
      <c r="S331" s="212" t="s">
        <v>532</v>
      </c>
      <c r="T331" s="212" t="s">
        <v>445</v>
      </c>
      <c r="U331" s="212" t="s">
        <v>446</v>
      </c>
      <c r="V331" s="214" t="b">
        <v>1</v>
      </c>
      <c r="W331" s="214">
        <v>1989</v>
      </c>
      <c r="X331" s="214">
        <v>5</v>
      </c>
      <c r="Y331" s="214">
        <v>2</v>
      </c>
      <c r="Z331" s="214">
        <v>4</v>
      </c>
      <c r="AA331" s="212" t="s">
        <v>447</v>
      </c>
      <c r="AB331" s="212" t="s">
        <v>531</v>
      </c>
      <c r="AC331" s="212" t="s">
        <v>533</v>
      </c>
      <c r="AD331" s="214">
        <v>28.907579999999999</v>
      </c>
      <c r="AE331" s="214">
        <v>136</v>
      </c>
      <c r="AF331" s="214">
        <v>1.9099999999999999E-2</v>
      </c>
      <c r="AG331" s="214">
        <v>-99</v>
      </c>
      <c r="AH331" s="212" t="s">
        <v>224</v>
      </c>
      <c r="AI331" s="212" t="s">
        <v>449</v>
      </c>
      <c r="AJ331" s="212" t="s">
        <v>304</v>
      </c>
      <c r="AK331" s="212" t="s">
        <v>531</v>
      </c>
      <c r="AL331" s="212" t="s">
        <v>620</v>
      </c>
      <c r="AM331" s="214" t="b">
        <v>1</v>
      </c>
      <c r="AN331" s="214" t="b">
        <v>0</v>
      </c>
      <c r="AO331" s="212" t="s">
        <v>305</v>
      </c>
      <c r="AP331" s="212" t="s">
        <v>306</v>
      </c>
      <c r="AQ331" s="214">
        <v>86.175359999999998</v>
      </c>
      <c r="AR331" s="214" t="b">
        <v>0</v>
      </c>
      <c r="AS331" s="212" t="s">
        <v>534</v>
      </c>
      <c r="AU331" s="222" t="s">
        <v>819</v>
      </c>
    </row>
    <row r="332" spans="1:47" s="218" customFormat="1" x14ac:dyDescent="0.25">
      <c r="A332" s="245">
        <f t="shared" si="39"/>
        <v>332</v>
      </c>
      <c r="B332" s="246" t="str">
        <f t="shared" ref="B332:B395" si="40">IF(ROW(A332)-(ROW($A$12))&lt;$B$10,$B$9,"")</f>
        <v>Oil Field - Tank</v>
      </c>
      <c r="C332" s="246" t="str">
        <f ca="1">IF(B332="","",VLOOKUP(D332,'Species Data'!B:E,4,FALSE))</f>
        <v>dimetpen3</v>
      </c>
      <c r="D332" s="246">
        <f t="shared" ca="1" si="33"/>
        <v>140</v>
      </c>
      <c r="E332" s="246">
        <f t="shared" ca="1" si="34"/>
        <v>5.1000000000000004E-3</v>
      </c>
      <c r="F332" s="246" t="str">
        <f t="shared" ca="1" si="35"/>
        <v>2,3-dimethylpentane</v>
      </c>
      <c r="G332" s="246">
        <f t="shared" ca="1" si="36"/>
        <v>100.20194000000001</v>
      </c>
      <c r="H332" s="204">
        <f ca="1">IF(G332="","",IF(VLOOKUP(Tank!F332,'Species Data'!D:F,3,FALSE)=0,"X",IF(G332&lt;44.1,2,1)))</f>
        <v>1</v>
      </c>
      <c r="I332" s="204">
        <f t="shared" ca="1" si="37"/>
        <v>0.24488235087056845</v>
      </c>
      <c r="J332" s="247">
        <f ca="1">IF(I332="","",IF(COUNTIF($D$12:D332,D332)=1,IF(H332=1,I332*H332,IF(H332="X","X",0)),0))</f>
        <v>0</v>
      </c>
      <c r="K332" s="248">
        <f t="shared" ca="1" si="38"/>
        <v>0</v>
      </c>
      <c r="L332" s="212" t="s">
        <v>679</v>
      </c>
      <c r="M332" s="212" t="s">
        <v>448</v>
      </c>
      <c r="N332" s="212" t="s">
        <v>470</v>
      </c>
      <c r="O332" s="213">
        <v>41419</v>
      </c>
      <c r="P332" s="212" t="s">
        <v>683</v>
      </c>
      <c r="Q332" s="214">
        <v>100</v>
      </c>
      <c r="R332" s="212" t="s">
        <v>445</v>
      </c>
      <c r="S332" s="212" t="s">
        <v>532</v>
      </c>
      <c r="T332" s="212" t="s">
        <v>445</v>
      </c>
      <c r="U332" s="212" t="s">
        <v>446</v>
      </c>
      <c r="V332" s="214" t="b">
        <v>1</v>
      </c>
      <c r="W332" s="214">
        <v>1989</v>
      </c>
      <c r="X332" s="214">
        <v>5</v>
      </c>
      <c r="Y332" s="214">
        <v>2</v>
      </c>
      <c r="Z332" s="214">
        <v>4</v>
      </c>
      <c r="AA332" s="212" t="s">
        <v>447</v>
      </c>
      <c r="AB332" s="212" t="s">
        <v>531</v>
      </c>
      <c r="AC332" s="212" t="s">
        <v>533</v>
      </c>
      <c r="AD332" s="214">
        <v>28.907579999999999</v>
      </c>
      <c r="AE332" s="214">
        <v>140</v>
      </c>
      <c r="AF332" s="214">
        <v>5.1000000000000004E-3</v>
      </c>
      <c r="AG332" s="214">
        <v>-99</v>
      </c>
      <c r="AH332" s="212" t="s">
        <v>224</v>
      </c>
      <c r="AI332" s="212" t="s">
        <v>449</v>
      </c>
      <c r="AJ332" s="212" t="s">
        <v>307</v>
      </c>
      <c r="AK332" s="212" t="s">
        <v>531</v>
      </c>
      <c r="AL332" s="212" t="s">
        <v>385</v>
      </c>
      <c r="AM332" s="214" t="b">
        <v>1</v>
      </c>
      <c r="AN332" s="214" t="b">
        <v>0</v>
      </c>
      <c r="AO332" s="212" t="s">
        <v>308</v>
      </c>
      <c r="AP332" s="212" t="s">
        <v>309</v>
      </c>
      <c r="AQ332" s="214">
        <v>100.20194000000001</v>
      </c>
      <c r="AR332" s="214" t="b">
        <v>0</v>
      </c>
      <c r="AS332" s="212" t="s">
        <v>534</v>
      </c>
      <c r="AU332" s="222" t="s">
        <v>819</v>
      </c>
    </row>
    <row r="333" spans="1:47" s="218" customFormat="1" x14ac:dyDescent="0.25">
      <c r="A333" s="245">
        <f t="shared" si="39"/>
        <v>333</v>
      </c>
      <c r="B333" s="246" t="str">
        <f t="shared" si="40"/>
        <v>Oil Field - Tank</v>
      </c>
      <c r="C333" s="246" t="str">
        <f ca="1">IF(B333="","",VLOOKUP(D333,'Species Data'!B:E,4,FALSE))</f>
        <v>dimethhex24</v>
      </c>
      <c r="D333" s="246">
        <f t="shared" ref="D333:D396" ca="1" si="41">IF(B333="","",INDIRECT("AE"&amp;$A333))</f>
        <v>149</v>
      </c>
      <c r="E333" s="246">
        <f t="shared" ref="E333:E396" ca="1" si="42">IF(D333="","",INDIRECT("AF"&amp;$A333))</f>
        <v>6.1000000000000004E-3</v>
      </c>
      <c r="F333" s="246" t="str">
        <f t="shared" ref="F333:F396" ca="1" si="43">IF(E333="","",INDIRECT("AO"&amp;$A333))</f>
        <v>2,4-dimethylhexane</v>
      </c>
      <c r="G333" s="246">
        <f t="shared" ref="G333:G396" ca="1" si="44">IF(F333="","",INDIRECT("AQ"&amp;$A333))</f>
        <v>114.22852</v>
      </c>
      <c r="H333" s="204">
        <f ca="1">IF(G333="","",IF(VLOOKUP(Tank!F333,'Species Data'!D:F,3,FALSE)=0,"X",IF(G333&lt;44.1,2,1)))</f>
        <v>1</v>
      </c>
      <c r="I333" s="204">
        <f t="shared" ref="I333:I396" ca="1" si="45">IF(H333="","",SUMIF(D:D,D333,E:E)/($E$9/100))</f>
        <v>6.6793974555489091E-2</v>
      </c>
      <c r="J333" s="247">
        <f ca="1">IF(I333="","",IF(COUNTIF($D$12:D333,D333)=1,IF(H333=1,I333*H333,IF(H333="X","X",0)),0))</f>
        <v>0</v>
      </c>
      <c r="K333" s="248">
        <f t="shared" ref="K333:K396" ca="1" si="46">IF(J333="","",IF(J333="X",0,J333/$J$9*100))</f>
        <v>0</v>
      </c>
      <c r="L333" s="212" t="s">
        <v>679</v>
      </c>
      <c r="M333" s="212" t="s">
        <v>448</v>
      </c>
      <c r="N333" s="212" t="s">
        <v>470</v>
      </c>
      <c r="O333" s="213">
        <v>41419</v>
      </c>
      <c r="P333" s="212" t="s">
        <v>683</v>
      </c>
      <c r="Q333" s="214">
        <v>100</v>
      </c>
      <c r="R333" s="212" t="s">
        <v>445</v>
      </c>
      <c r="S333" s="212" t="s">
        <v>532</v>
      </c>
      <c r="T333" s="212" t="s">
        <v>445</v>
      </c>
      <c r="U333" s="212" t="s">
        <v>446</v>
      </c>
      <c r="V333" s="214" t="b">
        <v>1</v>
      </c>
      <c r="W333" s="214">
        <v>1989</v>
      </c>
      <c r="X333" s="214">
        <v>5</v>
      </c>
      <c r="Y333" s="214">
        <v>2</v>
      </c>
      <c r="Z333" s="214">
        <v>4</v>
      </c>
      <c r="AA333" s="212" t="s">
        <v>447</v>
      </c>
      <c r="AB333" s="212" t="s">
        <v>531</v>
      </c>
      <c r="AC333" s="212" t="s">
        <v>533</v>
      </c>
      <c r="AD333" s="214">
        <v>28.907579999999999</v>
      </c>
      <c r="AE333" s="214">
        <v>149</v>
      </c>
      <c r="AF333" s="214">
        <v>6.1000000000000004E-3</v>
      </c>
      <c r="AG333" s="214">
        <v>-99</v>
      </c>
      <c r="AH333" s="212" t="s">
        <v>224</v>
      </c>
      <c r="AI333" s="212" t="s">
        <v>449</v>
      </c>
      <c r="AJ333" s="212" t="s">
        <v>427</v>
      </c>
      <c r="AK333" s="212" t="s">
        <v>531</v>
      </c>
      <c r="AL333" s="212" t="s">
        <v>457</v>
      </c>
      <c r="AM333" s="214" t="b">
        <v>0</v>
      </c>
      <c r="AN333" s="214" t="b">
        <v>0</v>
      </c>
      <c r="AO333" s="212" t="s">
        <v>428</v>
      </c>
      <c r="AP333" s="212" t="s">
        <v>429</v>
      </c>
      <c r="AQ333" s="214">
        <v>114.22852</v>
      </c>
      <c r="AR333" s="214" t="b">
        <v>0</v>
      </c>
      <c r="AS333" s="212" t="s">
        <v>534</v>
      </c>
      <c r="AU333" s="222" t="s">
        <v>819</v>
      </c>
    </row>
    <row r="334" spans="1:47" s="218" customFormat="1" x14ac:dyDescent="0.25">
      <c r="A334" s="245">
        <f t="shared" ref="A334:A397" si="47">IF(B334="","",A333+1)</f>
        <v>334</v>
      </c>
      <c r="B334" s="246" t="str">
        <f t="shared" si="40"/>
        <v>Oil Field - Tank</v>
      </c>
      <c r="C334" s="246" t="str">
        <f ca="1">IF(B334="","",VLOOKUP(D334,'Species Data'!B:E,4,FALSE))</f>
        <v>methep2</v>
      </c>
      <c r="D334" s="246">
        <f t="shared" ca="1" si="41"/>
        <v>193</v>
      </c>
      <c r="E334" s="246">
        <f t="shared" ca="1" si="42"/>
        <v>7.7999999999999996E-3</v>
      </c>
      <c r="F334" s="246" t="str">
        <f t="shared" ca="1" si="43"/>
        <v>2-methylheptane</v>
      </c>
      <c r="G334" s="246">
        <f t="shared" ca="1" si="44"/>
        <v>114.22852</v>
      </c>
      <c r="H334" s="204">
        <f ca="1">IF(G334="","",IF(VLOOKUP(Tank!F334,'Species Data'!D:F,3,FALSE)=0,"X",IF(G334&lt;44.1,2,1)))</f>
        <v>1</v>
      </c>
      <c r="I334" s="204">
        <f t="shared" ca="1" si="45"/>
        <v>0.11845447049625013</v>
      </c>
      <c r="J334" s="247">
        <f ca="1">IF(I334="","",IF(COUNTIF($D$12:D334,D334)=1,IF(H334=1,I334*H334,IF(H334="X","X",0)),0))</f>
        <v>0</v>
      </c>
      <c r="K334" s="248">
        <f t="shared" ca="1" si="46"/>
        <v>0</v>
      </c>
      <c r="L334" s="212" t="s">
        <v>679</v>
      </c>
      <c r="M334" s="212" t="s">
        <v>448</v>
      </c>
      <c r="N334" s="212" t="s">
        <v>470</v>
      </c>
      <c r="O334" s="213">
        <v>41419</v>
      </c>
      <c r="P334" s="212" t="s">
        <v>683</v>
      </c>
      <c r="Q334" s="214">
        <v>100</v>
      </c>
      <c r="R334" s="212" t="s">
        <v>445</v>
      </c>
      <c r="S334" s="212" t="s">
        <v>532</v>
      </c>
      <c r="T334" s="212" t="s">
        <v>445</v>
      </c>
      <c r="U334" s="212" t="s">
        <v>446</v>
      </c>
      <c r="V334" s="214" t="b">
        <v>1</v>
      </c>
      <c r="W334" s="214">
        <v>1989</v>
      </c>
      <c r="X334" s="214">
        <v>5</v>
      </c>
      <c r="Y334" s="214">
        <v>2</v>
      </c>
      <c r="Z334" s="214">
        <v>4</v>
      </c>
      <c r="AA334" s="212" t="s">
        <v>447</v>
      </c>
      <c r="AB334" s="212" t="s">
        <v>531</v>
      </c>
      <c r="AC334" s="212" t="s">
        <v>533</v>
      </c>
      <c r="AD334" s="214">
        <v>28.907579999999999</v>
      </c>
      <c r="AE334" s="214">
        <v>193</v>
      </c>
      <c r="AF334" s="214">
        <v>7.7999999999999996E-3</v>
      </c>
      <c r="AG334" s="214">
        <v>-99</v>
      </c>
      <c r="AH334" s="212" t="s">
        <v>224</v>
      </c>
      <c r="AI334" s="212" t="s">
        <v>449</v>
      </c>
      <c r="AJ334" s="212" t="s">
        <v>313</v>
      </c>
      <c r="AK334" s="212" t="s">
        <v>531</v>
      </c>
      <c r="AL334" s="212" t="s">
        <v>387</v>
      </c>
      <c r="AM334" s="214" t="b">
        <v>1</v>
      </c>
      <c r="AN334" s="214" t="b">
        <v>0</v>
      </c>
      <c r="AO334" s="212" t="s">
        <v>314</v>
      </c>
      <c r="AP334" s="212" t="s">
        <v>315</v>
      </c>
      <c r="AQ334" s="214">
        <v>114.22852</v>
      </c>
      <c r="AR334" s="214" t="b">
        <v>0</v>
      </c>
      <c r="AS334" s="212" t="s">
        <v>534</v>
      </c>
      <c r="AU334" s="222" t="s">
        <v>819</v>
      </c>
    </row>
    <row r="335" spans="1:47" s="218" customFormat="1" x14ac:dyDescent="0.25">
      <c r="A335" s="245">
        <f t="shared" si="47"/>
        <v>335</v>
      </c>
      <c r="B335" s="246" t="str">
        <f t="shared" si="40"/>
        <v>Oil Field - Tank</v>
      </c>
      <c r="C335" s="246" t="str">
        <f ca="1">IF(B335="","",VLOOKUP(D335,'Species Data'!B:E,4,FALSE))</f>
        <v>twometpen</v>
      </c>
      <c r="D335" s="246">
        <f t="shared" ca="1" si="41"/>
        <v>199</v>
      </c>
      <c r="E335" s="246">
        <f t="shared" ca="1" si="42"/>
        <v>2.23E-2</v>
      </c>
      <c r="F335" s="246" t="str">
        <f t="shared" ca="1" si="43"/>
        <v>2-methylpentane (isohexane)</v>
      </c>
      <c r="G335" s="246">
        <f t="shared" ca="1" si="44"/>
        <v>86.175359999999998</v>
      </c>
      <c r="H335" s="204">
        <f ca="1">IF(G335="","",IF(VLOOKUP(Tank!F335,'Species Data'!D:F,3,FALSE)=0,"X",IF(G335&lt;44.1,2,1)))</f>
        <v>1</v>
      </c>
      <c r="I335" s="204">
        <f t="shared" ca="1" si="45"/>
        <v>0.93120227287515311</v>
      </c>
      <c r="J335" s="247">
        <f ca="1">IF(I335="","",IF(COUNTIF($D$12:D335,D335)=1,IF(H335=1,I335*H335,IF(H335="X","X",0)),0))</f>
        <v>0</v>
      </c>
      <c r="K335" s="248">
        <f t="shared" ca="1" si="46"/>
        <v>0</v>
      </c>
      <c r="L335" s="212" t="s">
        <v>679</v>
      </c>
      <c r="M335" s="212" t="s">
        <v>448</v>
      </c>
      <c r="N335" s="212" t="s">
        <v>470</v>
      </c>
      <c r="O335" s="213">
        <v>41419</v>
      </c>
      <c r="P335" s="212" t="s">
        <v>683</v>
      </c>
      <c r="Q335" s="214">
        <v>100</v>
      </c>
      <c r="R335" s="212" t="s">
        <v>445</v>
      </c>
      <c r="S335" s="212" t="s">
        <v>532</v>
      </c>
      <c r="T335" s="212" t="s">
        <v>445</v>
      </c>
      <c r="U335" s="212" t="s">
        <v>446</v>
      </c>
      <c r="V335" s="214" t="b">
        <v>1</v>
      </c>
      <c r="W335" s="214">
        <v>1989</v>
      </c>
      <c r="X335" s="214">
        <v>5</v>
      </c>
      <c r="Y335" s="214">
        <v>2</v>
      </c>
      <c r="Z335" s="214">
        <v>4</v>
      </c>
      <c r="AA335" s="212" t="s">
        <v>447</v>
      </c>
      <c r="AB335" s="212" t="s">
        <v>531</v>
      </c>
      <c r="AC335" s="212" t="s">
        <v>533</v>
      </c>
      <c r="AD335" s="214">
        <v>28.907579999999999</v>
      </c>
      <c r="AE335" s="214">
        <v>199</v>
      </c>
      <c r="AF335" s="214">
        <v>2.23E-2</v>
      </c>
      <c r="AG335" s="214">
        <v>-99</v>
      </c>
      <c r="AH335" s="212" t="s">
        <v>224</v>
      </c>
      <c r="AI335" s="212" t="s">
        <v>449</v>
      </c>
      <c r="AJ335" s="212" t="s">
        <v>319</v>
      </c>
      <c r="AK335" s="212" t="s">
        <v>531</v>
      </c>
      <c r="AL335" s="212" t="s">
        <v>389</v>
      </c>
      <c r="AM335" s="214" t="b">
        <v>1</v>
      </c>
      <c r="AN335" s="214" t="b">
        <v>0</v>
      </c>
      <c r="AO335" s="212" t="s">
        <v>320</v>
      </c>
      <c r="AP335" s="212" t="s">
        <v>321</v>
      </c>
      <c r="AQ335" s="214">
        <v>86.175359999999998</v>
      </c>
      <c r="AR335" s="214" t="b">
        <v>0</v>
      </c>
      <c r="AS335" s="212" t="s">
        <v>534</v>
      </c>
      <c r="AU335" s="222" t="s">
        <v>819</v>
      </c>
    </row>
    <row r="336" spans="1:47" s="218" customFormat="1" x14ac:dyDescent="0.25">
      <c r="A336" s="245">
        <f t="shared" si="47"/>
        <v>336</v>
      </c>
      <c r="B336" s="246" t="str">
        <f t="shared" si="40"/>
        <v>Oil Field - Tank</v>
      </c>
      <c r="C336" s="246" t="str">
        <f ca="1">IF(B336="","",VLOOKUP(D336,'Species Data'!B:E,4,FALSE))</f>
        <v>ethane</v>
      </c>
      <c r="D336" s="246">
        <f t="shared" ca="1" si="41"/>
        <v>438</v>
      </c>
      <c r="E336" s="246">
        <f t="shared" ca="1" si="42"/>
        <v>0.57809999999999995</v>
      </c>
      <c r="F336" s="246" t="str">
        <f t="shared" ca="1" si="43"/>
        <v>Ethane</v>
      </c>
      <c r="G336" s="246">
        <f t="shared" ca="1" si="44"/>
        <v>30.069040000000005</v>
      </c>
      <c r="H336" s="204">
        <f ca="1">IF(G336="","",IF(VLOOKUP(Tank!F336,'Species Data'!D:F,3,FALSE)=0,"X",IF(G336&lt;44.1,2,1)))</f>
        <v>2</v>
      </c>
      <c r="I336" s="204">
        <f t="shared" ca="1" si="45"/>
        <v>5.717421553913586</v>
      </c>
      <c r="J336" s="247">
        <f ca="1">IF(I336="","",IF(COUNTIF($D$12:D336,D336)=1,IF(H336=1,I336*H336,IF(H336="X","X",0)),0))</f>
        <v>0</v>
      </c>
      <c r="K336" s="248">
        <f t="shared" ca="1" si="46"/>
        <v>0</v>
      </c>
      <c r="L336" s="212" t="s">
        <v>679</v>
      </c>
      <c r="M336" s="212" t="s">
        <v>448</v>
      </c>
      <c r="N336" s="212" t="s">
        <v>470</v>
      </c>
      <c r="O336" s="213">
        <v>41419</v>
      </c>
      <c r="P336" s="212" t="s">
        <v>683</v>
      </c>
      <c r="Q336" s="214">
        <v>100</v>
      </c>
      <c r="R336" s="212" t="s">
        <v>445</v>
      </c>
      <c r="S336" s="212" t="s">
        <v>532</v>
      </c>
      <c r="T336" s="212" t="s">
        <v>445</v>
      </c>
      <c r="U336" s="212" t="s">
        <v>446</v>
      </c>
      <c r="V336" s="214" t="b">
        <v>1</v>
      </c>
      <c r="W336" s="214">
        <v>1989</v>
      </c>
      <c r="X336" s="214">
        <v>5</v>
      </c>
      <c r="Y336" s="214">
        <v>2</v>
      </c>
      <c r="Z336" s="214">
        <v>4</v>
      </c>
      <c r="AA336" s="212" t="s">
        <v>447</v>
      </c>
      <c r="AB336" s="212" t="s">
        <v>531</v>
      </c>
      <c r="AC336" s="212" t="s">
        <v>533</v>
      </c>
      <c r="AD336" s="214">
        <v>28.907579999999999</v>
      </c>
      <c r="AE336" s="214">
        <v>438</v>
      </c>
      <c r="AF336" s="214">
        <v>0.57809999999999995</v>
      </c>
      <c r="AG336" s="214">
        <v>-99</v>
      </c>
      <c r="AH336" s="212" t="s">
        <v>224</v>
      </c>
      <c r="AI336" s="212" t="s">
        <v>449</v>
      </c>
      <c r="AJ336" s="212" t="s">
        <v>265</v>
      </c>
      <c r="AK336" s="212" t="s">
        <v>531</v>
      </c>
      <c r="AL336" s="212" t="s">
        <v>374</v>
      </c>
      <c r="AM336" s="214" t="b">
        <v>1</v>
      </c>
      <c r="AN336" s="214" t="b">
        <v>0</v>
      </c>
      <c r="AO336" s="212" t="s">
        <v>266</v>
      </c>
      <c r="AP336" s="212" t="s">
        <v>267</v>
      </c>
      <c r="AQ336" s="214">
        <v>30.069040000000005</v>
      </c>
      <c r="AR336" s="214" t="b">
        <v>1</v>
      </c>
      <c r="AS336" s="212" t="s">
        <v>534</v>
      </c>
      <c r="AU336" s="222" t="s">
        <v>819</v>
      </c>
    </row>
    <row r="337" spans="1:47" s="218" customFormat="1" x14ac:dyDescent="0.25">
      <c r="A337" s="245">
        <f t="shared" si="47"/>
        <v>337</v>
      </c>
      <c r="B337" s="246" t="str">
        <f t="shared" si="40"/>
        <v>Oil Field - Tank</v>
      </c>
      <c r="C337" s="246" t="str">
        <f ca="1">IF(B337="","",VLOOKUP(D337,'Species Data'!B:E,4,FALSE))</f>
        <v>ethyl_benz</v>
      </c>
      <c r="D337" s="246">
        <f t="shared" ca="1" si="41"/>
        <v>449</v>
      </c>
      <c r="E337" s="246">
        <f t="shared" ca="1" si="42"/>
        <v>1.4500000000000001E-2</v>
      </c>
      <c r="F337" s="246" t="str">
        <f t="shared" ca="1" si="43"/>
        <v>Ethylbenzene</v>
      </c>
      <c r="G337" s="246">
        <f t="shared" ca="1" si="44"/>
        <v>106.16500000000001</v>
      </c>
      <c r="H337" s="204">
        <f ca="1">IF(G337="","",IF(VLOOKUP(Tank!F337,'Species Data'!D:F,3,FALSE)=0,"X",IF(G337&lt;44.1,2,1)))</f>
        <v>1</v>
      </c>
      <c r="I337" s="204">
        <f t="shared" ca="1" si="45"/>
        <v>0.12062115796311647</v>
      </c>
      <c r="J337" s="247">
        <f ca="1">IF(I337="","",IF(COUNTIF($D$12:D337,D337)=1,IF(H337=1,I337*H337,IF(H337="X","X",0)),0))</f>
        <v>0</v>
      </c>
      <c r="K337" s="248">
        <f t="shared" ca="1" si="46"/>
        <v>0</v>
      </c>
      <c r="L337" s="212" t="s">
        <v>679</v>
      </c>
      <c r="M337" s="212" t="s">
        <v>448</v>
      </c>
      <c r="N337" s="212" t="s">
        <v>470</v>
      </c>
      <c r="O337" s="213">
        <v>41419</v>
      </c>
      <c r="P337" s="212" t="s">
        <v>683</v>
      </c>
      <c r="Q337" s="214">
        <v>100</v>
      </c>
      <c r="R337" s="212" t="s">
        <v>445</v>
      </c>
      <c r="S337" s="212" t="s">
        <v>532</v>
      </c>
      <c r="T337" s="212" t="s">
        <v>445</v>
      </c>
      <c r="U337" s="212" t="s">
        <v>446</v>
      </c>
      <c r="V337" s="214" t="b">
        <v>1</v>
      </c>
      <c r="W337" s="214">
        <v>1989</v>
      </c>
      <c r="X337" s="214">
        <v>5</v>
      </c>
      <c r="Y337" s="214">
        <v>2</v>
      </c>
      <c r="Z337" s="214">
        <v>4</v>
      </c>
      <c r="AA337" s="212" t="s">
        <v>447</v>
      </c>
      <c r="AB337" s="212" t="s">
        <v>531</v>
      </c>
      <c r="AC337" s="212" t="s">
        <v>533</v>
      </c>
      <c r="AD337" s="214">
        <v>28.907579999999999</v>
      </c>
      <c r="AE337" s="214">
        <v>449</v>
      </c>
      <c r="AF337" s="214">
        <v>1.4500000000000001E-2</v>
      </c>
      <c r="AG337" s="214">
        <v>-99</v>
      </c>
      <c r="AH337" s="212" t="s">
        <v>224</v>
      </c>
      <c r="AI337" s="212" t="s">
        <v>449</v>
      </c>
      <c r="AJ337" s="212" t="s">
        <v>337</v>
      </c>
      <c r="AK337" s="212" t="s">
        <v>531</v>
      </c>
      <c r="AL337" s="212" t="s">
        <v>394</v>
      </c>
      <c r="AM337" s="214" t="b">
        <v>1</v>
      </c>
      <c r="AN337" s="214" t="b">
        <v>1</v>
      </c>
      <c r="AO337" s="212" t="s">
        <v>338</v>
      </c>
      <c r="AP337" s="212" t="s">
        <v>339</v>
      </c>
      <c r="AQ337" s="214">
        <v>106.16500000000001</v>
      </c>
      <c r="AR337" s="214" t="b">
        <v>0</v>
      </c>
      <c r="AS337" s="212" t="s">
        <v>534</v>
      </c>
      <c r="AU337" s="222" t="s">
        <v>819</v>
      </c>
    </row>
    <row r="338" spans="1:47" s="218" customFormat="1" x14ac:dyDescent="0.25">
      <c r="A338" s="245">
        <f t="shared" si="47"/>
        <v>338</v>
      </c>
      <c r="B338" s="246" t="str">
        <f t="shared" si="40"/>
        <v>Oil Field - Tank</v>
      </c>
      <c r="C338" s="246" t="str">
        <f ca="1">IF(B338="","",VLOOKUP(D338,'Species Data'!B:E,4,FALSE))</f>
        <v>isobut</v>
      </c>
      <c r="D338" s="246">
        <f t="shared" ca="1" si="41"/>
        <v>491</v>
      </c>
      <c r="E338" s="246">
        <f t="shared" ca="1" si="42"/>
        <v>3.7499999999999999E-2</v>
      </c>
      <c r="F338" s="246" t="str">
        <f t="shared" ca="1" si="43"/>
        <v>Isobutane</v>
      </c>
      <c r="G338" s="246">
        <f t="shared" ca="1" si="44"/>
        <v>58.122199999999992</v>
      </c>
      <c r="H338" s="204">
        <f ca="1">IF(G338="","",IF(VLOOKUP(Tank!F338,'Species Data'!D:F,3,FALSE)=0,"X",IF(G338&lt;44.1,2,1)))</f>
        <v>1</v>
      </c>
      <c r="I338" s="204">
        <f t="shared" ca="1" si="45"/>
        <v>3.2562712602040991</v>
      </c>
      <c r="J338" s="247">
        <f ca="1">IF(I338="","",IF(COUNTIF($D$12:D338,D338)=1,IF(H338=1,I338*H338,IF(H338="X","X",0)),0))</f>
        <v>0</v>
      </c>
      <c r="K338" s="248">
        <f t="shared" ca="1" si="46"/>
        <v>0</v>
      </c>
      <c r="L338" s="212" t="s">
        <v>679</v>
      </c>
      <c r="M338" s="212" t="s">
        <v>448</v>
      </c>
      <c r="N338" s="212" t="s">
        <v>470</v>
      </c>
      <c r="O338" s="213">
        <v>41419</v>
      </c>
      <c r="P338" s="212" t="s">
        <v>683</v>
      </c>
      <c r="Q338" s="214">
        <v>100</v>
      </c>
      <c r="R338" s="212" t="s">
        <v>445</v>
      </c>
      <c r="S338" s="212" t="s">
        <v>532</v>
      </c>
      <c r="T338" s="212" t="s">
        <v>445</v>
      </c>
      <c r="U338" s="212" t="s">
        <v>446</v>
      </c>
      <c r="V338" s="214" t="b">
        <v>1</v>
      </c>
      <c r="W338" s="214">
        <v>1989</v>
      </c>
      <c r="X338" s="214">
        <v>5</v>
      </c>
      <c r="Y338" s="214">
        <v>2</v>
      </c>
      <c r="Z338" s="214">
        <v>4</v>
      </c>
      <c r="AA338" s="212" t="s">
        <v>447</v>
      </c>
      <c r="AB338" s="212" t="s">
        <v>531</v>
      </c>
      <c r="AC338" s="212" t="s">
        <v>533</v>
      </c>
      <c r="AD338" s="214">
        <v>28.907579999999999</v>
      </c>
      <c r="AE338" s="214">
        <v>491</v>
      </c>
      <c r="AF338" s="214">
        <v>3.7499999999999999E-2</v>
      </c>
      <c r="AG338" s="214">
        <v>-99</v>
      </c>
      <c r="AH338" s="212" t="s">
        <v>224</v>
      </c>
      <c r="AI338" s="212" t="s">
        <v>449</v>
      </c>
      <c r="AJ338" s="212" t="s">
        <v>268</v>
      </c>
      <c r="AK338" s="212" t="s">
        <v>531</v>
      </c>
      <c r="AL338" s="212" t="s">
        <v>375</v>
      </c>
      <c r="AM338" s="214" t="b">
        <v>1</v>
      </c>
      <c r="AN338" s="214" t="b">
        <v>0</v>
      </c>
      <c r="AO338" s="212" t="s">
        <v>269</v>
      </c>
      <c r="AP338" s="212" t="s">
        <v>270</v>
      </c>
      <c r="AQ338" s="214">
        <v>58.122199999999992</v>
      </c>
      <c r="AR338" s="214" t="b">
        <v>0</v>
      </c>
      <c r="AS338" s="212" t="s">
        <v>534</v>
      </c>
      <c r="AU338" s="222" t="s">
        <v>819</v>
      </c>
    </row>
    <row r="339" spans="1:47" s="218" customFormat="1" x14ac:dyDescent="0.25">
      <c r="A339" s="245">
        <f t="shared" si="47"/>
        <v>339</v>
      </c>
      <c r="B339" s="246" t="str">
        <f t="shared" si="40"/>
        <v>Oil Field - Tank</v>
      </c>
      <c r="C339" s="246" t="str">
        <f ca="1">IF(B339="","",VLOOKUP(D339,'Species Data'!B:E,4,FALSE))</f>
        <v>isopentane</v>
      </c>
      <c r="D339" s="246">
        <f t="shared" ca="1" si="41"/>
        <v>508</v>
      </c>
      <c r="E339" s="246">
        <f t="shared" ca="1" si="42"/>
        <v>5.3499999999999999E-2</v>
      </c>
      <c r="F339" s="246" t="str">
        <f t="shared" ca="1" si="43"/>
        <v>Isopentane (2-Methylbutane)</v>
      </c>
      <c r="G339" s="246">
        <f t="shared" ca="1" si="44"/>
        <v>72.148780000000002</v>
      </c>
      <c r="H339" s="204">
        <f ca="1">IF(G339="","",IF(VLOOKUP(Tank!F339,'Species Data'!D:F,3,FALSE)=0,"X",IF(G339&lt;44.1,2,1)))</f>
        <v>1</v>
      </c>
      <c r="I339" s="204">
        <f t="shared" ca="1" si="45"/>
        <v>3.397999287459827</v>
      </c>
      <c r="J339" s="247">
        <f ca="1">IF(I339="","",IF(COUNTIF($D$12:D339,D339)=1,IF(H339=1,I339*H339,IF(H339="X","X",0)),0))</f>
        <v>0</v>
      </c>
      <c r="K339" s="248">
        <f t="shared" ca="1" si="46"/>
        <v>0</v>
      </c>
      <c r="L339" s="212" t="s">
        <v>679</v>
      </c>
      <c r="M339" s="212" t="s">
        <v>448</v>
      </c>
      <c r="N339" s="212" t="s">
        <v>470</v>
      </c>
      <c r="O339" s="213">
        <v>41419</v>
      </c>
      <c r="P339" s="212" t="s">
        <v>683</v>
      </c>
      <c r="Q339" s="214">
        <v>100</v>
      </c>
      <c r="R339" s="212" t="s">
        <v>445</v>
      </c>
      <c r="S339" s="212" t="s">
        <v>532</v>
      </c>
      <c r="T339" s="212" t="s">
        <v>445</v>
      </c>
      <c r="U339" s="212" t="s">
        <v>446</v>
      </c>
      <c r="V339" s="214" t="b">
        <v>1</v>
      </c>
      <c r="W339" s="214">
        <v>1989</v>
      </c>
      <c r="X339" s="214">
        <v>5</v>
      </c>
      <c r="Y339" s="214">
        <v>2</v>
      </c>
      <c r="Z339" s="214">
        <v>4</v>
      </c>
      <c r="AA339" s="212" t="s">
        <v>447</v>
      </c>
      <c r="AB339" s="212" t="s">
        <v>531</v>
      </c>
      <c r="AC339" s="212" t="s">
        <v>533</v>
      </c>
      <c r="AD339" s="214">
        <v>28.907579999999999</v>
      </c>
      <c r="AE339" s="214">
        <v>508</v>
      </c>
      <c r="AF339" s="214">
        <v>5.3499999999999999E-2</v>
      </c>
      <c r="AG339" s="214">
        <v>-99</v>
      </c>
      <c r="AH339" s="212" t="s">
        <v>224</v>
      </c>
      <c r="AI339" s="212" t="s">
        <v>449</v>
      </c>
      <c r="AJ339" s="212" t="s">
        <v>342</v>
      </c>
      <c r="AK339" s="212" t="s">
        <v>531</v>
      </c>
      <c r="AL339" s="212" t="s">
        <v>395</v>
      </c>
      <c r="AM339" s="214" t="b">
        <v>1</v>
      </c>
      <c r="AN339" s="214" t="b">
        <v>0</v>
      </c>
      <c r="AO339" s="212" t="s">
        <v>343</v>
      </c>
      <c r="AP339" s="212" t="s">
        <v>344</v>
      </c>
      <c r="AQ339" s="214">
        <v>72.148780000000002</v>
      </c>
      <c r="AR339" s="214" t="b">
        <v>0</v>
      </c>
      <c r="AS339" s="212" t="s">
        <v>534</v>
      </c>
      <c r="AU339" s="222" t="s">
        <v>819</v>
      </c>
    </row>
    <row r="340" spans="1:47" s="218" customFormat="1" x14ac:dyDescent="0.25">
      <c r="A340" s="245">
        <f t="shared" si="47"/>
        <v>340</v>
      </c>
      <c r="B340" s="246" t="str">
        <f t="shared" si="40"/>
        <v>Oil Field - Tank</v>
      </c>
      <c r="C340" s="246" t="str">
        <f ca="1">IF(B340="","",VLOOKUP(D340,'Species Data'!B:E,4,FALSE))</f>
        <v>methane</v>
      </c>
      <c r="D340" s="246">
        <f t="shared" ca="1" si="41"/>
        <v>529</v>
      </c>
      <c r="E340" s="246">
        <f t="shared" ca="1" si="42"/>
        <v>95.962599999999995</v>
      </c>
      <c r="F340" s="246" t="str">
        <f t="shared" ca="1" si="43"/>
        <v>Methane</v>
      </c>
      <c r="G340" s="246">
        <f t="shared" ca="1" si="44"/>
        <v>16.042459999999998</v>
      </c>
      <c r="H340" s="204">
        <f ca="1">IF(G340="","",IF(VLOOKUP(Tank!F340,'Species Data'!D:F,3,FALSE)=0,"X",IF(G340&lt;44.1,2,1)))</f>
        <v>2</v>
      </c>
      <c r="I340" s="204">
        <f t="shared" ca="1" si="45"/>
        <v>44.518760713436194</v>
      </c>
      <c r="J340" s="247">
        <f ca="1">IF(I340="","",IF(COUNTIF($D$12:D340,D340)=1,IF(H340=1,I340*H340,IF(H340="X","X",0)),0))</f>
        <v>0</v>
      </c>
      <c r="K340" s="248">
        <f t="shared" ca="1" si="46"/>
        <v>0</v>
      </c>
      <c r="L340" s="212" t="s">
        <v>679</v>
      </c>
      <c r="M340" s="212" t="s">
        <v>448</v>
      </c>
      <c r="N340" s="212" t="s">
        <v>470</v>
      </c>
      <c r="O340" s="213">
        <v>41419</v>
      </c>
      <c r="P340" s="212" t="s">
        <v>683</v>
      </c>
      <c r="Q340" s="214">
        <v>100</v>
      </c>
      <c r="R340" s="212" t="s">
        <v>445</v>
      </c>
      <c r="S340" s="212" t="s">
        <v>532</v>
      </c>
      <c r="T340" s="212" t="s">
        <v>445</v>
      </c>
      <c r="U340" s="212" t="s">
        <v>446</v>
      </c>
      <c r="V340" s="214" t="b">
        <v>1</v>
      </c>
      <c r="W340" s="214">
        <v>1989</v>
      </c>
      <c r="X340" s="214">
        <v>5</v>
      </c>
      <c r="Y340" s="214">
        <v>2</v>
      </c>
      <c r="Z340" s="214">
        <v>4</v>
      </c>
      <c r="AA340" s="212" t="s">
        <v>447</v>
      </c>
      <c r="AB340" s="212" t="s">
        <v>531</v>
      </c>
      <c r="AC340" s="212" t="s">
        <v>533</v>
      </c>
      <c r="AD340" s="214">
        <v>28.907579999999999</v>
      </c>
      <c r="AE340" s="214">
        <v>529</v>
      </c>
      <c r="AF340" s="214">
        <v>95.962599999999995</v>
      </c>
      <c r="AG340" s="214">
        <v>-99</v>
      </c>
      <c r="AH340" s="212" t="s">
        <v>224</v>
      </c>
      <c r="AI340" s="212" t="s">
        <v>449</v>
      </c>
      <c r="AJ340" s="212" t="s">
        <v>271</v>
      </c>
      <c r="AK340" s="212" t="s">
        <v>531</v>
      </c>
      <c r="AL340" s="212" t="s">
        <v>376</v>
      </c>
      <c r="AM340" s="214" t="b">
        <v>0</v>
      </c>
      <c r="AN340" s="214" t="b">
        <v>0</v>
      </c>
      <c r="AO340" s="212" t="s">
        <v>272</v>
      </c>
      <c r="AP340" s="212" t="s">
        <v>531</v>
      </c>
      <c r="AQ340" s="214">
        <v>16.042459999999998</v>
      </c>
      <c r="AR340" s="214" t="b">
        <v>1</v>
      </c>
      <c r="AS340" s="212" t="s">
        <v>534</v>
      </c>
      <c r="AU340" s="222" t="s">
        <v>819</v>
      </c>
    </row>
    <row r="341" spans="1:47" s="218" customFormat="1" x14ac:dyDescent="0.25">
      <c r="A341" s="245">
        <f t="shared" si="47"/>
        <v>341</v>
      </c>
      <c r="B341" s="246" t="str">
        <f t="shared" si="40"/>
        <v>Oil Field - Tank</v>
      </c>
      <c r="C341" s="246" t="str">
        <f ca="1">IF(B341="","",VLOOKUP(D341,'Species Data'!B:E,4,FALSE))</f>
        <v>methcycpen</v>
      </c>
      <c r="D341" s="246">
        <f t="shared" ca="1" si="41"/>
        <v>551</v>
      </c>
      <c r="E341" s="246">
        <f t="shared" ca="1" si="42"/>
        <v>5.7000000000000002E-3</v>
      </c>
      <c r="F341" s="246" t="str">
        <f t="shared" ca="1" si="43"/>
        <v>Methylcyclopentane</v>
      </c>
      <c r="G341" s="246">
        <f t="shared" ca="1" si="44"/>
        <v>84.159480000000002</v>
      </c>
      <c r="H341" s="204">
        <f ca="1">IF(G341="","",IF(VLOOKUP(Tank!F341,'Species Data'!D:F,3,FALSE)=0,"X",IF(G341&lt;44.1,2,1)))</f>
        <v>1</v>
      </c>
      <c r="I341" s="204">
        <f t="shared" ca="1" si="45"/>
        <v>1.4788275300776224</v>
      </c>
      <c r="J341" s="247">
        <f ca="1">IF(I341="","",IF(COUNTIF($D$12:D341,D341)=1,IF(H341=1,I341*H341,IF(H341="X","X",0)),0))</f>
        <v>0</v>
      </c>
      <c r="K341" s="248">
        <f t="shared" ca="1" si="46"/>
        <v>0</v>
      </c>
      <c r="L341" s="212" t="s">
        <v>679</v>
      </c>
      <c r="M341" s="212" t="s">
        <v>448</v>
      </c>
      <c r="N341" s="212" t="s">
        <v>470</v>
      </c>
      <c r="O341" s="213">
        <v>41419</v>
      </c>
      <c r="P341" s="212" t="s">
        <v>683</v>
      </c>
      <c r="Q341" s="214">
        <v>100</v>
      </c>
      <c r="R341" s="212" t="s">
        <v>445</v>
      </c>
      <c r="S341" s="212" t="s">
        <v>532</v>
      </c>
      <c r="T341" s="212" t="s">
        <v>445</v>
      </c>
      <c r="U341" s="212" t="s">
        <v>446</v>
      </c>
      <c r="V341" s="214" t="b">
        <v>1</v>
      </c>
      <c r="W341" s="214">
        <v>1989</v>
      </c>
      <c r="X341" s="214">
        <v>5</v>
      </c>
      <c r="Y341" s="214">
        <v>2</v>
      </c>
      <c r="Z341" s="214">
        <v>4</v>
      </c>
      <c r="AA341" s="212" t="s">
        <v>447</v>
      </c>
      <c r="AB341" s="212" t="s">
        <v>531</v>
      </c>
      <c r="AC341" s="212" t="s">
        <v>533</v>
      </c>
      <c r="AD341" s="214">
        <v>28.907579999999999</v>
      </c>
      <c r="AE341" s="214">
        <v>551</v>
      </c>
      <c r="AF341" s="214">
        <v>5.7000000000000002E-3</v>
      </c>
      <c r="AG341" s="214">
        <v>-99</v>
      </c>
      <c r="AH341" s="212" t="s">
        <v>224</v>
      </c>
      <c r="AI341" s="212" t="s">
        <v>449</v>
      </c>
      <c r="AJ341" s="212" t="s">
        <v>351</v>
      </c>
      <c r="AK341" s="212" t="s">
        <v>531</v>
      </c>
      <c r="AL341" s="212" t="s">
        <v>397</v>
      </c>
      <c r="AM341" s="214" t="b">
        <v>1</v>
      </c>
      <c r="AN341" s="214" t="b">
        <v>0</v>
      </c>
      <c r="AO341" s="212" t="s">
        <v>352</v>
      </c>
      <c r="AP341" s="212" t="s">
        <v>353</v>
      </c>
      <c r="AQ341" s="214">
        <v>84.159480000000002</v>
      </c>
      <c r="AR341" s="214" t="b">
        <v>0</v>
      </c>
      <c r="AS341" s="212" t="s">
        <v>534</v>
      </c>
      <c r="AU341" s="222" t="s">
        <v>819</v>
      </c>
    </row>
    <row r="342" spans="1:47" s="218" customFormat="1" x14ac:dyDescent="0.25">
      <c r="A342" s="245">
        <f t="shared" si="47"/>
        <v>342</v>
      </c>
      <c r="B342" s="246" t="str">
        <f t="shared" si="40"/>
        <v>Oil Field - Tank</v>
      </c>
      <c r="C342" s="246" t="str">
        <f ca="1">IF(B342="","",VLOOKUP(D342,'Species Data'!B:E,4,FALSE))</f>
        <v>N_but</v>
      </c>
      <c r="D342" s="246">
        <f t="shared" ca="1" si="41"/>
        <v>592</v>
      </c>
      <c r="E342" s="246">
        <f t="shared" ca="1" si="42"/>
        <v>0.12280000000000001</v>
      </c>
      <c r="F342" s="246" t="str">
        <f t="shared" ca="1" si="43"/>
        <v>N-butane</v>
      </c>
      <c r="G342" s="246">
        <f t="shared" ca="1" si="44"/>
        <v>58.122199999999992</v>
      </c>
      <c r="H342" s="204">
        <f ca="1">IF(G342="","",IF(VLOOKUP(Tank!F342,'Species Data'!D:F,3,FALSE)=0,"X",IF(G342&lt;44.1,2,1)))</f>
        <v>1</v>
      </c>
      <c r="I342" s="204">
        <f t="shared" ca="1" si="45"/>
        <v>8.8589583793337763</v>
      </c>
      <c r="J342" s="247">
        <f ca="1">IF(I342="","",IF(COUNTIF($D$12:D342,D342)=1,IF(H342=1,I342*H342,IF(H342="X","X",0)),0))</f>
        <v>0</v>
      </c>
      <c r="K342" s="248">
        <f t="shared" ca="1" si="46"/>
        <v>0</v>
      </c>
      <c r="L342" s="212" t="s">
        <v>679</v>
      </c>
      <c r="M342" s="212" t="s">
        <v>448</v>
      </c>
      <c r="N342" s="212" t="s">
        <v>470</v>
      </c>
      <c r="O342" s="213">
        <v>41419</v>
      </c>
      <c r="P342" s="212" t="s">
        <v>683</v>
      </c>
      <c r="Q342" s="214">
        <v>100</v>
      </c>
      <c r="R342" s="212" t="s">
        <v>445</v>
      </c>
      <c r="S342" s="212" t="s">
        <v>532</v>
      </c>
      <c r="T342" s="212" t="s">
        <v>445</v>
      </c>
      <c r="U342" s="212" t="s">
        <v>446</v>
      </c>
      <c r="V342" s="214" t="b">
        <v>1</v>
      </c>
      <c r="W342" s="214">
        <v>1989</v>
      </c>
      <c r="X342" s="214">
        <v>5</v>
      </c>
      <c r="Y342" s="214">
        <v>2</v>
      </c>
      <c r="Z342" s="214">
        <v>4</v>
      </c>
      <c r="AA342" s="212" t="s">
        <v>447</v>
      </c>
      <c r="AB342" s="212" t="s">
        <v>531</v>
      </c>
      <c r="AC342" s="212" t="s">
        <v>533</v>
      </c>
      <c r="AD342" s="214">
        <v>28.907579999999999</v>
      </c>
      <c r="AE342" s="214">
        <v>592</v>
      </c>
      <c r="AF342" s="214">
        <v>0.12280000000000001</v>
      </c>
      <c r="AG342" s="214">
        <v>-99</v>
      </c>
      <c r="AH342" s="212" t="s">
        <v>224</v>
      </c>
      <c r="AI342" s="212" t="s">
        <v>449</v>
      </c>
      <c r="AJ342" s="212" t="s">
        <v>273</v>
      </c>
      <c r="AK342" s="212" t="s">
        <v>531</v>
      </c>
      <c r="AL342" s="212" t="s">
        <v>377</v>
      </c>
      <c r="AM342" s="214" t="b">
        <v>1</v>
      </c>
      <c r="AN342" s="214" t="b">
        <v>0</v>
      </c>
      <c r="AO342" s="212" t="s">
        <v>274</v>
      </c>
      <c r="AP342" s="212" t="s">
        <v>275</v>
      </c>
      <c r="AQ342" s="214">
        <v>58.122199999999992</v>
      </c>
      <c r="AR342" s="214" t="b">
        <v>0</v>
      </c>
      <c r="AS342" s="212" t="s">
        <v>534</v>
      </c>
      <c r="AU342" s="222" t="s">
        <v>819</v>
      </c>
    </row>
    <row r="343" spans="1:47" s="218" customFormat="1" x14ac:dyDescent="0.25">
      <c r="A343" s="245">
        <f t="shared" si="47"/>
        <v>343</v>
      </c>
      <c r="B343" s="246" t="str">
        <f t="shared" si="40"/>
        <v>Oil Field - Tank</v>
      </c>
      <c r="C343" s="246" t="str">
        <f ca="1">IF(B343="","",VLOOKUP(D343,'Species Data'!B:E,4,FALSE))</f>
        <v>N_dec</v>
      </c>
      <c r="D343" s="246">
        <f t="shared" ca="1" si="41"/>
        <v>598</v>
      </c>
      <c r="E343" s="246">
        <f t="shared" ca="1" si="42"/>
        <v>1.84E-2</v>
      </c>
      <c r="F343" s="246" t="str">
        <f t="shared" ca="1" si="43"/>
        <v>N-decane</v>
      </c>
      <c r="G343" s="246">
        <f t="shared" ca="1" si="44"/>
        <v>142.28167999999999</v>
      </c>
      <c r="H343" s="204">
        <f ca="1">IF(G343="","",IF(VLOOKUP(Tank!F343,'Species Data'!D:F,3,FALSE)=0,"X",IF(G343&lt;44.1,2,1)))</f>
        <v>1</v>
      </c>
      <c r="I343" s="204">
        <f t="shared" ca="1" si="45"/>
        <v>1.7526834924281948E-2</v>
      </c>
      <c r="J343" s="247">
        <f ca="1">IF(I343="","",IF(COUNTIF($D$12:D343,D343)=1,IF(H343=1,I343*H343,IF(H343="X","X",0)),0))</f>
        <v>0</v>
      </c>
      <c r="K343" s="248">
        <f t="shared" ca="1" si="46"/>
        <v>0</v>
      </c>
      <c r="L343" s="212" t="s">
        <v>679</v>
      </c>
      <c r="M343" s="212" t="s">
        <v>448</v>
      </c>
      <c r="N343" s="212" t="s">
        <v>470</v>
      </c>
      <c r="O343" s="213">
        <v>41419</v>
      </c>
      <c r="P343" s="212" t="s">
        <v>683</v>
      </c>
      <c r="Q343" s="214">
        <v>100</v>
      </c>
      <c r="R343" s="212" t="s">
        <v>445</v>
      </c>
      <c r="S343" s="212" t="s">
        <v>532</v>
      </c>
      <c r="T343" s="212" t="s">
        <v>445</v>
      </c>
      <c r="U343" s="212" t="s">
        <v>446</v>
      </c>
      <c r="V343" s="214" t="b">
        <v>1</v>
      </c>
      <c r="W343" s="214">
        <v>1989</v>
      </c>
      <c r="X343" s="214">
        <v>5</v>
      </c>
      <c r="Y343" s="214">
        <v>2</v>
      </c>
      <c r="Z343" s="214">
        <v>4</v>
      </c>
      <c r="AA343" s="212" t="s">
        <v>447</v>
      </c>
      <c r="AB343" s="212" t="s">
        <v>531</v>
      </c>
      <c r="AC343" s="212" t="s">
        <v>533</v>
      </c>
      <c r="AD343" s="214">
        <v>28.907579999999999</v>
      </c>
      <c r="AE343" s="214">
        <v>598</v>
      </c>
      <c r="AF343" s="214">
        <v>1.84E-2</v>
      </c>
      <c r="AG343" s="214">
        <v>-99</v>
      </c>
      <c r="AH343" s="212" t="s">
        <v>224</v>
      </c>
      <c r="AI343" s="212" t="s">
        <v>449</v>
      </c>
      <c r="AJ343" s="212" t="s">
        <v>414</v>
      </c>
      <c r="AK343" s="212" t="s">
        <v>531</v>
      </c>
      <c r="AL343" s="212" t="s">
        <v>452</v>
      </c>
      <c r="AM343" s="214" t="b">
        <v>1</v>
      </c>
      <c r="AN343" s="214" t="b">
        <v>0</v>
      </c>
      <c r="AO343" s="212" t="s">
        <v>415</v>
      </c>
      <c r="AP343" s="212" t="s">
        <v>416</v>
      </c>
      <c r="AQ343" s="214">
        <v>142.28167999999999</v>
      </c>
      <c r="AR343" s="214" t="b">
        <v>0</v>
      </c>
      <c r="AS343" s="212" t="s">
        <v>534</v>
      </c>
      <c r="AU343" s="222" t="s">
        <v>819</v>
      </c>
    </row>
    <row r="344" spans="1:47" s="218" customFormat="1" x14ac:dyDescent="0.25">
      <c r="A344" s="245">
        <f t="shared" si="47"/>
        <v>344</v>
      </c>
      <c r="B344" s="246" t="str">
        <f t="shared" si="40"/>
        <v>Oil Field - Tank</v>
      </c>
      <c r="C344" s="246" t="str">
        <f ca="1">IF(B344="","",VLOOKUP(D344,'Species Data'!B:E,4,FALSE))</f>
        <v>N_hex</v>
      </c>
      <c r="D344" s="246">
        <f t="shared" ca="1" si="41"/>
        <v>601</v>
      </c>
      <c r="E344" s="246">
        <f t="shared" ca="1" si="42"/>
        <v>2.06E-2</v>
      </c>
      <c r="F344" s="246" t="str">
        <f t="shared" ca="1" si="43"/>
        <v>N-hexane</v>
      </c>
      <c r="G344" s="246">
        <f t="shared" ca="1" si="44"/>
        <v>86.175359999999998</v>
      </c>
      <c r="H344" s="204">
        <f ca="1">IF(G344="","",IF(VLOOKUP(Tank!F344,'Species Data'!D:F,3,FALSE)=0,"X",IF(G344&lt;44.1,2,1)))</f>
        <v>1</v>
      </c>
      <c r="I344" s="204">
        <f t="shared" ca="1" si="45"/>
        <v>1.4244870084086145</v>
      </c>
      <c r="J344" s="247">
        <f ca="1">IF(I344="","",IF(COUNTIF($D$12:D344,D344)=1,IF(H344=1,I344*H344,IF(H344="X","X",0)),0))</f>
        <v>0</v>
      </c>
      <c r="K344" s="248">
        <f t="shared" ca="1" si="46"/>
        <v>0</v>
      </c>
      <c r="L344" s="212" t="s">
        <v>679</v>
      </c>
      <c r="M344" s="212" t="s">
        <v>448</v>
      </c>
      <c r="N344" s="212" t="s">
        <v>470</v>
      </c>
      <c r="O344" s="213">
        <v>41419</v>
      </c>
      <c r="P344" s="212" t="s">
        <v>683</v>
      </c>
      <c r="Q344" s="214">
        <v>100</v>
      </c>
      <c r="R344" s="212" t="s">
        <v>445</v>
      </c>
      <c r="S344" s="212" t="s">
        <v>532</v>
      </c>
      <c r="T344" s="212" t="s">
        <v>445</v>
      </c>
      <c r="U344" s="212" t="s">
        <v>446</v>
      </c>
      <c r="V344" s="214" t="b">
        <v>1</v>
      </c>
      <c r="W344" s="214">
        <v>1989</v>
      </c>
      <c r="X344" s="214">
        <v>5</v>
      </c>
      <c r="Y344" s="214">
        <v>2</v>
      </c>
      <c r="Z344" s="214">
        <v>4</v>
      </c>
      <c r="AA344" s="212" t="s">
        <v>447</v>
      </c>
      <c r="AB344" s="212" t="s">
        <v>531</v>
      </c>
      <c r="AC344" s="212" t="s">
        <v>533</v>
      </c>
      <c r="AD344" s="214">
        <v>28.907579999999999</v>
      </c>
      <c r="AE344" s="214">
        <v>601</v>
      </c>
      <c r="AF344" s="214">
        <v>2.06E-2</v>
      </c>
      <c r="AG344" s="214">
        <v>-99</v>
      </c>
      <c r="AH344" s="212" t="s">
        <v>224</v>
      </c>
      <c r="AI344" s="212" t="s">
        <v>449</v>
      </c>
      <c r="AJ344" s="212" t="s">
        <v>279</v>
      </c>
      <c r="AK344" s="212" t="s">
        <v>531</v>
      </c>
      <c r="AL344" s="212" t="s">
        <v>379</v>
      </c>
      <c r="AM344" s="214" t="b">
        <v>1</v>
      </c>
      <c r="AN344" s="214" t="b">
        <v>1</v>
      </c>
      <c r="AO344" s="212" t="s">
        <v>280</v>
      </c>
      <c r="AP344" s="212" t="s">
        <v>281</v>
      </c>
      <c r="AQ344" s="214">
        <v>86.175359999999998</v>
      </c>
      <c r="AR344" s="214" t="b">
        <v>0</v>
      </c>
      <c r="AS344" s="212" t="s">
        <v>534</v>
      </c>
      <c r="AU344" s="222" t="s">
        <v>819</v>
      </c>
    </row>
    <row r="345" spans="1:47" s="218" customFormat="1" x14ac:dyDescent="0.25">
      <c r="A345" s="245">
        <f t="shared" si="47"/>
        <v>345</v>
      </c>
      <c r="B345" s="246" t="str">
        <f t="shared" si="40"/>
        <v>Oil Field - Tank</v>
      </c>
      <c r="C345" s="246" t="str">
        <f ca="1">IF(B345="","",VLOOKUP(D345,'Species Data'!B:E,4,FALSE))</f>
        <v>N_nonane</v>
      </c>
      <c r="D345" s="246">
        <f t="shared" ca="1" si="41"/>
        <v>603</v>
      </c>
      <c r="E345" s="246">
        <f t="shared" ca="1" si="42"/>
        <v>9.4999999999999998E-3</v>
      </c>
      <c r="F345" s="246" t="str">
        <f t="shared" ca="1" si="43"/>
        <v>N-nonane</v>
      </c>
      <c r="G345" s="246">
        <f t="shared" ca="1" si="44"/>
        <v>128.2551</v>
      </c>
      <c r="H345" s="204">
        <f ca="1">IF(G345="","",IF(VLOOKUP(Tank!F345,'Species Data'!D:F,3,FALSE)=0,"X",IF(G345&lt;44.1,2,1)))</f>
        <v>1</v>
      </c>
      <c r="I345" s="204">
        <f t="shared" ca="1" si="45"/>
        <v>6.0467247152239355E-2</v>
      </c>
      <c r="J345" s="247">
        <f ca="1">IF(I345="","",IF(COUNTIF($D$12:D345,D345)=1,IF(H345=1,I345*H345,IF(H345="X","X",0)),0))</f>
        <v>0</v>
      </c>
      <c r="K345" s="248">
        <f t="shared" ca="1" si="46"/>
        <v>0</v>
      </c>
      <c r="L345" s="212" t="s">
        <v>679</v>
      </c>
      <c r="M345" s="212" t="s">
        <v>448</v>
      </c>
      <c r="N345" s="212" t="s">
        <v>470</v>
      </c>
      <c r="O345" s="213">
        <v>41419</v>
      </c>
      <c r="P345" s="212" t="s">
        <v>683</v>
      </c>
      <c r="Q345" s="214">
        <v>100</v>
      </c>
      <c r="R345" s="212" t="s">
        <v>445</v>
      </c>
      <c r="S345" s="212" t="s">
        <v>532</v>
      </c>
      <c r="T345" s="212" t="s">
        <v>445</v>
      </c>
      <c r="U345" s="212" t="s">
        <v>446</v>
      </c>
      <c r="V345" s="214" t="b">
        <v>1</v>
      </c>
      <c r="W345" s="214">
        <v>1989</v>
      </c>
      <c r="X345" s="214">
        <v>5</v>
      </c>
      <c r="Y345" s="214">
        <v>2</v>
      </c>
      <c r="Z345" s="214">
        <v>4</v>
      </c>
      <c r="AA345" s="212" t="s">
        <v>447</v>
      </c>
      <c r="AB345" s="212" t="s">
        <v>531</v>
      </c>
      <c r="AC345" s="212" t="s">
        <v>533</v>
      </c>
      <c r="AD345" s="214">
        <v>28.907579999999999</v>
      </c>
      <c r="AE345" s="214">
        <v>603</v>
      </c>
      <c r="AF345" s="214">
        <v>9.4999999999999998E-3</v>
      </c>
      <c r="AG345" s="214">
        <v>-99</v>
      </c>
      <c r="AH345" s="212" t="s">
        <v>224</v>
      </c>
      <c r="AI345" s="212" t="s">
        <v>449</v>
      </c>
      <c r="AJ345" s="212" t="s">
        <v>417</v>
      </c>
      <c r="AK345" s="212" t="s">
        <v>531</v>
      </c>
      <c r="AL345" s="212" t="s">
        <v>453</v>
      </c>
      <c r="AM345" s="214" t="b">
        <v>1</v>
      </c>
      <c r="AN345" s="214" t="b">
        <v>0</v>
      </c>
      <c r="AO345" s="212" t="s">
        <v>418</v>
      </c>
      <c r="AP345" s="212" t="s">
        <v>419</v>
      </c>
      <c r="AQ345" s="214">
        <v>128.2551</v>
      </c>
      <c r="AR345" s="214" t="b">
        <v>0</v>
      </c>
      <c r="AS345" s="212" t="s">
        <v>534</v>
      </c>
      <c r="AU345" s="222" t="s">
        <v>819</v>
      </c>
    </row>
    <row r="346" spans="1:47" s="218" customFormat="1" x14ac:dyDescent="0.25">
      <c r="A346" s="245">
        <f t="shared" si="47"/>
        <v>346</v>
      </c>
      <c r="B346" s="246" t="str">
        <f t="shared" si="40"/>
        <v>Oil Field - Tank</v>
      </c>
      <c r="C346" s="246" t="str">
        <f ca="1">IF(B346="","",VLOOKUP(D346,'Species Data'!B:E,4,FALSE))</f>
        <v>N_octane</v>
      </c>
      <c r="D346" s="246">
        <f t="shared" ca="1" si="41"/>
        <v>604</v>
      </c>
      <c r="E346" s="246">
        <f t="shared" ca="1" si="42"/>
        <v>8.8000000000000005E-3</v>
      </c>
      <c r="F346" s="246" t="str">
        <f t="shared" ca="1" si="43"/>
        <v>N-octane</v>
      </c>
      <c r="G346" s="246">
        <f t="shared" ca="1" si="44"/>
        <v>114.22852</v>
      </c>
      <c r="H346" s="204">
        <f ca="1">IF(G346="","",IF(VLOOKUP(Tank!F346,'Species Data'!D:F,3,FALSE)=0,"X",IF(G346&lt;44.1,2,1)))</f>
        <v>1</v>
      </c>
      <c r="I346" s="204">
        <f t="shared" ca="1" si="45"/>
        <v>0.21590207265989761</v>
      </c>
      <c r="J346" s="247">
        <f ca="1">IF(I346="","",IF(COUNTIF($D$12:D346,D346)=1,IF(H346=1,I346*H346,IF(H346="X","X",0)),0))</f>
        <v>0</v>
      </c>
      <c r="K346" s="248">
        <f t="shared" ca="1" si="46"/>
        <v>0</v>
      </c>
      <c r="L346" s="212" t="s">
        <v>679</v>
      </c>
      <c r="M346" s="212" t="s">
        <v>448</v>
      </c>
      <c r="N346" s="212" t="s">
        <v>470</v>
      </c>
      <c r="O346" s="213">
        <v>41419</v>
      </c>
      <c r="P346" s="212" t="s">
        <v>683</v>
      </c>
      <c r="Q346" s="214">
        <v>100</v>
      </c>
      <c r="R346" s="212" t="s">
        <v>445</v>
      </c>
      <c r="S346" s="212" t="s">
        <v>532</v>
      </c>
      <c r="T346" s="212" t="s">
        <v>445</v>
      </c>
      <c r="U346" s="212" t="s">
        <v>446</v>
      </c>
      <c r="V346" s="214" t="b">
        <v>1</v>
      </c>
      <c r="W346" s="214">
        <v>1989</v>
      </c>
      <c r="X346" s="214">
        <v>5</v>
      </c>
      <c r="Y346" s="214">
        <v>2</v>
      </c>
      <c r="Z346" s="214">
        <v>4</v>
      </c>
      <c r="AA346" s="212" t="s">
        <v>447</v>
      </c>
      <c r="AB346" s="212" t="s">
        <v>531</v>
      </c>
      <c r="AC346" s="212" t="s">
        <v>533</v>
      </c>
      <c r="AD346" s="214">
        <v>28.907579999999999</v>
      </c>
      <c r="AE346" s="214">
        <v>604</v>
      </c>
      <c r="AF346" s="214">
        <v>8.8000000000000005E-3</v>
      </c>
      <c r="AG346" s="214">
        <v>-99</v>
      </c>
      <c r="AH346" s="212" t="s">
        <v>224</v>
      </c>
      <c r="AI346" s="212" t="s">
        <v>449</v>
      </c>
      <c r="AJ346" s="212" t="s">
        <v>282</v>
      </c>
      <c r="AK346" s="212" t="s">
        <v>531</v>
      </c>
      <c r="AL346" s="212" t="s">
        <v>380</v>
      </c>
      <c r="AM346" s="214" t="b">
        <v>1</v>
      </c>
      <c r="AN346" s="214" t="b">
        <v>0</v>
      </c>
      <c r="AO346" s="212" t="s">
        <v>283</v>
      </c>
      <c r="AP346" s="212" t="s">
        <v>284</v>
      </c>
      <c r="AQ346" s="214">
        <v>114.22852</v>
      </c>
      <c r="AR346" s="214" t="b">
        <v>0</v>
      </c>
      <c r="AS346" s="212" t="s">
        <v>534</v>
      </c>
      <c r="AU346" s="222" t="s">
        <v>819</v>
      </c>
    </row>
    <row r="347" spans="1:47" s="218" customFormat="1" x14ac:dyDescent="0.25">
      <c r="A347" s="245">
        <f t="shared" si="47"/>
        <v>347</v>
      </c>
      <c r="B347" s="246" t="str">
        <f t="shared" si="40"/>
        <v>Oil Field - Tank</v>
      </c>
      <c r="C347" s="246" t="str">
        <f ca="1">IF(B347="","",VLOOKUP(D347,'Species Data'!B:E,4,FALSE))</f>
        <v>N_pentane</v>
      </c>
      <c r="D347" s="246">
        <f t="shared" ca="1" si="41"/>
        <v>605</v>
      </c>
      <c r="E347" s="246">
        <f t="shared" ca="1" si="42"/>
        <v>4.5600000000000002E-2</v>
      </c>
      <c r="F347" s="246" t="str">
        <f t="shared" ca="1" si="43"/>
        <v>N-pentane</v>
      </c>
      <c r="G347" s="246">
        <f t="shared" ca="1" si="44"/>
        <v>72.148780000000002</v>
      </c>
      <c r="H347" s="204">
        <f ca="1">IF(G347="","",IF(VLOOKUP(Tank!F347,'Species Data'!D:F,3,FALSE)=0,"X",IF(G347&lt;44.1,2,1)))</f>
        <v>1</v>
      </c>
      <c r="I347" s="204">
        <f t="shared" ca="1" si="45"/>
        <v>3.2465311666992012</v>
      </c>
      <c r="J347" s="247">
        <f ca="1">IF(I347="","",IF(COUNTIF($D$12:D347,D347)=1,IF(H347=1,I347*H347,IF(H347="X","X",0)),0))</f>
        <v>0</v>
      </c>
      <c r="K347" s="248">
        <f t="shared" ca="1" si="46"/>
        <v>0</v>
      </c>
      <c r="L347" s="212" t="s">
        <v>679</v>
      </c>
      <c r="M347" s="212" t="s">
        <v>448</v>
      </c>
      <c r="N347" s="212" t="s">
        <v>470</v>
      </c>
      <c r="O347" s="213">
        <v>41419</v>
      </c>
      <c r="P347" s="212" t="s">
        <v>683</v>
      </c>
      <c r="Q347" s="214">
        <v>100</v>
      </c>
      <c r="R347" s="212" t="s">
        <v>445</v>
      </c>
      <c r="S347" s="212" t="s">
        <v>532</v>
      </c>
      <c r="T347" s="212" t="s">
        <v>445</v>
      </c>
      <c r="U347" s="212" t="s">
        <v>446</v>
      </c>
      <c r="V347" s="214" t="b">
        <v>1</v>
      </c>
      <c r="W347" s="214">
        <v>1989</v>
      </c>
      <c r="X347" s="214">
        <v>5</v>
      </c>
      <c r="Y347" s="214">
        <v>2</v>
      </c>
      <c r="Z347" s="214">
        <v>4</v>
      </c>
      <c r="AA347" s="212" t="s">
        <v>447</v>
      </c>
      <c r="AB347" s="212" t="s">
        <v>531</v>
      </c>
      <c r="AC347" s="212" t="s">
        <v>533</v>
      </c>
      <c r="AD347" s="214">
        <v>28.907579999999999</v>
      </c>
      <c r="AE347" s="214">
        <v>605</v>
      </c>
      <c r="AF347" s="214">
        <v>4.5600000000000002E-2</v>
      </c>
      <c r="AG347" s="214">
        <v>-99</v>
      </c>
      <c r="AH347" s="212" t="s">
        <v>224</v>
      </c>
      <c r="AI347" s="212" t="s">
        <v>449</v>
      </c>
      <c r="AJ347" s="212" t="s">
        <v>285</v>
      </c>
      <c r="AK347" s="212" t="s">
        <v>531</v>
      </c>
      <c r="AL347" s="212" t="s">
        <v>381</v>
      </c>
      <c r="AM347" s="214" t="b">
        <v>1</v>
      </c>
      <c r="AN347" s="214" t="b">
        <v>0</v>
      </c>
      <c r="AO347" s="212" t="s">
        <v>286</v>
      </c>
      <c r="AP347" s="212" t="s">
        <v>287</v>
      </c>
      <c r="AQ347" s="214">
        <v>72.148780000000002</v>
      </c>
      <c r="AR347" s="214" t="b">
        <v>0</v>
      </c>
      <c r="AS347" s="212" t="s">
        <v>534</v>
      </c>
      <c r="AU347" s="222" t="s">
        <v>819</v>
      </c>
    </row>
    <row r="348" spans="1:47" s="218" customFormat="1" x14ac:dyDescent="0.25">
      <c r="A348" s="245">
        <f t="shared" si="47"/>
        <v>348</v>
      </c>
      <c r="B348" s="246" t="str">
        <f t="shared" si="40"/>
        <v>Oil Field - Tank</v>
      </c>
      <c r="C348" s="246" t="str">
        <f ca="1">IF(B348="","",VLOOKUP(D348,'Species Data'!B:E,4,FALSE))</f>
        <v>N_proben</v>
      </c>
      <c r="D348" s="246">
        <f t="shared" ca="1" si="41"/>
        <v>608</v>
      </c>
      <c r="E348" s="246">
        <f t="shared" ca="1" si="42"/>
        <v>9.1999999999999998E-3</v>
      </c>
      <c r="F348" s="246" t="str">
        <f t="shared" ca="1" si="43"/>
        <v>N-propylbenzene</v>
      </c>
      <c r="G348" s="246">
        <f t="shared" ca="1" si="44"/>
        <v>120.19158</v>
      </c>
      <c r="H348" s="204">
        <f ca="1">IF(G348="","",IF(VLOOKUP(Tank!F348,'Species Data'!D:F,3,FALSE)=0,"X",IF(G348&lt;44.1,2,1)))</f>
        <v>1</v>
      </c>
      <c r="I348" s="204">
        <f t="shared" ca="1" si="45"/>
        <v>2.0193527191194376E-2</v>
      </c>
      <c r="J348" s="247">
        <f ca="1">IF(I348="","",IF(COUNTIF($D$12:D348,D348)=1,IF(H348=1,I348*H348,IF(H348="X","X",0)),0))</f>
        <v>0</v>
      </c>
      <c r="K348" s="248">
        <f t="shared" ca="1" si="46"/>
        <v>0</v>
      </c>
      <c r="L348" s="212" t="s">
        <v>679</v>
      </c>
      <c r="M348" s="212" t="s">
        <v>448</v>
      </c>
      <c r="N348" s="212" t="s">
        <v>470</v>
      </c>
      <c r="O348" s="213">
        <v>41419</v>
      </c>
      <c r="P348" s="212" t="s">
        <v>683</v>
      </c>
      <c r="Q348" s="214">
        <v>100</v>
      </c>
      <c r="R348" s="212" t="s">
        <v>445</v>
      </c>
      <c r="S348" s="212" t="s">
        <v>532</v>
      </c>
      <c r="T348" s="212" t="s">
        <v>445</v>
      </c>
      <c r="U348" s="212" t="s">
        <v>446</v>
      </c>
      <c r="V348" s="214" t="b">
        <v>1</v>
      </c>
      <c r="W348" s="214">
        <v>1989</v>
      </c>
      <c r="X348" s="214">
        <v>5</v>
      </c>
      <c r="Y348" s="214">
        <v>2</v>
      </c>
      <c r="Z348" s="214">
        <v>4</v>
      </c>
      <c r="AA348" s="212" t="s">
        <v>447</v>
      </c>
      <c r="AB348" s="212" t="s">
        <v>531</v>
      </c>
      <c r="AC348" s="212" t="s">
        <v>533</v>
      </c>
      <c r="AD348" s="214">
        <v>28.907579999999999</v>
      </c>
      <c r="AE348" s="214">
        <v>608</v>
      </c>
      <c r="AF348" s="214">
        <v>9.1999999999999998E-3</v>
      </c>
      <c r="AG348" s="214">
        <v>-99</v>
      </c>
      <c r="AH348" s="212" t="s">
        <v>224</v>
      </c>
      <c r="AI348" s="212" t="s">
        <v>449</v>
      </c>
      <c r="AJ348" s="212" t="s">
        <v>420</v>
      </c>
      <c r="AK348" s="212" t="s">
        <v>531</v>
      </c>
      <c r="AL348" s="212" t="s">
        <v>454</v>
      </c>
      <c r="AM348" s="214" t="b">
        <v>1</v>
      </c>
      <c r="AN348" s="214" t="b">
        <v>0</v>
      </c>
      <c r="AO348" s="212" t="s">
        <v>421</v>
      </c>
      <c r="AP348" s="212" t="s">
        <v>422</v>
      </c>
      <c r="AQ348" s="214">
        <v>120.19158</v>
      </c>
      <c r="AR348" s="214" t="b">
        <v>0</v>
      </c>
      <c r="AS348" s="212" t="s">
        <v>534</v>
      </c>
      <c r="AU348" s="222" t="s">
        <v>819</v>
      </c>
    </row>
    <row r="349" spans="1:47" s="218" customFormat="1" x14ac:dyDescent="0.25">
      <c r="A349" s="245">
        <f t="shared" si="47"/>
        <v>349</v>
      </c>
      <c r="B349" s="246" t="str">
        <f t="shared" si="40"/>
        <v>Oil Field - Tank</v>
      </c>
      <c r="C349" s="246" t="str">
        <f ca="1">IF(B349="","",VLOOKUP(D349,'Species Data'!B:E,4,FALSE))</f>
        <v>N_und</v>
      </c>
      <c r="D349" s="246">
        <f t="shared" ca="1" si="41"/>
        <v>610</v>
      </c>
      <c r="E349" s="246">
        <f t="shared" ca="1" si="42"/>
        <v>2.1899999999999999E-2</v>
      </c>
      <c r="F349" s="246" t="str">
        <f t="shared" ca="1" si="43"/>
        <v>N-undecane</v>
      </c>
      <c r="G349" s="246">
        <f t="shared" ca="1" si="44"/>
        <v>156.30826000000002</v>
      </c>
      <c r="H349" s="204">
        <f ca="1">IF(G349="","",IF(VLOOKUP(Tank!F349,'Species Data'!D:F,3,FALSE)=0,"X",IF(G349&lt;44.1,2,1)))</f>
        <v>1</v>
      </c>
      <c r="I349" s="204">
        <f t="shared" ca="1" si="45"/>
        <v>3.8800372483575856E-3</v>
      </c>
      <c r="J349" s="247">
        <f ca="1">IF(I349="","",IF(COUNTIF($D$12:D349,D349)=1,IF(H349=1,I349*H349,IF(H349="X","X",0)),0))</f>
        <v>0</v>
      </c>
      <c r="K349" s="248">
        <f t="shared" ca="1" si="46"/>
        <v>0</v>
      </c>
      <c r="L349" s="212" t="s">
        <v>679</v>
      </c>
      <c r="M349" s="212" t="s">
        <v>448</v>
      </c>
      <c r="N349" s="212" t="s">
        <v>470</v>
      </c>
      <c r="O349" s="213">
        <v>41419</v>
      </c>
      <c r="P349" s="212" t="s">
        <v>683</v>
      </c>
      <c r="Q349" s="214">
        <v>100</v>
      </c>
      <c r="R349" s="212" t="s">
        <v>445</v>
      </c>
      <c r="S349" s="212" t="s">
        <v>532</v>
      </c>
      <c r="T349" s="212" t="s">
        <v>445</v>
      </c>
      <c r="U349" s="212" t="s">
        <v>446</v>
      </c>
      <c r="V349" s="214" t="b">
        <v>1</v>
      </c>
      <c r="W349" s="214">
        <v>1989</v>
      </c>
      <c r="X349" s="214">
        <v>5</v>
      </c>
      <c r="Y349" s="214">
        <v>2</v>
      </c>
      <c r="Z349" s="214">
        <v>4</v>
      </c>
      <c r="AA349" s="212" t="s">
        <v>447</v>
      </c>
      <c r="AB349" s="212" t="s">
        <v>531</v>
      </c>
      <c r="AC349" s="212" t="s">
        <v>533</v>
      </c>
      <c r="AD349" s="214">
        <v>28.907579999999999</v>
      </c>
      <c r="AE349" s="214">
        <v>610</v>
      </c>
      <c r="AF349" s="214">
        <v>2.1899999999999999E-2</v>
      </c>
      <c r="AG349" s="214">
        <v>-99</v>
      </c>
      <c r="AH349" s="212" t="s">
        <v>224</v>
      </c>
      <c r="AI349" s="212" t="s">
        <v>449</v>
      </c>
      <c r="AJ349" s="212" t="s">
        <v>430</v>
      </c>
      <c r="AK349" s="212" t="s">
        <v>531</v>
      </c>
      <c r="AL349" s="212" t="s">
        <v>458</v>
      </c>
      <c r="AM349" s="214" t="b">
        <v>1</v>
      </c>
      <c r="AN349" s="214" t="b">
        <v>0</v>
      </c>
      <c r="AO349" s="212" t="s">
        <v>431</v>
      </c>
      <c r="AP349" s="212" t="s">
        <v>432</v>
      </c>
      <c r="AQ349" s="214">
        <v>156.30826000000002</v>
      </c>
      <c r="AR349" s="214" t="b">
        <v>0</v>
      </c>
      <c r="AS349" s="212" t="s">
        <v>534</v>
      </c>
      <c r="AU349" s="222" t="s">
        <v>819</v>
      </c>
    </row>
    <row r="350" spans="1:47" s="218" customFormat="1" x14ac:dyDescent="0.25">
      <c r="A350" s="245">
        <f t="shared" si="47"/>
        <v>350</v>
      </c>
      <c r="B350" s="246" t="str">
        <f t="shared" si="40"/>
        <v>Oil Field - Tank</v>
      </c>
      <c r="C350" s="246" t="str">
        <f ca="1">IF(B350="","",VLOOKUP(D350,'Species Data'!B:E,4,FALSE))</f>
        <v>O_xylene</v>
      </c>
      <c r="D350" s="246">
        <f t="shared" ca="1" si="41"/>
        <v>620</v>
      </c>
      <c r="E350" s="246">
        <f t="shared" ca="1" si="42"/>
        <v>5.7000000000000002E-3</v>
      </c>
      <c r="F350" s="246" t="str">
        <f t="shared" ca="1" si="43"/>
        <v>O-xylene</v>
      </c>
      <c r="G350" s="246">
        <f t="shared" ca="1" si="44"/>
        <v>106.16500000000001</v>
      </c>
      <c r="H350" s="204">
        <f ca="1">IF(G350="","",IF(VLOOKUP(Tank!F350,'Species Data'!D:F,3,FALSE)=0,"X",IF(G350&lt;44.1,2,1)))</f>
        <v>1</v>
      </c>
      <c r="I350" s="204">
        <f t="shared" ca="1" si="45"/>
        <v>5.0080480772615434E-2</v>
      </c>
      <c r="J350" s="247">
        <f ca="1">IF(I350="","",IF(COUNTIF($D$12:D350,D350)=1,IF(H350=1,I350*H350,IF(H350="X","X",0)),0))</f>
        <v>0</v>
      </c>
      <c r="K350" s="248">
        <f t="shared" ca="1" si="46"/>
        <v>0</v>
      </c>
      <c r="L350" s="212" t="s">
        <v>679</v>
      </c>
      <c r="M350" s="212" t="s">
        <v>448</v>
      </c>
      <c r="N350" s="212" t="s">
        <v>470</v>
      </c>
      <c r="O350" s="213">
        <v>41419</v>
      </c>
      <c r="P350" s="212" t="s">
        <v>683</v>
      </c>
      <c r="Q350" s="214">
        <v>100</v>
      </c>
      <c r="R350" s="212" t="s">
        <v>445</v>
      </c>
      <c r="S350" s="212" t="s">
        <v>532</v>
      </c>
      <c r="T350" s="212" t="s">
        <v>445</v>
      </c>
      <c r="U350" s="212" t="s">
        <v>446</v>
      </c>
      <c r="V350" s="214" t="b">
        <v>1</v>
      </c>
      <c r="W350" s="214">
        <v>1989</v>
      </c>
      <c r="X350" s="214">
        <v>5</v>
      </c>
      <c r="Y350" s="214">
        <v>2</v>
      </c>
      <c r="Z350" s="214">
        <v>4</v>
      </c>
      <c r="AA350" s="212" t="s">
        <v>447</v>
      </c>
      <c r="AB350" s="212" t="s">
        <v>531</v>
      </c>
      <c r="AC350" s="212" t="s">
        <v>533</v>
      </c>
      <c r="AD350" s="214">
        <v>28.907579999999999</v>
      </c>
      <c r="AE350" s="214">
        <v>620</v>
      </c>
      <c r="AF350" s="214">
        <v>5.7000000000000002E-3</v>
      </c>
      <c r="AG350" s="214">
        <v>-99</v>
      </c>
      <c r="AH350" s="212" t="s">
        <v>224</v>
      </c>
      <c r="AI350" s="212" t="s">
        <v>449</v>
      </c>
      <c r="AJ350" s="212" t="s">
        <v>354</v>
      </c>
      <c r="AK350" s="212" t="s">
        <v>531</v>
      </c>
      <c r="AL350" s="212" t="s">
        <v>398</v>
      </c>
      <c r="AM350" s="214" t="b">
        <v>1</v>
      </c>
      <c r="AN350" s="214" t="b">
        <v>1</v>
      </c>
      <c r="AO350" s="212" t="s">
        <v>355</v>
      </c>
      <c r="AP350" s="212" t="s">
        <v>356</v>
      </c>
      <c r="AQ350" s="214">
        <v>106.16500000000001</v>
      </c>
      <c r="AR350" s="214" t="b">
        <v>0</v>
      </c>
      <c r="AS350" s="212" t="s">
        <v>534</v>
      </c>
      <c r="AU350" s="222" t="s">
        <v>819</v>
      </c>
    </row>
    <row r="351" spans="1:47" s="218" customFormat="1" x14ac:dyDescent="0.25">
      <c r="A351" s="245">
        <f t="shared" si="47"/>
        <v>351</v>
      </c>
      <c r="B351" s="246" t="str">
        <f t="shared" si="40"/>
        <v>Oil Field - Tank</v>
      </c>
      <c r="C351" s="246" t="str">
        <f ca="1">IF(B351="","",VLOOKUP(D351,'Species Data'!B:E,4,FALSE))</f>
        <v>propane</v>
      </c>
      <c r="D351" s="246">
        <f t="shared" ca="1" si="41"/>
        <v>671</v>
      </c>
      <c r="E351" s="246">
        <f t="shared" ca="1" si="42"/>
        <v>0.18360000000000001</v>
      </c>
      <c r="F351" s="246" t="str">
        <f t="shared" ca="1" si="43"/>
        <v>Propane</v>
      </c>
      <c r="G351" s="246">
        <f t="shared" ca="1" si="44"/>
        <v>44.095619999999997</v>
      </c>
      <c r="H351" s="204">
        <f ca="1">IF(G351="","",IF(VLOOKUP(Tank!F351,'Species Data'!D:F,3,FALSE)=0,"X",IF(G351&lt;44.1,2,1)))</f>
        <v>2</v>
      </c>
      <c r="I351" s="204">
        <f t="shared" ca="1" si="45"/>
        <v>10.138737331878389</v>
      </c>
      <c r="J351" s="247">
        <f ca="1">IF(I351="","",IF(COUNTIF($D$12:D351,D351)=1,IF(H351=1,I351*H351,IF(H351="X","X",0)),0))</f>
        <v>0</v>
      </c>
      <c r="K351" s="248">
        <f t="shared" ca="1" si="46"/>
        <v>0</v>
      </c>
      <c r="L351" s="212" t="s">
        <v>679</v>
      </c>
      <c r="M351" s="212" t="s">
        <v>448</v>
      </c>
      <c r="N351" s="212" t="s">
        <v>470</v>
      </c>
      <c r="O351" s="213">
        <v>41419</v>
      </c>
      <c r="P351" s="212" t="s">
        <v>683</v>
      </c>
      <c r="Q351" s="214">
        <v>100</v>
      </c>
      <c r="R351" s="212" t="s">
        <v>445</v>
      </c>
      <c r="S351" s="212" t="s">
        <v>532</v>
      </c>
      <c r="T351" s="212" t="s">
        <v>445</v>
      </c>
      <c r="U351" s="212" t="s">
        <v>446</v>
      </c>
      <c r="V351" s="214" t="b">
        <v>1</v>
      </c>
      <c r="W351" s="214">
        <v>1989</v>
      </c>
      <c r="X351" s="214">
        <v>5</v>
      </c>
      <c r="Y351" s="214">
        <v>2</v>
      </c>
      <c r="Z351" s="214">
        <v>4</v>
      </c>
      <c r="AA351" s="212" t="s">
        <v>447</v>
      </c>
      <c r="AB351" s="212" t="s">
        <v>531</v>
      </c>
      <c r="AC351" s="212" t="s">
        <v>533</v>
      </c>
      <c r="AD351" s="214">
        <v>28.907579999999999</v>
      </c>
      <c r="AE351" s="214">
        <v>671</v>
      </c>
      <c r="AF351" s="214">
        <v>0.18360000000000001</v>
      </c>
      <c r="AG351" s="214">
        <v>-99</v>
      </c>
      <c r="AH351" s="212" t="s">
        <v>224</v>
      </c>
      <c r="AI351" s="212" t="s">
        <v>449</v>
      </c>
      <c r="AJ351" s="212" t="s">
        <v>288</v>
      </c>
      <c r="AK351" s="212" t="s">
        <v>531</v>
      </c>
      <c r="AL351" s="212" t="s">
        <v>382</v>
      </c>
      <c r="AM351" s="214" t="b">
        <v>1</v>
      </c>
      <c r="AN351" s="214" t="b">
        <v>0</v>
      </c>
      <c r="AO351" s="212" t="s">
        <v>289</v>
      </c>
      <c r="AP351" s="212" t="s">
        <v>290</v>
      </c>
      <c r="AQ351" s="214">
        <v>44.095619999999997</v>
      </c>
      <c r="AR351" s="214" t="b">
        <v>0</v>
      </c>
      <c r="AS351" s="212" t="s">
        <v>534</v>
      </c>
      <c r="AU351" s="222" t="s">
        <v>819</v>
      </c>
    </row>
    <row r="352" spans="1:47" s="218" customFormat="1" x14ac:dyDescent="0.25">
      <c r="A352" s="245">
        <f t="shared" si="47"/>
        <v>352</v>
      </c>
      <c r="B352" s="246" t="str">
        <f t="shared" si="40"/>
        <v>Oil Field - Tank</v>
      </c>
      <c r="C352" s="246" t="str">
        <f ca="1">IF(B352="","",VLOOKUP(D352,'Species Data'!B:E,4,FALSE))</f>
        <v>c10_comp</v>
      </c>
      <c r="D352" s="246">
        <f t="shared" ca="1" si="41"/>
        <v>1924</v>
      </c>
      <c r="E352" s="246">
        <f t="shared" ca="1" si="42"/>
        <v>0.55600000000000005</v>
      </c>
      <c r="F352" s="246" t="str">
        <f t="shared" ca="1" si="43"/>
        <v>C-10 Compounds</v>
      </c>
      <c r="G352" s="246">
        <f t="shared" ca="1" si="44"/>
        <v>142.28167999999999</v>
      </c>
      <c r="H352" s="204" t="str">
        <f ca="1">IF(G352="","",IF(VLOOKUP(Tank!F352,'Species Data'!D:F,3,FALSE)=0,"X",IF(G352&lt;44.1,2,1)))</f>
        <v>X</v>
      </c>
      <c r="I352" s="204">
        <f t="shared" ca="1" si="45"/>
        <v>0.15904819352932459</v>
      </c>
      <c r="J352" s="247">
        <f ca="1">IF(I352="","",IF(COUNTIF($D$12:D352,D352)=1,IF(H352=1,I352*H352,IF(H352="X","X",0)),0))</f>
        <v>0</v>
      </c>
      <c r="K352" s="248">
        <f t="shared" ca="1" si="46"/>
        <v>0</v>
      </c>
      <c r="L352" s="212" t="s">
        <v>679</v>
      </c>
      <c r="M352" s="212" t="s">
        <v>448</v>
      </c>
      <c r="N352" s="212" t="s">
        <v>470</v>
      </c>
      <c r="O352" s="213">
        <v>41419</v>
      </c>
      <c r="P352" s="212" t="s">
        <v>683</v>
      </c>
      <c r="Q352" s="214">
        <v>100</v>
      </c>
      <c r="R352" s="212" t="s">
        <v>445</v>
      </c>
      <c r="S352" s="212" t="s">
        <v>532</v>
      </c>
      <c r="T352" s="212" t="s">
        <v>445</v>
      </c>
      <c r="U352" s="212" t="s">
        <v>446</v>
      </c>
      <c r="V352" s="214" t="b">
        <v>1</v>
      </c>
      <c r="W352" s="214">
        <v>1989</v>
      </c>
      <c r="X352" s="214">
        <v>5</v>
      </c>
      <c r="Y352" s="214">
        <v>2</v>
      </c>
      <c r="Z352" s="214">
        <v>4</v>
      </c>
      <c r="AA352" s="212" t="s">
        <v>447</v>
      </c>
      <c r="AB352" s="212" t="s">
        <v>531</v>
      </c>
      <c r="AC352" s="212" t="s">
        <v>533</v>
      </c>
      <c r="AD352" s="214">
        <v>28.907579999999999</v>
      </c>
      <c r="AE352" s="214">
        <v>1924</v>
      </c>
      <c r="AF352" s="214">
        <v>0.55600000000000005</v>
      </c>
      <c r="AG352" s="214">
        <v>-99</v>
      </c>
      <c r="AH352" s="212" t="s">
        <v>224</v>
      </c>
      <c r="AI352" s="212" t="s">
        <v>449</v>
      </c>
      <c r="AJ352" s="212" t="s">
        <v>224</v>
      </c>
      <c r="AK352" s="212" t="s">
        <v>531</v>
      </c>
      <c r="AL352" s="212" t="s">
        <v>466</v>
      </c>
      <c r="AM352" s="214" t="b">
        <v>0</v>
      </c>
      <c r="AN352" s="214" t="b">
        <v>0</v>
      </c>
      <c r="AO352" s="212" t="s">
        <v>535</v>
      </c>
      <c r="AP352" s="212" t="s">
        <v>536</v>
      </c>
      <c r="AQ352" s="214">
        <v>142.28167999999999</v>
      </c>
      <c r="AR352" s="214" t="b">
        <v>0</v>
      </c>
      <c r="AS352" s="212" t="s">
        <v>534</v>
      </c>
      <c r="AU352" s="222" t="s">
        <v>819</v>
      </c>
    </row>
    <row r="353" spans="1:47" s="218" customFormat="1" x14ac:dyDescent="0.25">
      <c r="A353" s="245">
        <f t="shared" si="47"/>
        <v>353</v>
      </c>
      <c r="B353" s="246" t="str">
        <f t="shared" si="40"/>
        <v>Oil Field - Tank</v>
      </c>
      <c r="C353" s="246" t="str">
        <f ca="1">IF(B353="","",VLOOKUP(D353,'Species Data'!B:E,4,FALSE))</f>
        <v>c11_comp</v>
      </c>
      <c r="D353" s="246">
        <f t="shared" ca="1" si="41"/>
        <v>1929</v>
      </c>
      <c r="E353" s="246">
        <f t="shared" ca="1" si="42"/>
        <v>0.12790000000000001</v>
      </c>
      <c r="F353" s="246" t="str">
        <f t="shared" ca="1" si="43"/>
        <v>C-11 Compounds</v>
      </c>
      <c r="G353" s="246">
        <f t="shared" ca="1" si="44"/>
        <v>156.30826000000002</v>
      </c>
      <c r="H353" s="204" t="str">
        <f ca="1">IF(G353="","",IF(VLOOKUP(Tank!F353,'Species Data'!D:F,3,FALSE)=0,"X",IF(G353&lt;44.1,2,1)))</f>
        <v>X</v>
      </c>
      <c r="I353" s="204">
        <f t="shared" ca="1" si="45"/>
        <v>2.464690327693813E-2</v>
      </c>
      <c r="J353" s="247">
        <f ca="1">IF(I353="","",IF(COUNTIF($D$12:D353,D353)=1,IF(H353=1,I353*H353,IF(H353="X","X",0)),0))</f>
        <v>0</v>
      </c>
      <c r="K353" s="248">
        <f t="shared" ca="1" si="46"/>
        <v>0</v>
      </c>
      <c r="L353" s="212" t="s">
        <v>679</v>
      </c>
      <c r="M353" s="212" t="s">
        <v>448</v>
      </c>
      <c r="N353" s="212" t="s">
        <v>470</v>
      </c>
      <c r="O353" s="213">
        <v>41419</v>
      </c>
      <c r="P353" s="212" t="s">
        <v>683</v>
      </c>
      <c r="Q353" s="214">
        <v>100</v>
      </c>
      <c r="R353" s="212" t="s">
        <v>445</v>
      </c>
      <c r="S353" s="212" t="s">
        <v>532</v>
      </c>
      <c r="T353" s="212" t="s">
        <v>445</v>
      </c>
      <c r="U353" s="212" t="s">
        <v>446</v>
      </c>
      <c r="V353" s="214" t="b">
        <v>1</v>
      </c>
      <c r="W353" s="214">
        <v>1989</v>
      </c>
      <c r="X353" s="214">
        <v>5</v>
      </c>
      <c r="Y353" s="214">
        <v>2</v>
      </c>
      <c r="Z353" s="214">
        <v>4</v>
      </c>
      <c r="AA353" s="212" t="s">
        <v>447</v>
      </c>
      <c r="AB353" s="212" t="s">
        <v>531</v>
      </c>
      <c r="AC353" s="212" t="s">
        <v>533</v>
      </c>
      <c r="AD353" s="214">
        <v>28.907579999999999</v>
      </c>
      <c r="AE353" s="214">
        <v>1929</v>
      </c>
      <c r="AF353" s="214">
        <v>0.12790000000000001</v>
      </c>
      <c r="AG353" s="214">
        <v>-99</v>
      </c>
      <c r="AH353" s="212" t="s">
        <v>224</v>
      </c>
      <c r="AI353" s="212" t="s">
        <v>449</v>
      </c>
      <c r="AJ353" s="212" t="s">
        <v>224</v>
      </c>
      <c r="AK353" s="212" t="s">
        <v>531</v>
      </c>
      <c r="AL353" s="212" t="s">
        <v>467</v>
      </c>
      <c r="AM353" s="214" t="b">
        <v>0</v>
      </c>
      <c r="AN353" s="214" t="b">
        <v>0</v>
      </c>
      <c r="AO353" s="212" t="s">
        <v>468</v>
      </c>
      <c r="AP353" s="212" t="s">
        <v>469</v>
      </c>
      <c r="AQ353" s="214">
        <v>156.30826000000002</v>
      </c>
      <c r="AR353" s="214" t="b">
        <v>0</v>
      </c>
      <c r="AS353" s="212" t="s">
        <v>534</v>
      </c>
      <c r="AU353" s="222" t="s">
        <v>819</v>
      </c>
    </row>
    <row r="354" spans="1:47" s="218" customFormat="1" x14ac:dyDescent="0.25">
      <c r="A354" s="245">
        <f t="shared" si="47"/>
        <v>354</v>
      </c>
      <c r="B354" s="246" t="str">
        <f t="shared" si="40"/>
        <v>Oil Field - Tank</v>
      </c>
      <c r="C354" s="246" t="str">
        <f ca="1">IF(B354="","",VLOOKUP(D354,'Species Data'!B:E,4,FALSE))</f>
        <v>c5_comp</v>
      </c>
      <c r="D354" s="246">
        <f t="shared" ca="1" si="41"/>
        <v>1986</v>
      </c>
      <c r="E354" s="246">
        <f t="shared" ca="1" si="42"/>
        <v>5.5300000000000002E-2</v>
      </c>
      <c r="F354" s="246" t="str">
        <f t="shared" ca="1" si="43"/>
        <v>C-5 Compounds</v>
      </c>
      <c r="G354" s="246">
        <f t="shared" ca="1" si="44"/>
        <v>72.148780000000002</v>
      </c>
      <c r="H354" s="204" t="str">
        <f ca="1">IF(G354="","",IF(VLOOKUP(Tank!F354,'Species Data'!D:F,3,FALSE)=0,"X",IF(G354&lt;44.1,2,1)))</f>
        <v>X</v>
      </c>
      <c r="I354" s="204">
        <f t="shared" ca="1" si="45"/>
        <v>2.1162936497523712</v>
      </c>
      <c r="J354" s="247">
        <f ca="1">IF(I354="","",IF(COUNTIF($D$12:D354,D354)=1,IF(H354=1,I354*H354,IF(H354="X","X",0)),0))</f>
        <v>0</v>
      </c>
      <c r="K354" s="248">
        <f t="shared" ca="1" si="46"/>
        <v>0</v>
      </c>
      <c r="L354" s="212" t="s">
        <v>679</v>
      </c>
      <c r="M354" s="212" t="s">
        <v>448</v>
      </c>
      <c r="N354" s="212" t="s">
        <v>470</v>
      </c>
      <c r="O354" s="213">
        <v>41419</v>
      </c>
      <c r="P354" s="212" t="s">
        <v>683</v>
      </c>
      <c r="Q354" s="214">
        <v>100</v>
      </c>
      <c r="R354" s="212" t="s">
        <v>445</v>
      </c>
      <c r="S354" s="212" t="s">
        <v>532</v>
      </c>
      <c r="T354" s="212" t="s">
        <v>445</v>
      </c>
      <c r="U354" s="212" t="s">
        <v>446</v>
      </c>
      <c r="V354" s="214" t="b">
        <v>1</v>
      </c>
      <c r="W354" s="214">
        <v>1989</v>
      </c>
      <c r="X354" s="214">
        <v>5</v>
      </c>
      <c r="Y354" s="214">
        <v>2</v>
      </c>
      <c r="Z354" s="214">
        <v>4</v>
      </c>
      <c r="AA354" s="212" t="s">
        <v>447</v>
      </c>
      <c r="AB354" s="212" t="s">
        <v>531</v>
      </c>
      <c r="AC354" s="212" t="s">
        <v>533</v>
      </c>
      <c r="AD354" s="214">
        <v>28.907579999999999</v>
      </c>
      <c r="AE354" s="214">
        <v>1986</v>
      </c>
      <c r="AF354" s="214">
        <v>5.5300000000000002E-2</v>
      </c>
      <c r="AG354" s="214">
        <v>-99</v>
      </c>
      <c r="AH354" s="212" t="s">
        <v>224</v>
      </c>
      <c r="AI354" s="212" t="s">
        <v>449</v>
      </c>
      <c r="AJ354" s="212" t="s">
        <v>224</v>
      </c>
      <c r="AK354" s="212" t="s">
        <v>531</v>
      </c>
      <c r="AL354" s="212" t="s">
        <v>537</v>
      </c>
      <c r="AM354" s="214" t="b">
        <v>0</v>
      </c>
      <c r="AN354" s="214" t="b">
        <v>0</v>
      </c>
      <c r="AO354" s="212" t="s">
        <v>538</v>
      </c>
      <c r="AP354" s="212" t="s">
        <v>539</v>
      </c>
      <c r="AQ354" s="214">
        <v>72.148780000000002</v>
      </c>
      <c r="AR354" s="214" t="b">
        <v>0</v>
      </c>
      <c r="AS354" s="212" t="s">
        <v>534</v>
      </c>
      <c r="AU354" s="222" t="s">
        <v>819</v>
      </c>
    </row>
    <row r="355" spans="1:47" s="218" customFormat="1" x14ac:dyDescent="0.25">
      <c r="A355" s="245">
        <f t="shared" si="47"/>
        <v>355</v>
      </c>
      <c r="B355" s="246" t="str">
        <f t="shared" si="40"/>
        <v>Oil Field - Tank</v>
      </c>
      <c r="C355" s="246" t="str">
        <f ca="1">IF(B355="","",VLOOKUP(D355,'Species Data'!B:E,4,FALSE))</f>
        <v>c6_comp</v>
      </c>
      <c r="D355" s="246">
        <f t="shared" ca="1" si="41"/>
        <v>1999</v>
      </c>
      <c r="E355" s="246">
        <f t="shared" ca="1" si="42"/>
        <v>9.35E-2</v>
      </c>
      <c r="F355" s="246" t="str">
        <f t="shared" ca="1" si="43"/>
        <v>C-6 Compounds</v>
      </c>
      <c r="G355" s="246">
        <f t="shared" ca="1" si="44"/>
        <v>86.175359999999998</v>
      </c>
      <c r="H355" s="204" t="str">
        <f ca="1">IF(G355="","",IF(VLOOKUP(Tank!F355,'Species Data'!D:F,3,FALSE)=0,"X",IF(G355&lt;44.1,2,1)))</f>
        <v>X</v>
      </c>
      <c r="I355" s="204">
        <f t="shared" ca="1" si="45"/>
        <v>3.9709781213899662</v>
      </c>
      <c r="J355" s="247">
        <f ca="1">IF(I355="","",IF(COUNTIF($D$12:D355,D355)=1,IF(H355=1,I355*H355,IF(H355="X","X",0)),0))</f>
        <v>0</v>
      </c>
      <c r="K355" s="248">
        <f t="shared" ca="1" si="46"/>
        <v>0</v>
      </c>
      <c r="L355" s="212" t="s">
        <v>679</v>
      </c>
      <c r="M355" s="212" t="s">
        <v>448</v>
      </c>
      <c r="N355" s="212" t="s">
        <v>470</v>
      </c>
      <c r="O355" s="213">
        <v>41419</v>
      </c>
      <c r="P355" s="212" t="s">
        <v>683</v>
      </c>
      <c r="Q355" s="214">
        <v>100</v>
      </c>
      <c r="R355" s="212" t="s">
        <v>445</v>
      </c>
      <c r="S355" s="212" t="s">
        <v>532</v>
      </c>
      <c r="T355" s="212" t="s">
        <v>445</v>
      </c>
      <c r="U355" s="212" t="s">
        <v>446</v>
      </c>
      <c r="V355" s="214" t="b">
        <v>1</v>
      </c>
      <c r="W355" s="214">
        <v>1989</v>
      </c>
      <c r="X355" s="214">
        <v>5</v>
      </c>
      <c r="Y355" s="214">
        <v>2</v>
      </c>
      <c r="Z355" s="214">
        <v>4</v>
      </c>
      <c r="AA355" s="212" t="s">
        <v>447</v>
      </c>
      <c r="AB355" s="212" t="s">
        <v>531</v>
      </c>
      <c r="AC355" s="212" t="s">
        <v>533</v>
      </c>
      <c r="AD355" s="214">
        <v>28.907579999999999</v>
      </c>
      <c r="AE355" s="214">
        <v>1999</v>
      </c>
      <c r="AF355" s="214">
        <v>9.35E-2</v>
      </c>
      <c r="AG355" s="214">
        <v>-99</v>
      </c>
      <c r="AH355" s="212" t="s">
        <v>224</v>
      </c>
      <c r="AI355" s="212" t="s">
        <v>449</v>
      </c>
      <c r="AJ355" s="212" t="s">
        <v>224</v>
      </c>
      <c r="AK355" s="212" t="s">
        <v>531</v>
      </c>
      <c r="AL355" s="212" t="s">
        <v>540</v>
      </c>
      <c r="AM355" s="214" t="b">
        <v>0</v>
      </c>
      <c r="AN355" s="214" t="b">
        <v>0</v>
      </c>
      <c r="AO355" s="212" t="s">
        <v>541</v>
      </c>
      <c r="AP355" s="212" t="s">
        <v>542</v>
      </c>
      <c r="AQ355" s="214">
        <v>86.175359999999998</v>
      </c>
      <c r="AR355" s="214" t="b">
        <v>0</v>
      </c>
      <c r="AS355" s="212" t="s">
        <v>534</v>
      </c>
      <c r="AU355" s="222" t="s">
        <v>819</v>
      </c>
    </row>
    <row r="356" spans="1:47" s="218" customFormat="1" x14ac:dyDescent="0.25">
      <c r="A356" s="245">
        <f t="shared" si="47"/>
        <v>356</v>
      </c>
      <c r="B356" s="246" t="str">
        <f t="shared" si="40"/>
        <v>Oil Field - Tank</v>
      </c>
      <c r="C356" s="246" t="str">
        <f ca="1">IF(B356="","",VLOOKUP(D356,'Species Data'!B:E,4,FALSE))</f>
        <v>c7_comp</v>
      </c>
      <c r="D356" s="246">
        <f t="shared" ca="1" si="41"/>
        <v>2005</v>
      </c>
      <c r="E356" s="246">
        <f t="shared" ca="1" si="42"/>
        <v>0.17730000000000001</v>
      </c>
      <c r="F356" s="246" t="str">
        <f t="shared" ca="1" si="43"/>
        <v>C-7 Compounds</v>
      </c>
      <c r="G356" s="246">
        <f t="shared" ca="1" si="44"/>
        <v>100.20194000000001</v>
      </c>
      <c r="H356" s="204" t="str">
        <f ca="1">IF(G356="","",IF(VLOOKUP(Tank!F356,'Species Data'!D:F,3,FALSE)=0,"X",IF(G356&lt;44.1,2,1)))</f>
        <v>X</v>
      </c>
      <c r="I356" s="204">
        <f t="shared" ca="1" si="45"/>
        <v>2.5253842436887401</v>
      </c>
      <c r="J356" s="247">
        <f ca="1">IF(I356="","",IF(COUNTIF($D$12:D356,D356)=1,IF(H356=1,I356*H356,IF(H356="X","X",0)),0))</f>
        <v>0</v>
      </c>
      <c r="K356" s="248">
        <f t="shared" ca="1" si="46"/>
        <v>0</v>
      </c>
      <c r="L356" s="212" t="s">
        <v>679</v>
      </c>
      <c r="M356" s="212" t="s">
        <v>448</v>
      </c>
      <c r="N356" s="212" t="s">
        <v>470</v>
      </c>
      <c r="O356" s="213">
        <v>41419</v>
      </c>
      <c r="P356" s="212" t="s">
        <v>683</v>
      </c>
      <c r="Q356" s="214">
        <v>100</v>
      </c>
      <c r="R356" s="212" t="s">
        <v>445</v>
      </c>
      <c r="S356" s="212" t="s">
        <v>532</v>
      </c>
      <c r="T356" s="212" t="s">
        <v>445</v>
      </c>
      <c r="U356" s="212" t="s">
        <v>446</v>
      </c>
      <c r="V356" s="214" t="b">
        <v>1</v>
      </c>
      <c r="W356" s="214">
        <v>1989</v>
      </c>
      <c r="X356" s="214">
        <v>5</v>
      </c>
      <c r="Y356" s="214">
        <v>2</v>
      </c>
      <c r="Z356" s="214">
        <v>4</v>
      </c>
      <c r="AA356" s="212" t="s">
        <v>447</v>
      </c>
      <c r="AB356" s="212" t="s">
        <v>531</v>
      </c>
      <c r="AC356" s="212" t="s">
        <v>533</v>
      </c>
      <c r="AD356" s="214">
        <v>28.907579999999999</v>
      </c>
      <c r="AE356" s="214">
        <v>2005</v>
      </c>
      <c r="AF356" s="214">
        <v>0.17730000000000001</v>
      </c>
      <c r="AG356" s="214">
        <v>-99</v>
      </c>
      <c r="AH356" s="212" t="s">
        <v>224</v>
      </c>
      <c r="AI356" s="212" t="s">
        <v>449</v>
      </c>
      <c r="AJ356" s="212" t="s">
        <v>224</v>
      </c>
      <c r="AK356" s="212" t="s">
        <v>531</v>
      </c>
      <c r="AL356" s="212" t="s">
        <v>543</v>
      </c>
      <c r="AM356" s="214" t="b">
        <v>0</v>
      </c>
      <c r="AN356" s="214" t="b">
        <v>0</v>
      </c>
      <c r="AO356" s="212" t="s">
        <v>544</v>
      </c>
      <c r="AP356" s="212" t="s">
        <v>545</v>
      </c>
      <c r="AQ356" s="214">
        <v>100.20194000000001</v>
      </c>
      <c r="AR356" s="214" t="b">
        <v>0</v>
      </c>
      <c r="AS356" s="212" t="s">
        <v>534</v>
      </c>
      <c r="AU356" s="222" t="s">
        <v>819</v>
      </c>
    </row>
    <row r="357" spans="1:47" s="218" customFormat="1" x14ac:dyDescent="0.25">
      <c r="A357" s="245">
        <f t="shared" si="47"/>
        <v>357</v>
      </c>
      <c r="B357" s="246" t="str">
        <f t="shared" si="40"/>
        <v>Oil Field - Tank</v>
      </c>
      <c r="C357" s="246" t="str">
        <f ca="1">IF(B357="","",VLOOKUP(D357,'Species Data'!B:E,4,FALSE))</f>
        <v>c8_comp</v>
      </c>
      <c r="D357" s="246">
        <f t="shared" ca="1" si="41"/>
        <v>2011</v>
      </c>
      <c r="E357" s="246">
        <f t="shared" ca="1" si="42"/>
        <v>0.65400000000000003</v>
      </c>
      <c r="F357" s="246" t="str">
        <f t="shared" ca="1" si="43"/>
        <v>C-8 Compounds</v>
      </c>
      <c r="G357" s="246">
        <f t="shared" ca="1" si="44"/>
        <v>113.21160686946486</v>
      </c>
      <c r="H357" s="204" t="str">
        <f ca="1">IF(G357="","",IF(VLOOKUP(Tank!F357,'Species Data'!D:F,3,FALSE)=0,"X",IF(G357&lt;44.1,2,1)))</f>
        <v>X</v>
      </c>
      <c r="I357" s="204">
        <f t="shared" ca="1" si="45"/>
        <v>1.3164259710226556</v>
      </c>
      <c r="J357" s="247">
        <f ca="1">IF(I357="","",IF(COUNTIF($D$12:D357,D357)=1,IF(H357=1,I357*H357,IF(H357="X","X",0)),0))</f>
        <v>0</v>
      </c>
      <c r="K357" s="248">
        <f t="shared" ca="1" si="46"/>
        <v>0</v>
      </c>
      <c r="L357" s="212" t="s">
        <v>679</v>
      </c>
      <c r="M357" s="212" t="s">
        <v>448</v>
      </c>
      <c r="N357" s="212" t="s">
        <v>470</v>
      </c>
      <c r="O357" s="213">
        <v>41419</v>
      </c>
      <c r="P357" s="212" t="s">
        <v>683</v>
      </c>
      <c r="Q357" s="214">
        <v>100</v>
      </c>
      <c r="R357" s="212" t="s">
        <v>445</v>
      </c>
      <c r="S357" s="212" t="s">
        <v>532</v>
      </c>
      <c r="T357" s="212" t="s">
        <v>445</v>
      </c>
      <c r="U357" s="212" t="s">
        <v>446</v>
      </c>
      <c r="V357" s="214" t="b">
        <v>1</v>
      </c>
      <c r="W357" s="214">
        <v>1989</v>
      </c>
      <c r="X357" s="214">
        <v>5</v>
      </c>
      <c r="Y357" s="214">
        <v>2</v>
      </c>
      <c r="Z357" s="214">
        <v>4</v>
      </c>
      <c r="AA357" s="212" t="s">
        <v>447</v>
      </c>
      <c r="AB357" s="212" t="s">
        <v>531</v>
      </c>
      <c r="AC357" s="212" t="s">
        <v>533</v>
      </c>
      <c r="AD357" s="214">
        <v>28.907579999999999</v>
      </c>
      <c r="AE357" s="214">
        <v>2011</v>
      </c>
      <c r="AF357" s="214">
        <v>0.65400000000000003</v>
      </c>
      <c r="AG357" s="214">
        <v>-99</v>
      </c>
      <c r="AH357" s="212" t="s">
        <v>224</v>
      </c>
      <c r="AI357" s="212" t="s">
        <v>449</v>
      </c>
      <c r="AJ357" s="212" t="s">
        <v>224</v>
      </c>
      <c r="AK357" s="212" t="s">
        <v>531</v>
      </c>
      <c r="AL357" s="212" t="s">
        <v>546</v>
      </c>
      <c r="AM357" s="214" t="b">
        <v>0</v>
      </c>
      <c r="AN357" s="214" t="b">
        <v>0</v>
      </c>
      <c r="AO357" s="212" t="s">
        <v>547</v>
      </c>
      <c r="AP357" s="212" t="s">
        <v>548</v>
      </c>
      <c r="AQ357" s="214">
        <v>113.21160686946486</v>
      </c>
      <c r="AR357" s="214" t="b">
        <v>0</v>
      </c>
      <c r="AS357" s="212" t="s">
        <v>534</v>
      </c>
      <c r="AU357" s="222" t="s">
        <v>819</v>
      </c>
    </row>
    <row r="358" spans="1:47" s="218" customFormat="1" x14ac:dyDescent="0.25">
      <c r="A358" s="245">
        <f t="shared" si="47"/>
        <v>358</v>
      </c>
      <c r="B358" s="246" t="str">
        <f t="shared" si="40"/>
        <v>Oil Field - Tank</v>
      </c>
      <c r="C358" s="246" t="str">
        <f ca="1">IF(B358="","",VLOOKUP(D358,'Species Data'!B:E,4,FALSE))</f>
        <v>c9_comp</v>
      </c>
      <c r="D358" s="246">
        <f t="shared" ca="1" si="41"/>
        <v>2018</v>
      </c>
      <c r="E358" s="246">
        <f t="shared" ca="1" si="42"/>
        <v>0.88819999999999999</v>
      </c>
      <c r="F358" s="246" t="str">
        <f t="shared" ca="1" si="43"/>
        <v>C-9 Compounds</v>
      </c>
      <c r="G358" s="246">
        <f t="shared" ca="1" si="44"/>
        <v>127.23917598649743</v>
      </c>
      <c r="H358" s="204" t="str">
        <f ca="1">IF(G358="","",IF(VLOOKUP(Tank!F358,'Species Data'!D:F,3,FALSE)=0,"X",IF(G358&lt;44.1,2,1)))</f>
        <v>X</v>
      </c>
      <c r="I358" s="204">
        <f t="shared" ca="1" si="45"/>
        <v>0.54975194428533192</v>
      </c>
      <c r="J358" s="247">
        <f ca="1">IF(I358="","",IF(COUNTIF($D$12:D358,D358)=1,IF(H358=1,I358*H358,IF(H358="X","X",0)),0))</f>
        <v>0</v>
      </c>
      <c r="K358" s="248">
        <f t="shared" ca="1" si="46"/>
        <v>0</v>
      </c>
      <c r="L358" s="212" t="s">
        <v>679</v>
      </c>
      <c r="M358" s="212" t="s">
        <v>448</v>
      </c>
      <c r="N358" s="212" t="s">
        <v>470</v>
      </c>
      <c r="O358" s="213">
        <v>41419</v>
      </c>
      <c r="P358" s="212" t="s">
        <v>683</v>
      </c>
      <c r="Q358" s="214">
        <v>100</v>
      </c>
      <c r="R358" s="212" t="s">
        <v>445</v>
      </c>
      <c r="S358" s="212" t="s">
        <v>532</v>
      </c>
      <c r="T358" s="212" t="s">
        <v>445</v>
      </c>
      <c r="U358" s="212" t="s">
        <v>446</v>
      </c>
      <c r="V358" s="214" t="b">
        <v>1</v>
      </c>
      <c r="W358" s="214">
        <v>1989</v>
      </c>
      <c r="X358" s="214">
        <v>5</v>
      </c>
      <c r="Y358" s="214">
        <v>2</v>
      </c>
      <c r="Z358" s="214">
        <v>4</v>
      </c>
      <c r="AA358" s="212" t="s">
        <v>447</v>
      </c>
      <c r="AB358" s="212" t="s">
        <v>531</v>
      </c>
      <c r="AC358" s="212" t="s">
        <v>533</v>
      </c>
      <c r="AD358" s="214">
        <v>28.907579999999999</v>
      </c>
      <c r="AE358" s="214">
        <v>2018</v>
      </c>
      <c r="AF358" s="214">
        <v>0.88819999999999999</v>
      </c>
      <c r="AG358" s="214">
        <v>-99</v>
      </c>
      <c r="AH358" s="212" t="s">
        <v>224</v>
      </c>
      <c r="AI358" s="212" t="s">
        <v>449</v>
      </c>
      <c r="AJ358" s="212" t="s">
        <v>224</v>
      </c>
      <c r="AK358" s="212" t="s">
        <v>531</v>
      </c>
      <c r="AL358" s="212" t="s">
        <v>464</v>
      </c>
      <c r="AM358" s="214" t="b">
        <v>0</v>
      </c>
      <c r="AN358" s="214" t="b">
        <v>0</v>
      </c>
      <c r="AO358" s="212" t="s">
        <v>549</v>
      </c>
      <c r="AP358" s="212" t="s">
        <v>550</v>
      </c>
      <c r="AQ358" s="214">
        <v>127.23917598649743</v>
      </c>
      <c r="AR358" s="214" t="b">
        <v>0</v>
      </c>
      <c r="AS358" s="212" t="s">
        <v>534</v>
      </c>
      <c r="AU358" s="222" t="s">
        <v>819</v>
      </c>
    </row>
    <row r="359" spans="1:47" s="218" customFormat="1" x14ac:dyDescent="0.25">
      <c r="A359" s="245">
        <f t="shared" si="47"/>
        <v>359</v>
      </c>
      <c r="B359" s="246" t="str">
        <f t="shared" si="40"/>
        <v>Oil Field - Tank</v>
      </c>
      <c r="C359" s="246" t="str">
        <f ca="1">IF(B359="","",VLOOKUP(D359,'Species Data'!B:E,4,FALSE))</f>
        <v>trimethben123</v>
      </c>
      <c r="D359" s="246">
        <f t="shared" ca="1" si="41"/>
        <v>25</v>
      </c>
      <c r="E359" s="246">
        <f t="shared" ca="1" si="42"/>
        <v>5.7000000000000002E-3</v>
      </c>
      <c r="F359" s="246" t="str">
        <f t="shared" ca="1" si="43"/>
        <v>1,2,3-trimethylbenzene</v>
      </c>
      <c r="G359" s="246">
        <f t="shared" ca="1" si="44"/>
        <v>120.19158</v>
      </c>
      <c r="H359" s="204">
        <f ca="1">IF(G359="","",IF(VLOOKUP(Tank!F359,'Species Data'!D:F,3,FALSE)=0,"X",IF(G359&lt;44.1,2,1)))</f>
        <v>1</v>
      </c>
      <c r="I359" s="204">
        <f t="shared" ca="1" si="45"/>
        <v>1.0560101376973221E-2</v>
      </c>
      <c r="J359" s="247">
        <f ca="1">IF(I359="","",IF(COUNTIF($D$12:D359,D359)=1,IF(H359=1,I359*H359,IF(H359="X","X",0)),0))</f>
        <v>0</v>
      </c>
      <c r="K359" s="248">
        <f t="shared" ca="1" si="46"/>
        <v>0</v>
      </c>
      <c r="L359" s="212" t="s">
        <v>679</v>
      </c>
      <c r="M359" s="212" t="s">
        <v>448</v>
      </c>
      <c r="N359" s="212" t="s">
        <v>470</v>
      </c>
      <c r="O359" s="213">
        <v>41419</v>
      </c>
      <c r="P359" s="212" t="s">
        <v>683</v>
      </c>
      <c r="Q359" s="214">
        <v>100</v>
      </c>
      <c r="R359" s="212" t="s">
        <v>445</v>
      </c>
      <c r="S359" s="212" t="s">
        <v>532</v>
      </c>
      <c r="T359" s="212" t="s">
        <v>445</v>
      </c>
      <c r="U359" s="212" t="s">
        <v>446</v>
      </c>
      <c r="V359" s="214" t="b">
        <v>1</v>
      </c>
      <c r="W359" s="214">
        <v>1989</v>
      </c>
      <c r="X359" s="214">
        <v>5</v>
      </c>
      <c r="Y359" s="214">
        <v>2</v>
      </c>
      <c r="Z359" s="214">
        <v>4</v>
      </c>
      <c r="AA359" s="212" t="s">
        <v>447</v>
      </c>
      <c r="AB359" s="212" t="s">
        <v>531</v>
      </c>
      <c r="AC359" s="212" t="s">
        <v>533</v>
      </c>
      <c r="AD359" s="214">
        <v>90.285300000000007</v>
      </c>
      <c r="AE359" s="214">
        <v>25</v>
      </c>
      <c r="AF359" s="214">
        <v>5.7000000000000002E-3</v>
      </c>
      <c r="AG359" s="214">
        <v>-99</v>
      </c>
      <c r="AH359" s="212" t="s">
        <v>224</v>
      </c>
      <c r="AI359" s="212" t="s">
        <v>449</v>
      </c>
      <c r="AJ359" s="212" t="s">
        <v>627</v>
      </c>
      <c r="AK359" s="212" t="s">
        <v>531</v>
      </c>
      <c r="AL359" s="212" t="s">
        <v>628</v>
      </c>
      <c r="AM359" s="214" t="b">
        <v>1</v>
      </c>
      <c r="AN359" s="214" t="b">
        <v>0</v>
      </c>
      <c r="AO359" s="212" t="s">
        <v>629</v>
      </c>
      <c r="AP359" s="212" t="s">
        <v>630</v>
      </c>
      <c r="AQ359" s="214">
        <v>120.19158</v>
      </c>
      <c r="AR359" s="214" t="b">
        <v>0</v>
      </c>
      <c r="AS359" s="212" t="s">
        <v>534</v>
      </c>
      <c r="AU359" s="222" t="s">
        <v>819</v>
      </c>
    </row>
    <row r="360" spans="1:47" s="218" customFormat="1" x14ac:dyDescent="0.25">
      <c r="A360" s="245">
        <f t="shared" si="47"/>
        <v>360</v>
      </c>
      <c r="B360" s="246" t="str">
        <f t="shared" si="40"/>
        <v>Oil Field - Tank</v>
      </c>
      <c r="C360" s="246" t="str">
        <f ca="1">IF(B360="","",VLOOKUP(D360,'Species Data'!B:E,4,FALSE))</f>
        <v>trimetben124</v>
      </c>
      <c r="D360" s="246">
        <f t="shared" ca="1" si="41"/>
        <v>30</v>
      </c>
      <c r="E360" s="246">
        <f t="shared" ca="1" si="42"/>
        <v>1.3899999999999999E-2</v>
      </c>
      <c r="F360" s="246" t="str">
        <f t="shared" ca="1" si="43"/>
        <v>1,2,4-trimethylbenzene  (1,3,4-trimethylbenzene)</v>
      </c>
      <c r="G360" s="246">
        <f t="shared" ca="1" si="44"/>
        <v>120.19158</v>
      </c>
      <c r="H360" s="204">
        <f ca="1">IF(G360="","",IF(VLOOKUP(Tank!F360,'Species Data'!D:F,3,FALSE)=0,"X",IF(G360&lt;44.1,2,1)))</f>
        <v>1</v>
      </c>
      <c r="I360" s="204">
        <f t="shared" ca="1" si="45"/>
        <v>1.1400109441050636E-2</v>
      </c>
      <c r="J360" s="247">
        <f ca="1">IF(I360="","",IF(COUNTIF($D$12:D360,D360)=1,IF(H360=1,I360*H360,IF(H360="X","X",0)),0))</f>
        <v>0</v>
      </c>
      <c r="K360" s="248">
        <f t="shared" ca="1" si="46"/>
        <v>0</v>
      </c>
      <c r="L360" s="212" t="s">
        <v>679</v>
      </c>
      <c r="M360" s="212" t="s">
        <v>448</v>
      </c>
      <c r="N360" s="212" t="s">
        <v>470</v>
      </c>
      <c r="O360" s="213">
        <v>41419</v>
      </c>
      <c r="P360" s="212" t="s">
        <v>683</v>
      </c>
      <c r="Q360" s="214">
        <v>100</v>
      </c>
      <c r="R360" s="212" t="s">
        <v>445</v>
      </c>
      <c r="S360" s="212" t="s">
        <v>532</v>
      </c>
      <c r="T360" s="212" t="s">
        <v>445</v>
      </c>
      <c r="U360" s="212" t="s">
        <v>446</v>
      </c>
      <c r="V360" s="214" t="b">
        <v>1</v>
      </c>
      <c r="W360" s="214">
        <v>1989</v>
      </c>
      <c r="X360" s="214">
        <v>5</v>
      </c>
      <c r="Y360" s="214">
        <v>2</v>
      </c>
      <c r="Z360" s="214">
        <v>4</v>
      </c>
      <c r="AA360" s="212" t="s">
        <v>447</v>
      </c>
      <c r="AB360" s="212" t="s">
        <v>531</v>
      </c>
      <c r="AC360" s="212" t="s">
        <v>533</v>
      </c>
      <c r="AD360" s="214">
        <v>90.285300000000007</v>
      </c>
      <c r="AE360" s="214">
        <v>30</v>
      </c>
      <c r="AF360" s="214">
        <v>1.3899999999999999E-2</v>
      </c>
      <c r="AG360" s="214">
        <v>-99</v>
      </c>
      <c r="AH360" s="212" t="s">
        <v>224</v>
      </c>
      <c r="AI360" s="212" t="s">
        <v>449</v>
      </c>
      <c r="AJ360" s="212" t="s">
        <v>359</v>
      </c>
      <c r="AK360" s="212" t="s">
        <v>531</v>
      </c>
      <c r="AL360" s="212" t="s">
        <v>531</v>
      </c>
      <c r="AM360" s="214" t="b">
        <v>1</v>
      </c>
      <c r="AN360" s="214" t="b">
        <v>0</v>
      </c>
      <c r="AO360" s="212" t="s">
        <v>360</v>
      </c>
      <c r="AP360" s="212" t="s">
        <v>361</v>
      </c>
      <c r="AQ360" s="214">
        <v>120.19158</v>
      </c>
      <c r="AR360" s="214" t="b">
        <v>0</v>
      </c>
      <c r="AS360" s="212" t="s">
        <v>534</v>
      </c>
      <c r="AU360" s="222" t="s">
        <v>819</v>
      </c>
    </row>
    <row r="361" spans="1:47" s="218" customFormat="1" x14ac:dyDescent="0.25">
      <c r="A361" s="245">
        <f t="shared" si="47"/>
        <v>361</v>
      </c>
      <c r="B361" s="246" t="str">
        <f t="shared" si="40"/>
        <v>Oil Field - Tank</v>
      </c>
      <c r="C361" s="246" t="str">
        <f ca="1">IF(B361="","",VLOOKUP(D361,'Species Data'!B:E,4,FALSE))</f>
        <v>dietben12</v>
      </c>
      <c r="D361" s="246">
        <f t="shared" ca="1" si="41"/>
        <v>36</v>
      </c>
      <c r="E361" s="246">
        <f t="shared" ca="1" si="42"/>
        <v>4.1000000000000003E-3</v>
      </c>
      <c r="F361" s="246" t="str">
        <f t="shared" ca="1" si="43"/>
        <v>1,2-diethylbenzene (ortho)</v>
      </c>
      <c r="G361" s="246">
        <f t="shared" ca="1" si="44"/>
        <v>134.21816000000001</v>
      </c>
      <c r="H361" s="204" t="str">
        <f ca="1">IF(G361="","",IF(VLOOKUP(Tank!F361,'Species Data'!D:F,3,FALSE)=0,"X",IF(G361&lt;44.1,2,1)))</f>
        <v>X</v>
      </c>
      <c r="I361" s="204">
        <f t="shared" ca="1" si="45"/>
        <v>3.1133632216202617E-3</v>
      </c>
      <c r="J361" s="247">
        <f ca="1">IF(I361="","",IF(COUNTIF($D$12:D361,D361)=1,IF(H361=1,I361*H361,IF(H361="X","X",0)),0))</f>
        <v>0</v>
      </c>
      <c r="K361" s="248">
        <f t="shared" ca="1" si="46"/>
        <v>0</v>
      </c>
      <c r="L361" s="212" t="s">
        <v>679</v>
      </c>
      <c r="M361" s="212" t="s">
        <v>448</v>
      </c>
      <c r="N361" s="212" t="s">
        <v>470</v>
      </c>
      <c r="O361" s="213">
        <v>41419</v>
      </c>
      <c r="P361" s="212" t="s">
        <v>683</v>
      </c>
      <c r="Q361" s="214">
        <v>100</v>
      </c>
      <c r="R361" s="212" t="s">
        <v>445</v>
      </c>
      <c r="S361" s="212" t="s">
        <v>532</v>
      </c>
      <c r="T361" s="212" t="s">
        <v>445</v>
      </c>
      <c r="U361" s="212" t="s">
        <v>446</v>
      </c>
      <c r="V361" s="214" t="b">
        <v>1</v>
      </c>
      <c r="W361" s="214">
        <v>1989</v>
      </c>
      <c r="X361" s="214">
        <v>5</v>
      </c>
      <c r="Y361" s="214">
        <v>2</v>
      </c>
      <c r="Z361" s="214">
        <v>4</v>
      </c>
      <c r="AA361" s="212" t="s">
        <v>447</v>
      </c>
      <c r="AB361" s="212" t="s">
        <v>531</v>
      </c>
      <c r="AC361" s="212" t="s">
        <v>533</v>
      </c>
      <c r="AD361" s="214">
        <v>90.285300000000007</v>
      </c>
      <c r="AE361" s="214">
        <v>36</v>
      </c>
      <c r="AF361" s="214">
        <v>4.1000000000000003E-3</v>
      </c>
      <c r="AG361" s="214">
        <v>-99</v>
      </c>
      <c r="AH361" s="212" t="s">
        <v>224</v>
      </c>
      <c r="AI361" s="212" t="s">
        <v>449</v>
      </c>
      <c r="AJ361" s="212" t="s">
        <v>631</v>
      </c>
      <c r="AK361" s="212" t="s">
        <v>531</v>
      </c>
      <c r="AL361" s="212" t="s">
        <v>632</v>
      </c>
      <c r="AM361" s="214" t="b">
        <v>0</v>
      </c>
      <c r="AN361" s="214" t="b">
        <v>0</v>
      </c>
      <c r="AO361" s="212" t="s">
        <v>633</v>
      </c>
      <c r="AP361" s="212" t="s">
        <v>531</v>
      </c>
      <c r="AQ361" s="214">
        <v>134.21816000000001</v>
      </c>
      <c r="AR361" s="214" t="b">
        <v>0</v>
      </c>
      <c r="AS361" s="212" t="s">
        <v>534</v>
      </c>
      <c r="AU361" s="222" t="s">
        <v>819</v>
      </c>
    </row>
    <row r="362" spans="1:47" s="218" customFormat="1" x14ac:dyDescent="0.25">
      <c r="A362" s="245">
        <f t="shared" si="47"/>
        <v>362</v>
      </c>
      <c r="B362" s="246" t="str">
        <f t="shared" si="40"/>
        <v>Oil Field - Tank</v>
      </c>
      <c r="C362" s="246" t="str">
        <f ca="1">IF(B362="","",VLOOKUP(D362,'Species Data'!B:E,4,FALSE))</f>
        <v>trimethben135</v>
      </c>
      <c r="D362" s="246">
        <f t="shared" ca="1" si="41"/>
        <v>44</v>
      </c>
      <c r="E362" s="246">
        <f t="shared" ca="1" si="42"/>
        <v>1.1599999999999999E-2</v>
      </c>
      <c r="F362" s="246" t="str">
        <f t="shared" ca="1" si="43"/>
        <v>1,3,5-trimethylbenzene</v>
      </c>
      <c r="G362" s="246">
        <f t="shared" ca="1" si="44"/>
        <v>120.19158</v>
      </c>
      <c r="H362" s="204">
        <f ca="1">IF(G362="","",IF(VLOOKUP(Tank!F362,'Species Data'!D:F,3,FALSE)=0,"X",IF(G362&lt;44.1,2,1)))</f>
        <v>1</v>
      </c>
      <c r="I362" s="204">
        <f t="shared" ca="1" si="45"/>
        <v>1.3046791915869061E-2</v>
      </c>
      <c r="J362" s="247">
        <f ca="1">IF(I362="","",IF(COUNTIF($D$12:D362,D362)=1,IF(H362=1,I362*H362,IF(H362="X","X",0)),0))</f>
        <v>0</v>
      </c>
      <c r="K362" s="248">
        <f t="shared" ca="1" si="46"/>
        <v>0</v>
      </c>
      <c r="L362" s="212" t="s">
        <v>679</v>
      </c>
      <c r="M362" s="212" t="s">
        <v>448</v>
      </c>
      <c r="N362" s="212" t="s">
        <v>470</v>
      </c>
      <c r="O362" s="213">
        <v>41419</v>
      </c>
      <c r="P362" s="212" t="s">
        <v>683</v>
      </c>
      <c r="Q362" s="214">
        <v>100</v>
      </c>
      <c r="R362" s="212" t="s">
        <v>445</v>
      </c>
      <c r="S362" s="212" t="s">
        <v>532</v>
      </c>
      <c r="T362" s="212" t="s">
        <v>445</v>
      </c>
      <c r="U362" s="212" t="s">
        <v>446</v>
      </c>
      <c r="V362" s="214" t="b">
        <v>1</v>
      </c>
      <c r="W362" s="214">
        <v>1989</v>
      </c>
      <c r="X362" s="214">
        <v>5</v>
      </c>
      <c r="Y362" s="214">
        <v>2</v>
      </c>
      <c r="Z362" s="214">
        <v>4</v>
      </c>
      <c r="AA362" s="212" t="s">
        <v>447</v>
      </c>
      <c r="AB362" s="212" t="s">
        <v>531</v>
      </c>
      <c r="AC362" s="212" t="s">
        <v>533</v>
      </c>
      <c r="AD362" s="214">
        <v>90.285300000000007</v>
      </c>
      <c r="AE362" s="214">
        <v>44</v>
      </c>
      <c r="AF362" s="214">
        <v>1.1599999999999999E-2</v>
      </c>
      <c r="AG362" s="214">
        <v>-99</v>
      </c>
      <c r="AH362" s="212" t="s">
        <v>224</v>
      </c>
      <c r="AI362" s="212" t="s">
        <v>449</v>
      </c>
      <c r="AJ362" s="212" t="s">
        <v>400</v>
      </c>
      <c r="AK362" s="212" t="s">
        <v>531</v>
      </c>
      <c r="AL362" s="212" t="s">
        <v>401</v>
      </c>
      <c r="AM362" s="214" t="b">
        <v>1</v>
      </c>
      <c r="AN362" s="214" t="b">
        <v>0</v>
      </c>
      <c r="AO362" s="212" t="s">
        <v>402</v>
      </c>
      <c r="AP362" s="212" t="s">
        <v>403</v>
      </c>
      <c r="AQ362" s="214">
        <v>120.19158</v>
      </c>
      <c r="AR362" s="214" t="b">
        <v>0</v>
      </c>
      <c r="AS362" s="212" t="s">
        <v>534</v>
      </c>
      <c r="AU362" s="222" t="s">
        <v>819</v>
      </c>
    </row>
    <row r="363" spans="1:47" s="218" customFormat="1" x14ac:dyDescent="0.25">
      <c r="A363" s="245">
        <f t="shared" si="47"/>
        <v>363</v>
      </c>
      <c r="B363" s="246" t="str">
        <f t="shared" si="40"/>
        <v>Oil Field - Tank</v>
      </c>
      <c r="C363" s="246" t="str">
        <f ca="1">IF(B363="","",VLOOKUP(D363,'Species Data'!B:E,4,FALSE))</f>
        <v>dietben13</v>
      </c>
      <c r="D363" s="246">
        <f t="shared" ca="1" si="41"/>
        <v>51</v>
      </c>
      <c r="E363" s="246">
        <f t="shared" ca="1" si="42"/>
        <v>1.5E-3</v>
      </c>
      <c r="F363" s="246" t="str">
        <f t="shared" ca="1" si="43"/>
        <v>1,3-diethylbenzene (meta)</v>
      </c>
      <c r="G363" s="246">
        <f t="shared" ca="1" si="44"/>
        <v>134.21816000000001</v>
      </c>
      <c r="H363" s="204" t="str">
        <f ca="1">IF(G363="","",IF(VLOOKUP(Tank!F363,'Species Data'!D:F,3,FALSE)=0,"X",IF(G363&lt;44.1,2,1)))</f>
        <v>X</v>
      </c>
      <c r="I363" s="204">
        <f t="shared" ca="1" si="45"/>
        <v>1.9800190081824794E-3</v>
      </c>
      <c r="J363" s="247">
        <f ca="1">IF(I363="","",IF(COUNTIF($D$12:D363,D363)=1,IF(H363=1,I363*H363,IF(H363="X","X",0)),0))</f>
        <v>0</v>
      </c>
      <c r="K363" s="248">
        <f t="shared" ca="1" si="46"/>
        <v>0</v>
      </c>
      <c r="L363" s="212" t="s">
        <v>679</v>
      </c>
      <c r="M363" s="212" t="s">
        <v>448</v>
      </c>
      <c r="N363" s="212" t="s">
        <v>470</v>
      </c>
      <c r="O363" s="213">
        <v>41419</v>
      </c>
      <c r="P363" s="212" t="s">
        <v>683</v>
      </c>
      <c r="Q363" s="214">
        <v>100</v>
      </c>
      <c r="R363" s="212" t="s">
        <v>445</v>
      </c>
      <c r="S363" s="212" t="s">
        <v>532</v>
      </c>
      <c r="T363" s="212" t="s">
        <v>445</v>
      </c>
      <c r="U363" s="212" t="s">
        <v>446</v>
      </c>
      <c r="V363" s="214" t="b">
        <v>1</v>
      </c>
      <c r="W363" s="214">
        <v>1989</v>
      </c>
      <c r="X363" s="214">
        <v>5</v>
      </c>
      <c r="Y363" s="214">
        <v>2</v>
      </c>
      <c r="Z363" s="214">
        <v>4</v>
      </c>
      <c r="AA363" s="212" t="s">
        <v>447</v>
      </c>
      <c r="AB363" s="212" t="s">
        <v>531</v>
      </c>
      <c r="AC363" s="212" t="s">
        <v>533</v>
      </c>
      <c r="AD363" s="214">
        <v>90.285300000000007</v>
      </c>
      <c r="AE363" s="214">
        <v>51</v>
      </c>
      <c r="AF363" s="214">
        <v>1.5E-3</v>
      </c>
      <c r="AG363" s="214">
        <v>-99</v>
      </c>
      <c r="AH363" s="212" t="s">
        <v>224</v>
      </c>
      <c r="AI363" s="212" t="s">
        <v>449</v>
      </c>
      <c r="AJ363" s="212" t="s">
        <v>634</v>
      </c>
      <c r="AK363" s="212" t="s">
        <v>531</v>
      </c>
      <c r="AL363" s="212" t="s">
        <v>635</v>
      </c>
      <c r="AM363" s="214" t="b">
        <v>1</v>
      </c>
      <c r="AN363" s="214" t="b">
        <v>0</v>
      </c>
      <c r="AO363" s="212" t="s">
        <v>636</v>
      </c>
      <c r="AP363" s="212" t="s">
        <v>637</v>
      </c>
      <c r="AQ363" s="214">
        <v>134.21816000000001</v>
      </c>
      <c r="AR363" s="214" t="b">
        <v>0</v>
      </c>
      <c r="AS363" s="212" t="s">
        <v>534</v>
      </c>
      <c r="AU363" s="222" t="s">
        <v>819</v>
      </c>
    </row>
    <row r="364" spans="1:47" s="218" customFormat="1" x14ac:dyDescent="0.25">
      <c r="A364" s="245">
        <f t="shared" si="47"/>
        <v>364</v>
      </c>
      <c r="B364" s="246" t="str">
        <f t="shared" si="40"/>
        <v>Oil Field - Tank</v>
      </c>
      <c r="C364" s="246" t="str">
        <f ca="1">IF(B364="","",VLOOKUP(D364,'Species Data'!B:E,4,FALSE))</f>
        <v>dietben14</v>
      </c>
      <c r="D364" s="246">
        <f t="shared" ca="1" si="41"/>
        <v>59</v>
      </c>
      <c r="E364" s="246">
        <f t="shared" ca="1" si="42"/>
        <v>2.2499999999999999E-2</v>
      </c>
      <c r="F364" s="246" t="str">
        <f t="shared" ca="1" si="43"/>
        <v>1,4-diethylbenzene (para)</v>
      </c>
      <c r="G364" s="246">
        <f t="shared" ca="1" si="44"/>
        <v>134.21816000000001</v>
      </c>
      <c r="H364" s="204" t="str">
        <f ca="1">IF(G364="","",IF(VLOOKUP(Tank!F364,'Species Data'!D:F,3,FALSE)=0,"X",IF(G364&lt;44.1,2,1)))</f>
        <v>X</v>
      </c>
      <c r="I364" s="204">
        <f t="shared" ca="1" si="45"/>
        <v>4.2867078190617306E-3</v>
      </c>
      <c r="J364" s="247">
        <f ca="1">IF(I364="","",IF(COUNTIF($D$12:D364,D364)=1,IF(H364=1,I364*H364,IF(H364="X","X",0)),0))</f>
        <v>0</v>
      </c>
      <c r="K364" s="248">
        <f t="shared" ca="1" si="46"/>
        <v>0</v>
      </c>
      <c r="L364" s="212" t="s">
        <v>679</v>
      </c>
      <c r="M364" s="212" t="s">
        <v>448</v>
      </c>
      <c r="N364" s="212" t="s">
        <v>470</v>
      </c>
      <c r="O364" s="213">
        <v>41419</v>
      </c>
      <c r="P364" s="212" t="s">
        <v>683</v>
      </c>
      <c r="Q364" s="214">
        <v>100</v>
      </c>
      <c r="R364" s="212" t="s">
        <v>445</v>
      </c>
      <c r="S364" s="212" t="s">
        <v>532</v>
      </c>
      <c r="T364" s="212" t="s">
        <v>445</v>
      </c>
      <c r="U364" s="212" t="s">
        <v>446</v>
      </c>
      <c r="V364" s="214" t="b">
        <v>1</v>
      </c>
      <c r="W364" s="214">
        <v>1989</v>
      </c>
      <c r="X364" s="214">
        <v>5</v>
      </c>
      <c r="Y364" s="214">
        <v>2</v>
      </c>
      <c r="Z364" s="214">
        <v>4</v>
      </c>
      <c r="AA364" s="212" t="s">
        <v>447</v>
      </c>
      <c r="AB364" s="212" t="s">
        <v>531</v>
      </c>
      <c r="AC364" s="212" t="s">
        <v>533</v>
      </c>
      <c r="AD364" s="214">
        <v>90.285300000000007</v>
      </c>
      <c r="AE364" s="214">
        <v>59</v>
      </c>
      <c r="AF364" s="214">
        <v>2.2499999999999999E-2</v>
      </c>
      <c r="AG364" s="214">
        <v>-99</v>
      </c>
      <c r="AH364" s="212" t="s">
        <v>224</v>
      </c>
      <c r="AI364" s="212" t="s">
        <v>449</v>
      </c>
      <c r="AJ364" s="212" t="s">
        <v>638</v>
      </c>
      <c r="AK364" s="212" t="s">
        <v>531</v>
      </c>
      <c r="AL364" s="212" t="s">
        <v>639</v>
      </c>
      <c r="AM364" s="214" t="b">
        <v>1</v>
      </c>
      <c r="AN364" s="214" t="b">
        <v>0</v>
      </c>
      <c r="AO364" s="212" t="s">
        <v>640</v>
      </c>
      <c r="AP364" s="212" t="s">
        <v>641</v>
      </c>
      <c r="AQ364" s="214">
        <v>134.21816000000001</v>
      </c>
      <c r="AR364" s="214" t="b">
        <v>0</v>
      </c>
      <c r="AS364" s="212" t="s">
        <v>534</v>
      </c>
      <c r="AU364" s="222" t="s">
        <v>819</v>
      </c>
    </row>
    <row r="365" spans="1:47" s="218" customFormat="1" x14ac:dyDescent="0.25">
      <c r="A365" s="245">
        <f t="shared" si="47"/>
        <v>365</v>
      </c>
      <c r="B365" s="246" t="str">
        <f t="shared" si="40"/>
        <v>Oil Field - Tank</v>
      </c>
      <c r="C365" s="246" t="str">
        <f ca="1">IF(B365="","",VLOOKUP(D365,'Species Data'!B:E,4,FALSE))</f>
        <v>ethben12</v>
      </c>
      <c r="D365" s="246">
        <f t="shared" ca="1" si="41"/>
        <v>80</v>
      </c>
      <c r="E365" s="246">
        <f t="shared" ca="1" si="42"/>
        <v>1.5800000000000002E-2</v>
      </c>
      <c r="F365" s="246" t="str">
        <f t="shared" ca="1" si="43"/>
        <v>1-Methyl-2-ethylbenzene</v>
      </c>
      <c r="G365" s="246">
        <f t="shared" ca="1" si="44"/>
        <v>120.19158</v>
      </c>
      <c r="H365" s="204">
        <f ca="1">IF(G365="","",IF(VLOOKUP(Tank!F365,'Species Data'!D:F,3,FALSE)=0,"X",IF(G365&lt;44.1,2,1)))</f>
        <v>1</v>
      </c>
      <c r="I365" s="204">
        <f t="shared" ca="1" si="45"/>
        <v>1.2980124609196252E-2</v>
      </c>
      <c r="J365" s="247">
        <f ca="1">IF(I365="","",IF(COUNTIF($D$12:D365,D365)=1,IF(H365=1,I365*H365,IF(H365="X","X",0)),0))</f>
        <v>0</v>
      </c>
      <c r="K365" s="248">
        <f t="shared" ca="1" si="46"/>
        <v>0</v>
      </c>
      <c r="L365" s="212" t="s">
        <v>679</v>
      </c>
      <c r="M365" s="212" t="s">
        <v>448</v>
      </c>
      <c r="N365" s="212" t="s">
        <v>470</v>
      </c>
      <c r="O365" s="213">
        <v>41419</v>
      </c>
      <c r="P365" s="212" t="s">
        <v>683</v>
      </c>
      <c r="Q365" s="214">
        <v>100</v>
      </c>
      <c r="R365" s="212" t="s">
        <v>445</v>
      </c>
      <c r="S365" s="212" t="s">
        <v>532</v>
      </c>
      <c r="T365" s="212" t="s">
        <v>445</v>
      </c>
      <c r="U365" s="212" t="s">
        <v>446</v>
      </c>
      <c r="V365" s="214" t="b">
        <v>1</v>
      </c>
      <c r="W365" s="214">
        <v>1989</v>
      </c>
      <c r="X365" s="214">
        <v>5</v>
      </c>
      <c r="Y365" s="214">
        <v>2</v>
      </c>
      <c r="Z365" s="214">
        <v>4</v>
      </c>
      <c r="AA365" s="212" t="s">
        <v>447</v>
      </c>
      <c r="AB365" s="212" t="s">
        <v>531</v>
      </c>
      <c r="AC365" s="212" t="s">
        <v>533</v>
      </c>
      <c r="AD365" s="214">
        <v>90.285300000000007</v>
      </c>
      <c r="AE365" s="214">
        <v>80</v>
      </c>
      <c r="AF365" s="214">
        <v>1.5800000000000002E-2</v>
      </c>
      <c r="AG365" s="214">
        <v>-99</v>
      </c>
      <c r="AH365" s="212" t="s">
        <v>224</v>
      </c>
      <c r="AI365" s="212" t="s">
        <v>449</v>
      </c>
      <c r="AJ365" s="212" t="s">
        <v>408</v>
      </c>
      <c r="AK365" s="212" t="s">
        <v>531</v>
      </c>
      <c r="AL365" s="212" t="s">
        <v>450</v>
      </c>
      <c r="AM365" s="214" t="b">
        <v>1</v>
      </c>
      <c r="AN365" s="214" t="b">
        <v>0</v>
      </c>
      <c r="AO365" s="212" t="s">
        <v>409</v>
      </c>
      <c r="AP365" s="212" t="s">
        <v>410</v>
      </c>
      <c r="AQ365" s="214">
        <v>120.19158</v>
      </c>
      <c r="AR365" s="214" t="b">
        <v>0</v>
      </c>
      <c r="AS365" s="212" t="s">
        <v>534</v>
      </c>
      <c r="AU365" s="222" t="s">
        <v>819</v>
      </c>
    </row>
    <row r="366" spans="1:47" s="218" customFormat="1" x14ac:dyDescent="0.25">
      <c r="A366" s="245">
        <f t="shared" si="47"/>
        <v>366</v>
      </c>
      <c r="B366" s="246" t="str">
        <f t="shared" si="40"/>
        <v>Oil Field - Tank</v>
      </c>
      <c r="C366" s="246" t="str">
        <f ca="1">IF(B366="","",VLOOKUP(D366,'Species Data'!B:E,4,FALSE))</f>
        <v>ethben13</v>
      </c>
      <c r="D366" s="246">
        <f t="shared" ca="1" si="41"/>
        <v>89</v>
      </c>
      <c r="E366" s="246">
        <f t="shared" ca="1" si="42"/>
        <v>9.7000000000000003E-3</v>
      </c>
      <c r="F366" s="246" t="str">
        <f t="shared" ca="1" si="43"/>
        <v>1-Methyl-3-ethylbenzene (3-Ethyltoluene)</v>
      </c>
      <c r="G366" s="246">
        <f t="shared" ca="1" si="44"/>
        <v>120.19158</v>
      </c>
      <c r="H366" s="204">
        <f ca="1">IF(G366="","",IF(VLOOKUP(Tank!F366,'Species Data'!D:F,3,FALSE)=0,"X",IF(G366&lt;44.1,2,1)))</f>
        <v>1</v>
      </c>
      <c r="I366" s="204">
        <f t="shared" ca="1" si="45"/>
        <v>1.0893437910337275E-2</v>
      </c>
      <c r="J366" s="247">
        <f ca="1">IF(I366="","",IF(COUNTIF($D$12:D366,D366)=1,IF(H366=1,I366*H366,IF(H366="X","X",0)),0))</f>
        <v>0</v>
      </c>
      <c r="K366" s="248">
        <f t="shared" ca="1" si="46"/>
        <v>0</v>
      </c>
      <c r="L366" s="212" t="s">
        <v>679</v>
      </c>
      <c r="M366" s="212" t="s">
        <v>448</v>
      </c>
      <c r="N366" s="212" t="s">
        <v>470</v>
      </c>
      <c r="O366" s="213">
        <v>41419</v>
      </c>
      <c r="P366" s="212" t="s">
        <v>683</v>
      </c>
      <c r="Q366" s="214">
        <v>100</v>
      </c>
      <c r="R366" s="212" t="s">
        <v>445</v>
      </c>
      <c r="S366" s="212" t="s">
        <v>532</v>
      </c>
      <c r="T366" s="212" t="s">
        <v>445</v>
      </c>
      <c r="U366" s="212" t="s">
        <v>446</v>
      </c>
      <c r="V366" s="214" t="b">
        <v>1</v>
      </c>
      <c r="W366" s="214">
        <v>1989</v>
      </c>
      <c r="X366" s="214">
        <v>5</v>
      </c>
      <c r="Y366" s="214">
        <v>2</v>
      </c>
      <c r="Z366" s="214">
        <v>4</v>
      </c>
      <c r="AA366" s="212" t="s">
        <v>447</v>
      </c>
      <c r="AB366" s="212" t="s">
        <v>531</v>
      </c>
      <c r="AC366" s="212" t="s">
        <v>533</v>
      </c>
      <c r="AD366" s="214">
        <v>90.285300000000007</v>
      </c>
      <c r="AE366" s="214">
        <v>89</v>
      </c>
      <c r="AF366" s="214">
        <v>9.7000000000000003E-3</v>
      </c>
      <c r="AG366" s="214">
        <v>-99</v>
      </c>
      <c r="AH366" s="212" t="s">
        <v>224</v>
      </c>
      <c r="AI366" s="212" t="s">
        <v>449</v>
      </c>
      <c r="AJ366" s="212" t="s">
        <v>411</v>
      </c>
      <c r="AK366" s="212" t="s">
        <v>531</v>
      </c>
      <c r="AL366" s="212" t="s">
        <v>451</v>
      </c>
      <c r="AM366" s="214" t="b">
        <v>1</v>
      </c>
      <c r="AN366" s="214" t="b">
        <v>0</v>
      </c>
      <c r="AO366" s="212" t="s">
        <v>412</v>
      </c>
      <c r="AP366" s="212" t="s">
        <v>413</v>
      </c>
      <c r="AQ366" s="214">
        <v>120.19158</v>
      </c>
      <c r="AR366" s="214" t="b">
        <v>0</v>
      </c>
      <c r="AS366" s="212" t="s">
        <v>534</v>
      </c>
      <c r="AU366" s="222" t="s">
        <v>819</v>
      </c>
    </row>
    <row r="367" spans="1:47" s="218" customFormat="1" x14ac:dyDescent="0.25">
      <c r="A367" s="245">
        <f t="shared" si="47"/>
        <v>367</v>
      </c>
      <c r="B367" s="246" t="str">
        <f t="shared" si="40"/>
        <v>Oil Field - Tank</v>
      </c>
      <c r="C367" s="246" t="str">
        <f ca="1">IF(B367="","",VLOOKUP(D367,'Species Data'!B:E,4,FALSE))</f>
        <v>dimetbut22</v>
      </c>
      <c r="D367" s="246">
        <f t="shared" ca="1" si="41"/>
        <v>122</v>
      </c>
      <c r="E367" s="246">
        <f t="shared" ca="1" si="42"/>
        <v>5.0000000000000001E-3</v>
      </c>
      <c r="F367" s="246" t="str">
        <f t="shared" ca="1" si="43"/>
        <v>2,2-dimethylbutane</v>
      </c>
      <c r="G367" s="246">
        <f t="shared" ca="1" si="44"/>
        <v>86.175359999999998</v>
      </c>
      <c r="H367" s="204">
        <f ca="1">IF(G367="","",IF(VLOOKUP(Tank!F367,'Species Data'!D:F,3,FALSE)=0,"X",IF(G367&lt;44.1,2,1)))</f>
        <v>1</v>
      </c>
      <c r="I367" s="204">
        <f t="shared" ca="1" si="45"/>
        <v>8.538748638653601E-2</v>
      </c>
      <c r="J367" s="247">
        <f ca="1">IF(I367="","",IF(COUNTIF($D$12:D367,D367)=1,IF(H367=1,I367*H367,IF(H367="X","X",0)),0))</f>
        <v>0</v>
      </c>
      <c r="K367" s="248">
        <f t="shared" ca="1" si="46"/>
        <v>0</v>
      </c>
      <c r="L367" s="212" t="s">
        <v>679</v>
      </c>
      <c r="M367" s="212" t="s">
        <v>448</v>
      </c>
      <c r="N367" s="212" t="s">
        <v>470</v>
      </c>
      <c r="O367" s="213">
        <v>41419</v>
      </c>
      <c r="P367" s="212" t="s">
        <v>683</v>
      </c>
      <c r="Q367" s="214">
        <v>100</v>
      </c>
      <c r="R367" s="212" t="s">
        <v>445</v>
      </c>
      <c r="S367" s="212" t="s">
        <v>532</v>
      </c>
      <c r="T367" s="212" t="s">
        <v>445</v>
      </c>
      <c r="U367" s="212" t="s">
        <v>446</v>
      </c>
      <c r="V367" s="214" t="b">
        <v>1</v>
      </c>
      <c r="W367" s="214">
        <v>1989</v>
      </c>
      <c r="X367" s="214">
        <v>5</v>
      </c>
      <c r="Y367" s="214">
        <v>2</v>
      </c>
      <c r="Z367" s="214">
        <v>4</v>
      </c>
      <c r="AA367" s="212" t="s">
        <v>447</v>
      </c>
      <c r="AB367" s="212" t="s">
        <v>531</v>
      </c>
      <c r="AC367" s="212" t="s">
        <v>533</v>
      </c>
      <c r="AD367" s="214">
        <v>90.285300000000007</v>
      </c>
      <c r="AE367" s="214">
        <v>122</v>
      </c>
      <c r="AF367" s="214">
        <v>5.0000000000000001E-3</v>
      </c>
      <c r="AG367" s="214">
        <v>-99</v>
      </c>
      <c r="AH367" s="212" t="s">
        <v>224</v>
      </c>
      <c r="AI367" s="212" t="s">
        <v>449</v>
      </c>
      <c r="AJ367" s="212" t="s">
        <v>301</v>
      </c>
      <c r="AK367" s="212" t="s">
        <v>531</v>
      </c>
      <c r="AL367" s="212" t="s">
        <v>384</v>
      </c>
      <c r="AM367" s="214" t="b">
        <v>1</v>
      </c>
      <c r="AN367" s="214" t="b">
        <v>0</v>
      </c>
      <c r="AO367" s="212" t="s">
        <v>302</v>
      </c>
      <c r="AP367" s="212" t="s">
        <v>303</v>
      </c>
      <c r="AQ367" s="214">
        <v>86.175359999999998</v>
      </c>
      <c r="AR367" s="214" t="b">
        <v>0</v>
      </c>
      <c r="AS367" s="212" t="s">
        <v>534</v>
      </c>
      <c r="AU367" s="222" t="s">
        <v>819</v>
      </c>
    </row>
    <row r="368" spans="1:47" s="218" customFormat="1" x14ac:dyDescent="0.25">
      <c r="A368" s="245">
        <f t="shared" si="47"/>
        <v>368</v>
      </c>
      <c r="B368" s="246" t="str">
        <f t="shared" si="40"/>
        <v>Oil Field - Tank</v>
      </c>
      <c r="C368" s="246" t="str">
        <f ca="1">IF(B368="","",VLOOKUP(D368,'Species Data'!B:E,4,FALSE))</f>
        <v>dimethpro</v>
      </c>
      <c r="D368" s="246">
        <f t="shared" ca="1" si="41"/>
        <v>127</v>
      </c>
      <c r="E368" s="246">
        <f t="shared" ca="1" si="42"/>
        <v>5.5399999999999998E-2</v>
      </c>
      <c r="F368" s="246" t="str">
        <f t="shared" ca="1" si="43"/>
        <v>2,2-dimethylpropane</v>
      </c>
      <c r="G368" s="246">
        <f t="shared" ca="1" si="44"/>
        <v>72.148780000000002</v>
      </c>
      <c r="H368" s="204">
        <f ca="1">IF(G368="","",IF(VLOOKUP(Tank!F368,'Species Data'!D:F,3,FALSE)=0,"X",IF(G368&lt;44.1,2,1)))</f>
        <v>1</v>
      </c>
      <c r="I368" s="204">
        <f t="shared" ca="1" si="45"/>
        <v>9.7614270430329483E-2</v>
      </c>
      <c r="J368" s="247">
        <f ca="1">IF(I368="","",IF(COUNTIF($D$12:D368,D368)=1,IF(H368=1,I368*H368,IF(H368="X","X",0)),0))</f>
        <v>0</v>
      </c>
      <c r="K368" s="248">
        <f t="shared" ca="1" si="46"/>
        <v>0</v>
      </c>
      <c r="L368" s="212" t="s">
        <v>679</v>
      </c>
      <c r="M368" s="212" t="s">
        <v>448</v>
      </c>
      <c r="N368" s="212" t="s">
        <v>470</v>
      </c>
      <c r="O368" s="213">
        <v>41419</v>
      </c>
      <c r="P368" s="212" t="s">
        <v>683</v>
      </c>
      <c r="Q368" s="214">
        <v>100</v>
      </c>
      <c r="R368" s="212" t="s">
        <v>445</v>
      </c>
      <c r="S368" s="212" t="s">
        <v>532</v>
      </c>
      <c r="T368" s="212" t="s">
        <v>445</v>
      </c>
      <c r="U368" s="212" t="s">
        <v>446</v>
      </c>
      <c r="V368" s="214" t="b">
        <v>1</v>
      </c>
      <c r="W368" s="214">
        <v>1989</v>
      </c>
      <c r="X368" s="214">
        <v>5</v>
      </c>
      <c r="Y368" s="214">
        <v>2</v>
      </c>
      <c r="Z368" s="214">
        <v>4</v>
      </c>
      <c r="AA368" s="212" t="s">
        <v>447</v>
      </c>
      <c r="AB368" s="212" t="s">
        <v>531</v>
      </c>
      <c r="AC368" s="212" t="s">
        <v>533</v>
      </c>
      <c r="AD368" s="214">
        <v>90.285300000000007</v>
      </c>
      <c r="AE368" s="214">
        <v>127</v>
      </c>
      <c r="AF368" s="214">
        <v>5.5399999999999998E-2</v>
      </c>
      <c r="AG368" s="214">
        <v>-99</v>
      </c>
      <c r="AH368" s="212" t="s">
        <v>224</v>
      </c>
      <c r="AI368" s="212" t="s">
        <v>449</v>
      </c>
      <c r="AJ368" s="212" t="s">
        <v>441</v>
      </c>
      <c r="AK368" s="212" t="s">
        <v>531</v>
      </c>
      <c r="AL368" s="212" t="s">
        <v>462</v>
      </c>
      <c r="AM368" s="214" t="b">
        <v>0</v>
      </c>
      <c r="AN368" s="214" t="b">
        <v>0</v>
      </c>
      <c r="AO368" s="212" t="s">
        <v>442</v>
      </c>
      <c r="AP368" s="212" t="s">
        <v>531</v>
      </c>
      <c r="AQ368" s="214">
        <v>72.148780000000002</v>
      </c>
      <c r="AR368" s="214" t="b">
        <v>0</v>
      </c>
      <c r="AS368" s="212" t="s">
        <v>534</v>
      </c>
      <c r="AU368" s="222" t="s">
        <v>819</v>
      </c>
    </row>
    <row r="369" spans="1:47" s="218" customFormat="1" x14ac:dyDescent="0.25">
      <c r="A369" s="245">
        <f t="shared" si="47"/>
        <v>369</v>
      </c>
      <c r="B369" s="246" t="str">
        <f t="shared" si="40"/>
        <v>Oil Field - Tank</v>
      </c>
      <c r="C369" s="246" t="str">
        <f ca="1">IF(B369="","",VLOOKUP(D369,'Species Data'!B:E,4,FALSE))</f>
        <v>trimentpen3</v>
      </c>
      <c r="D369" s="246">
        <f t="shared" ca="1" si="41"/>
        <v>130</v>
      </c>
      <c r="E369" s="246">
        <f t="shared" ca="1" si="42"/>
        <v>2.7000000000000001E-3</v>
      </c>
      <c r="F369" s="246" t="str">
        <f t="shared" ca="1" si="43"/>
        <v>2,3,4-trimethylpentane</v>
      </c>
      <c r="G369" s="246">
        <f t="shared" ca="1" si="44"/>
        <v>114.22852</v>
      </c>
      <c r="H369" s="204">
        <f ca="1">IF(G369="","",IF(VLOOKUP(Tank!F369,'Species Data'!D:F,3,FALSE)=0,"X",IF(G369&lt;44.1,2,1)))</f>
        <v>1</v>
      </c>
      <c r="I369" s="204">
        <f t="shared" ca="1" si="45"/>
        <v>0.22004211240427912</v>
      </c>
      <c r="J369" s="247">
        <f ca="1">IF(I369="","",IF(COUNTIF($D$12:D369,D369)=1,IF(H369=1,I369*H369,IF(H369="X","X",0)),0))</f>
        <v>0</v>
      </c>
      <c r="K369" s="248">
        <f t="shared" ca="1" si="46"/>
        <v>0</v>
      </c>
      <c r="L369" s="212" t="s">
        <v>679</v>
      </c>
      <c r="M369" s="212" t="s">
        <v>448</v>
      </c>
      <c r="N369" s="212" t="s">
        <v>470</v>
      </c>
      <c r="O369" s="213">
        <v>41419</v>
      </c>
      <c r="P369" s="212" t="s">
        <v>683</v>
      </c>
      <c r="Q369" s="214">
        <v>100</v>
      </c>
      <c r="R369" s="212" t="s">
        <v>445</v>
      </c>
      <c r="S369" s="212" t="s">
        <v>532</v>
      </c>
      <c r="T369" s="212" t="s">
        <v>445</v>
      </c>
      <c r="U369" s="212" t="s">
        <v>446</v>
      </c>
      <c r="V369" s="214" t="b">
        <v>1</v>
      </c>
      <c r="W369" s="214">
        <v>1989</v>
      </c>
      <c r="X369" s="214">
        <v>5</v>
      </c>
      <c r="Y369" s="214">
        <v>2</v>
      </c>
      <c r="Z369" s="214">
        <v>4</v>
      </c>
      <c r="AA369" s="212" t="s">
        <v>447</v>
      </c>
      <c r="AB369" s="212" t="s">
        <v>531</v>
      </c>
      <c r="AC369" s="212" t="s">
        <v>533</v>
      </c>
      <c r="AD369" s="214">
        <v>90.285300000000007</v>
      </c>
      <c r="AE369" s="214">
        <v>130</v>
      </c>
      <c r="AF369" s="214">
        <v>2.7000000000000001E-3</v>
      </c>
      <c r="AG369" s="214">
        <v>-99</v>
      </c>
      <c r="AH369" s="212" t="s">
        <v>224</v>
      </c>
      <c r="AI369" s="212" t="s">
        <v>449</v>
      </c>
      <c r="AJ369" s="212" t="s">
        <v>404</v>
      </c>
      <c r="AK369" s="212" t="s">
        <v>531</v>
      </c>
      <c r="AL369" s="212" t="s">
        <v>405</v>
      </c>
      <c r="AM369" s="214" t="b">
        <v>1</v>
      </c>
      <c r="AN369" s="214" t="b">
        <v>0</v>
      </c>
      <c r="AO369" s="212" t="s">
        <v>406</v>
      </c>
      <c r="AP369" s="212" t="s">
        <v>407</v>
      </c>
      <c r="AQ369" s="214">
        <v>114.22852</v>
      </c>
      <c r="AR369" s="214" t="b">
        <v>0</v>
      </c>
      <c r="AS369" s="212" t="s">
        <v>534</v>
      </c>
      <c r="AU369" s="222" t="s">
        <v>819</v>
      </c>
    </row>
    <row r="370" spans="1:47" s="218" customFormat="1" x14ac:dyDescent="0.25">
      <c r="A370" s="245">
        <f t="shared" si="47"/>
        <v>370</v>
      </c>
      <c r="B370" s="246" t="str">
        <f t="shared" si="40"/>
        <v>Oil Field - Tank</v>
      </c>
      <c r="C370" s="246" t="str">
        <f ca="1">IF(B370="","",VLOOKUP(D370,'Species Data'!B:E,4,FALSE))</f>
        <v>dimetbut</v>
      </c>
      <c r="D370" s="246">
        <f t="shared" ca="1" si="41"/>
        <v>136</v>
      </c>
      <c r="E370" s="246">
        <f t="shared" ca="1" si="42"/>
        <v>1.1000000000000001E-3</v>
      </c>
      <c r="F370" s="246" t="str">
        <f t="shared" ca="1" si="43"/>
        <v>2,3-dimethylbutane</v>
      </c>
      <c r="G370" s="246">
        <f t="shared" ca="1" si="44"/>
        <v>86.175359999999998</v>
      </c>
      <c r="H370" s="204">
        <f ca="1">IF(G370="","",IF(VLOOKUP(Tank!F370,'Species Data'!D:F,3,FALSE)=0,"X",IF(G370&lt;44.1,2,1)))</f>
        <v>1</v>
      </c>
      <c r="I370" s="204">
        <f t="shared" ca="1" si="45"/>
        <v>0.22725551498627725</v>
      </c>
      <c r="J370" s="247">
        <f ca="1">IF(I370="","",IF(COUNTIF($D$12:D370,D370)=1,IF(H370=1,I370*H370,IF(H370="X","X",0)),0))</f>
        <v>0</v>
      </c>
      <c r="K370" s="248">
        <f t="shared" ca="1" si="46"/>
        <v>0</v>
      </c>
      <c r="L370" s="212" t="s">
        <v>679</v>
      </c>
      <c r="M370" s="212" t="s">
        <v>448</v>
      </c>
      <c r="N370" s="212" t="s">
        <v>470</v>
      </c>
      <c r="O370" s="213">
        <v>41419</v>
      </c>
      <c r="P370" s="212" t="s">
        <v>683</v>
      </c>
      <c r="Q370" s="214">
        <v>100</v>
      </c>
      <c r="R370" s="212" t="s">
        <v>445</v>
      </c>
      <c r="S370" s="212" t="s">
        <v>532</v>
      </c>
      <c r="T370" s="212" t="s">
        <v>445</v>
      </c>
      <c r="U370" s="212" t="s">
        <v>446</v>
      </c>
      <c r="V370" s="214" t="b">
        <v>1</v>
      </c>
      <c r="W370" s="214">
        <v>1989</v>
      </c>
      <c r="X370" s="214">
        <v>5</v>
      </c>
      <c r="Y370" s="214">
        <v>2</v>
      </c>
      <c r="Z370" s="214">
        <v>4</v>
      </c>
      <c r="AA370" s="212" t="s">
        <v>447</v>
      </c>
      <c r="AB370" s="212" t="s">
        <v>531</v>
      </c>
      <c r="AC370" s="212" t="s">
        <v>533</v>
      </c>
      <c r="AD370" s="214">
        <v>90.285300000000007</v>
      </c>
      <c r="AE370" s="214">
        <v>136</v>
      </c>
      <c r="AF370" s="214">
        <v>1.1000000000000001E-3</v>
      </c>
      <c r="AG370" s="214">
        <v>-99</v>
      </c>
      <c r="AH370" s="212" t="s">
        <v>224</v>
      </c>
      <c r="AI370" s="212" t="s">
        <v>449</v>
      </c>
      <c r="AJ370" s="212" t="s">
        <v>304</v>
      </c>
      <c r="AK370" s="212" t="s">
        <v>531</v>
      </c>
      <c r="AL370" s="212" t="s">
        <v>620</v>
      </c>
      <c r="AM370" s="214" t="b">
        <v>1</v>
      </c>
      <c r="AN370" s="214" t="b">
        <v>0</v>
      </c>
      <c r="AO370" s="212" t="s">
        <v>305</v>
      </c>
      <c r="AP370" s="212" t="s">
        <v>306</v>
      </c>
      <c r="AQ370" s="214">
        <v>86.175359999999998</v>
      </c>
      <c r="AR370" s="214" t="b">
        <v>0</v>
      </c>
      <c r="AS370" s="212" t="s">
        <v>534</v>
      </c>
      <c r="AU370" s="222" t="s">
        <v>819</v>
      </c>
    </row>
    <row r="371" spans="1:47" s="218" customFormat="1" x14ac:dyDescent="0.25">
      <c r="A371" s="245">
        <f t="shared" si="47"/>
        <v>371</v>
      </c>
      <c r="B371" s="246" t="str">
        <f t="shared" si="40"/>
        <v>Oil Field - Tank</v>
      </c>
      <c r="C371" s="246" t="str">
        <f ca="1">IF(B371="","",VLOOKUP(D371,'Species Data'!B:E,4,FALSE))</f>
        <v>twometpen</v>
      </c>
      <c r="D371" s="246">
        <f t="shared" ca="1" si="41"/>
        <v>199</v>
      </c>
      <c r="E371" s="246">
        <f t="shared" ca="1" si="42"/>
        <v>3.0999999999999999E-3</v>
      </c>
      <c r="F371" s="246" t="str">
        <f t="shared" ca="1" si="43"/>
        <v>2-methylpentane (isohexane)</v>
      </c>
      <c r="G371" s="246">
        <f t="shared" ca="1" si="44"/>
        <v>86.175359999999998</v>
      </c>
      <c r="H371" s="204">
        <f ca="1">IF(G371="","",IF(VLOOKUP(Tank!F371,'Species Data'!D:F,3,FALSE)=0,"X",IF(G371&lt;44.1,2,1)))</f>
        <v>1</v>
      </c>
      <c r="I371" s="204">
        <f t="shared" ca="1" si="45"/>
        <v>0.93120227287515311</v>
      </c>
      <c r="J371" s="247">
        <f ca="1">IF(I371="","",IF(COUNTIF($D$12:D371,D371)=1,IF(H371=1,I371*H371,IF(H371="X","X",0)),0))</f>
        <v>0</v>
      </c>
      <c r="K371" s="248">
        <f t="shared" ca="1" si="46"/>
        <v>0</v>
      </c>
      <c r="L371" s="212" t="s">
        <v>679</v>
      </c>
      <c r="M371" s="212" t="s">
        <v>448</v>
      </c>
      <c r="N371" s="212" t="s">
        <v>470</v>
      </c>
      <c r="O371" s="213">
        <v>41419</v>
      </c>
      <c r="P371" s="212" t="s">
        <v>683</v>
      </c>
      <c r="Q371" s="214">
        <v>100</v>
      </c>
      <c r="R371" s="212" t="s">
        <v>445</v>
      </c>
      <c r="S371" s="212" t="s">
        <v>532</v>
      </c>
      <c r="T371" s="212" t="s">
        <v>445</v>
      </c>
      <c r="U371" s="212" t="s">
        <v>446</v>
      </c>
      <c r="V371" s="214" t="b">
        <v>1</v>
      </c>
      <c r="W371" s="214">
        <v>1989</v>
      </c>
      <c r="X371" s="214">
        <v>5</v>
      </c>
      <c r="Y371" s="214">
        <v>2</v>
      </c>
      <c r="Z371" s="214">
        <v>4</v>
      </c>
      <c r="AA371" s="212" t="s">
        <v>447</v>
      </c>
      <c r="AB371" s="212" t="s">
        <v>531</v>
      </c>
      <c r="AC371" s="212" t="s">
        <v>533</v>
      </c>
      <c r="AD371" s="214">
        <v>90.285300000000007</v>
      </c>
      <c r="AE371" s="214">
        <v>199</v>
      </c>
      <c r="AF371" s="214">
        <v>3.0999999999999999E-3</v>
      </c>
      <c r="AG371" s="214">
        <v>-99</v>
      </c>
      <c r="AH371" s="212" t="s">
        <v>224</v>
      </c>
      <c r="AI371" s="212" t="s">
        <v>449</v>
      </c>
      <c r="AJ371" s="212" t="s">
        <v>319</v>
      </c>
      <c r="AK371" s="212" t="s">
        <v>531</v>
      </c>
      <c r="AL371" s="212" t="s">
        <v>389</v>
      </c>
      <c r="AM371" s="214" t="b">
        <v>1</v>
      </c>
      <c r="AN371" s="214" t="b">
        <v>0</v>
      </c>
      <c r="AO371" s="212" t="s">
        <v>320</v>
      </c>
      <c r="AP371" s="212" t="s">
        <v>321</v>
      </c>
      <c r="AQ371" s="214">
        <v>86.175359999999998</v>
      </c>
      <c r="AR371" s="214" t="b">
        <v>0</v>
      </c>
      <c r="AS371" s="212" t="s">
        <v>534</v>
      </c>
      <c r="AU371" s="222" t="s">
        <v>819</v>
      </c>
    </row>
    <row r="372" spans="1:47" s="218" customFormat="1" x14ac:dyDescent="0.25">
      <c r="A372" s="245">
        <f t="shared" si="47"/>
        <v>372</v>
      </c>
      <c r="B372" s="246" t="str">
        <f t="shared" si="40"/>
        <v>Oil Field - Tank</v>
      </c>
      <c r="C372" s="246" t="str">
        <f ca="1">IF(B372="","",VLOOKUP(D372,'Species Data'!B:E,4,FALSE))</f>
        <v>benzene</v>
      </c>
      <c r="D372" s="246">
        <f t="shared" ca="1" si="41"/>
        <v>302</v>
      </c>
      <c r="E372" s="246">
        <f t="shared" ca="1" si="42"/>
        <v>5.0000000000000001E-3</v>
      </c>
      <c r="F372" s="246" t="str">
        <f t="shared" ca="1" si="43"/>
        <v>Benzene</v>
      </c>
      <c r="G372" s="246">
        <f t="shared" ca="1" si="44"/>
        <v>78.111840000000001</v>
      </c>
      <c r="H372" s="204">
        <f ca="1">IF(G372="","",IF(VLOOKUP(Tank!F372,'Species Data'!D:F,3,FALSE)=0,"X",IF(G372&lt;44.1,2,1)))</f>
        <v>1</v>
      </c>
      <c r="I372" s="204">
        <f t="shared" ca="1" si="45"/>
        <v>0.24518902048126334</v>
      </c>
      <c r="J372" s="247">
        <f ca="1">IF(I372="","",IF(COUNTIF($D$12:D372,D372)=1,IF(H372=1,I372*H372,IF(H372="X","X",0)),0))</f>
        <v>0</v>
      </c>
      <c r="K372" s="248">
        <f t="shared" ca="1" si="46"/>
        <v>0</v>
      </c>
      <c r="L372" s="212" t="s">
        <v>679</v>
      </c>
      <c r="M372" s="212" t="s">
        <v>448</v>
      </c>
      <c r="N372" s="212" t="s">
        <v>470</v>
      </c>
      <c r="O372" s="213">
        <v>41419</v>
      </c>
      <c r="P372" s="212" t="s">
        <v>683</v>
      </c>
      <c r="Q372" s="214">
        <v>100</v>
      </c>
      <c r="R372" s="212" t="s">
        <v>445</v>
      </c>
      <c r="S372" s="212" t="s">
        <v>532</v>
      </c>
      <c r="T372" s="212" t="s">
        <v>445</v>
      </c>
      <c r="U372" s="212" t="s">
        <v>446</v>
      </c>
      <c r="V372" s="214" t="b">
        <v>1</v>
      </c>
      <c r="W372" s="214">
        <v>1989</v>
      </c>
      <c r="X372" s="214">
        <v>5</v>
      </c>
      <c r="Y372" s="214">
        <v>2</v>
      </c>
      <c r="Z372" s="214">
        <v>4</v>
      </c>
      <c r="AA372" s="212" t="s">
        <v>447</v>
      </c>
      <c r="AB372" s="212" t="s">
        <v>531</v>
      </c>
      <c r="AC372" s="212" t="s">
        <v>533</v>
      </c>
      <c r="AD372" s="214">
        <v>90.285300000000007</v>
      </c>
      <c r="AE372" s="214">
        <v>302</v>
      </c>
      <c r="AF372" s="214">
        <v>5.0000000000000001E-3</v>
      </c>
      <c r="AG372" s="214">
        <v>-99</v>
      </c>
      <c r="AH372" s="212" t="s">
        <v>224</v>
      </c>
      <c r="AI372" s="212" t="s">
        <v>449</v>
      </c>
      <c r="AJ372" s="212" t="s">
        <v>262</v>
      </c>
      <c r="AK372" s="212" t="s">
        <v>531</v>
      </c>
      <c r="AL372" s="212" t="s">
        <v>373</v>
      </c>
      <c r="AM372" s="214" t="b">
        <v>1</v>
      </c>
      <c r="AN372" s="214" t="b">
        <v>1</v>
      </c>
      <c r="AO372" s="212" t="s">
        <v>263</v>
      </c>
      <c r="AP372" s="212" t="s">
        <v>264</v>
      </c>
      <c r="AQ372" s="214">
        <v>78.111840000000001</v>
      </c>
      <c r="AR372" s="214" t="b">
        <v>0</v>
      </c>
      <c r="AS372" s="212" t="s">
        <v>534</v>
      </c>
      <c r="AU372" s="222" t="s">
        <v>819</v>
      </c>
    </row>
    <row r="373" spans="1:47" s="218" customFormat="1" x14ac:dyDescent="0.25">
      <c r="A373" s="245">
        <f t="shared" si="47"/>
        <v>373</v>
      </c>
      <c r="B373" s="246" t="str">
        <f t="shared" si="40"/>
        <v>Oil Field - Tank</v>
      </c>
      <c r="C373" s="246" t="str">
        <f ca="1">IF(B373="","",VLOOKUP(D373,'Species Data'!B:E,4,FALSE))</f>
        <v>ethane</v>
      </c>
      <c r="D373" s="246">
        <f t="shared" ca="1" si="41"/>
        <v>438</v>
      </c>
      <c r="E373" s="246">
        <f t="shared" ca="1" si="42"/>
        <v>0.69579999999999997</v>
      </c>
      <c r="F373" s="246" t="str">
        <f t="shared" ca="1" si="43"/>
        <v>Ethane</v>
      </c>
      <c r="G373" s="246">
        <f t="shared" ca="1" si="44"/>
        <v>30.069040000000005</v>
      </c>
      <c r="H373" s="204">
        <f ca="1">IF(G373="","",IF(VLOOKUP(Tank!F373,'Species Data'!D:F,3,FALSE)=0,"X",IF(G373&lt;44.1,2,1)))</f>
        <v>2</v>
      </c>
      <c r="I373" s="204">
        <f t="shared" ca="1" si="45"/>
        <v>5.717421553913586</v>
      </c>
      <c r="J373" s="247">
        <f ca="1">IF(I373="","",IF(COUNTIF($D$12:D373,D373)=1,IF(H373=1,I373*H373,IF(H373="X","X",0)),0))</f>
        <v>0</v>
      </c>
      <c r="K373" s="248">
        <f t="shared" ca="1" si="46"/>
        <v>0</v>
      </c>
      <c r="L373" s="212" t="s">
        <v>679</v>
      </c>
      <c r="M373" s="212" t="s">
        <v>448</v>
      </c>
      <c r="N373" s="212" t="s">
        <v>470</v>
      </c>
      <c r="O373" s="213">
        <v>41419</v>
      </c>
      <c r="P373" s="212" t="s">
        <v>683</v>
      </c>
      <c r="Q373" s="214">
        <v>100</v>
      </c>
      <c r="R373" s="212" t="s">
        <v>445</v>
      </c>
      <c r="S373" s="212" t="s">
        <v>532</v>
      </c>
      <c r="T373" s="212" t="s">
        <v>445</v>
      </c>
      <c r="U373" s="212" t="s">
        <v>446</v>
      </c>
      <c r="V373" s="214" t="b">
        <v>1</v>
      </c>
      <c r="W373" s="214">
        <v>1989</v>
      </c>
      <c r="X373" s="214">
        <v>5</v>
      </c>
      <c r="Y373" s="214">
        <v>2</v>
      </c>
      <c r="Z373" s="214">
        <v>4</v>
      </c>
      <c r="AA373" s="212" t="s">
        <v>447</v>
      </c>
      <c r="AB373" s="212" t="s">
        <v>531</v>
      </c>
      <c r="AC373" s="212" t="s">
        <v>533</v>
      </c>
      <c r="AD373" s="214">
        <v>90.285300000000007</v>
      </c>
      <c r="AE373" s="214">
        <v>438</v>
      </c>
      <c r="AF373" s="214">
        <v>0.69579999999999997</v>
      </c>
      <c r="AG373" s="214">
        <v>-99</v>
      </c>
      <c r="AH373" s="212" t="s">
        <v>224</v>
      </c>
      <c r="AI373" s="212" t="s">
        <v>449</v>
      </c>
      <c r="AJ373" s="212" t="s">
        <v>265</v>
      </c>
      <c r="AK373" s="212" t="s">
        <v>531</v>
      </c>
      <c r="AL373" s="212" t="s">
        <v>374</v>
      </c>
      <c r="AM373" s="214" t="b">
        <v>1</v>
      </c>
      <c r="AN373" s="214" t="b">
        <v>0</v>
      </c>
      <c r="AO373" s="212" t="s">
        <v>266</v>
      </c>
      <c r="AP373" s="212" t="s">
        <v>267</v>
      </c>
      <c r="AQ373" s="214">
        <v>30.069040000000005</v>
      </c>
      <c r="AR373" s="214" t="b">
        <v>1</v>
      </c>
      <c r="AS373" s="212" t="s">
        <v>534</v>
      </c>
      <c r="AU373" s="222" t="s">
        <v>819</v>
      </c>
    </row>
    <row r="374" spans="1:47" s="218" customFormat="1" x14ac:dyDescent="0.25">
      <c r="A374" s="245">
        <f t="shared" si="47"/>
        <v>374</v>
      </c>
      <c r="B374" s="246" t="str">
        <f t="shared" si="40"/>
        <v>Oil Field - Tank</v>
      </c>
      <c r="C374" s="246" t="str">
        <f ca="1">IF(B374="","",VLOOKUP(D374,'Species Data'!B:E,4,FALSE))</f>
        <v>ethyl_benz</v>
      </c>
      <c r="D374" s="246">
        <f t="shared" ca="1" si="41"/>
        <v>449</v>
      </c>
      <c r="E374" s="246">
        <f t="shared" ca="1" si="42"/>
        <v>5.1000000000000004E-3</v>
      </c>
      <c r="F374" s="246" t="str">
        <f t="shared" ca="1" si="43"/>
        <v>Ethylbenzene</v>
      </c>
      <c r="G374" s="246">
        <f t="shared" ca="1" si="44"/>
        <v>106.16500000000001</v>
      </c>
      <c r="H374" s="204">
        <f ca="1">IF(G374="","",IF(VLOOKUP(Tank!F374,'Species Data'!D:F,3,FALSE)=0,"X",IF(G374&lt;44.1,2,1)))</f>
        <v>1</v>
      </c>
      <c r="I374" s="204">
        <f t="shared" ca="1" si="45"/>
        <v>0.12062115796311647</v>
      </c>
      <c r="J374" s="247">
        <f ca="1">IF(I374="","",IF(COUNTIF($D$12:D374,D374)=1,IF(H374=1,I374*H374,IF(H374="X","X",0)),0))</f>
        <v>0</v>
      </c>
      <c r="K374" s="248">
        <f t="shared" ca="1" si="46"/>
        <v>0</v>
      </c>
      <c r="L374" s="212" t="s">
        <v>679</v>
      </c>
      <c r="M374" s="212" t="s">
        <v>448</v>
      </c>
      <c r="N374" s="212" t="s">
        <v>470</v>
      </c>
      <c r="O374" s="213">
        <v>41419</v>
      </c>
      <c r="P374" s="212" t="s">
        <v>683</v>
      </c>
      <c r="Q374" s="214">
        <v>100</v>
      </c>
      <c r="R374" s="212" t="s">
        <v>445</v>
      </c>
      <c r="S374" s="212" t="s">
        <v>532</v>
      </c>
      <c r="T374" s="212" t="s">
        <v>445</v>
      </c>
      <c r="U374" s="212" t="s">
        <v>446</v>
      </c>
      <c r="V374" s="214" t="b">
        <v>1</v>
      </c>
      <c r="W374" s="214">
        <v>1989</v>
      </c>
      <c r="X374" s="214">
        <v>5</v>
      </c>
      <c r="Y374" s="214">
        <v>2</v>
      </c>
      <c r="Z374" s="214">
        <v>4</v>
      </c>
      <c r="AA374" s="212" t="s">
        <v>447</v>
      </c>
      <c r="AB374" s="212" t="s">
        <v>531</v>
      </c>
      <c r="AC374" s="212" t="s">
        <v>533</v>
      </c>
      <c r="AD374" s="214">
        <v>90.285300000000007</v>
      </c>
      <c r="AE374" s="214">
        <v>449</v>
      </c>
      <c r="AF374" s="214">
        <v>5.1000000000000004E-3</v>
      </c>
      <c r="AG374" s="214">
        <v>-99</v>
      </c>
      <c r="AH374" s="212" t="s">
        <v>224</v>
      </c>
      <c r="AI374" s="212" t="s">
        <v>449</v>
      </c>
      <c r="AJ374" s="212" t="s">
        <v>337</v>
      </c>
      <c r="AK374" s="212" t="s">
        <v>531</v>
      </c>
      <c r="AL374" s="212" t="s">
        <v>394</v>
      </c>
      <c r="AM374" s="214" t="b">
        <v>1</v>
      </c>
      <c r="AN374" s="214" t="b">
        <v>1</v>
      </c>
      <c r="AO374" s="212" t="s">
        <v>338</v>
      </c>
      <c r="AP374" s="212" t="s">
        <v>339</v>
      </c>
      <c r="AQ374" s="214">
        <v>106.16500000000001</v>
      </c>
      <c r="AR374" s="214" t="b">
        <v>0</v>
      </c>
      <c r="AS374" s="212" t="s">
        <v>534</v>
      </c>
      <c r="AU374" s="222" t="s">
        <v>819</v>
      </c>
    </row>
    <row r="375" spans="1:47" s="218" customFormat="1" x14ac:dyDescent="0.25">
      <c r="A375" s="245">
        <f t="shared" si="47"/>
        <v>375</v>
      </c>
      <c r="B375" s="246" t="str">
        <f t="shared" si="40"/>
        <v>Oil Field - Tank</v>
      </c>
      <c r="C375" s="246" t="str">
        <f ca="1">IF(B375="","",VLOOKUP(D375,'Species Data'!B:E,4,FALSE))</f>
        <v>isobut</v>
      </c>
      <c r="D375" s="246">
        <f t="shared" ca="1" si="41"/>
        <v>491</v>
      </c>
      <c r="E375" s="246">
        <f t="shared" ca="1" si="42"/>
        <v>2.1299999999999999E-2</v>
      </c>
      <c r="F375" s="246" t="str">
        <f t="shared" ca="1" si="43"/>
        <v>Isobutane</v>
      </c>
      <c r="G375" s="246">
        <f t="shared" ca="1" si="44"/>
        <v>58.122199999999992</v>
      </c>
      <c r="H375" s="204">
        <f ca="1">IF(G375="","",IF(VLOOKUP(Tank!F375,'Species Data'!D:F,3,FALSE)=0,"X",IF(G375&lt;44.1,2,1)))</f>
        <v>1</v>
      </c>
      <c r="I375" s="204">
        <f t="shared" ca="1" si="45"/>
        <v>3.2562712602040991</v>
      </c>
      <c r="J375" s="247">
        <f ca="1">IF(I375="","",IF(COUNTIF($D$12:D375,D375)=1,IF(H375=1,I375*H375,IF(H375="X","X",0)),0))</f>
        <v>0</v>
      </c>
      <c r="K375" s="248">
        <f t="shared" ca="1" si="46"/>
        <v>0</v>
      </c>
      <c r="L375" s="212" t="s">
        <v>679</v>
      </c>
      <c r="M375" s="212" t="s">
        <v>448</v>
      </c>
      <c r="N375" s="212" t="s">
        <v>470</v>
      </c>
      <c r="O375" s="213">
        <v>41419</v>
      </c>
      <c r="P375" s="212" t="s">
        <v>683</v>
      </c>
      <c r="Q375" s="214">
        <v>100</v>
      </c>
      <c r="R375" s="212" t="s">
        <v>445</v>
      </c>
      <c r="S375" s="212" t="s">
        <v>532</v>
      </c>
      <c r="T375" s="212" t="s">
        <v>445</v>
      </c>
      <c r="U375" s="212" t="s">
        <v>446</v>
      </c>
      <c r="V375" s="214" t="b">
        <v>1</v>
      </c>
      <c r="W375" s="214">
        <v>1989</v>
      </c>
      <c r="X375" s="214">
        <v>5</v>
      </c>
      <c r="Y375" s="214">
        <v>2</v>
      </c>
      <c r="Z375" s="214">
        <v>4</v>
      </c>
      <c r="AA375" s="212" t="s">
        <v>447</v>
      </c>
      <c r="AB375" s="212" t="s">
        <v>531</v>
      </c>
      <c r="AC375" s="212" t="s">
        <v>533</v>
      </c>
      <c r="AD375" s="214">
        <v>90.285300000000007</v>
      </c>
      <c r="AE375" s="214">
        <v>491</v>
      </c>
      <c r="AF375" s="214">
        <v>2.1299999999999999E-2</v>
      </c>
      <c r="AG375" s="214">
        <v>-99</v>
      </c>
      <c r="AH375" s="212" t="s">
        <v>224</v>
      </c>
      <c r="AI375" s="212" t="s">
        <v>449</v>
      </c>
      <c r="AJ375" s="212" t="s">
        <v>268</v>
      </c>
      <c r="AK375" s="212" t="s">
        <v>531</v>
      </c>
      <c r="AL375" s="212" t="s">
        <v>375</v>
      </c>
      <c r="AM375" s="214" t="b">
        <v>1</v>
      </c>
      <c r="AN375" s="214" t="b">
        <v>0</v>
      </c>
      <c r="AO375" s="212" t="s">
        <v>269</v>
      </c>
      <c r="AP375" s="212" t="s">
        <v>270</v>
      </c>
      <c r="AQ375" s="214">
        <v>58.122199999999992</v>
      </c>
      <c r="AR375" s="214" t="b">
        <v>0</v>
      </c>
      <c r="AS375" s="212" t="s">
        <v>534</v>
      </c>
      <c r="AU375" s="222" t="s">
        <v>819</v>
      </c>
    </row>
    <row r="376" spans="1:47" s="218" customFormat="1" x14ac:dyDescent="0.25">
      <c r="A376" s="245">
        <f t="shared" si="47"/>
        <v>376</v>
      </c>
      <c r="B376" s="246" t="str">
        <f t="shared" si="40"/>
        <v>Oil Field - Tank</v>
      </c>
      <c r="C376" s="246" t="str">
        <f ca="1">IF(B376="","",VLOOKUP(D376,'Species Data'!B:E,4,FALSE))</f>
        <v>isopentane</v>
      </c>
      <c r="D376" s="246">
        <f t="shared" ca="1" si="41"/>
        <v>508</v>
      </c>
      <c r="E376" s="246">
        <f t="shared" ca="1" si="42"/>
        <v>8.0000000000000002E-3</v>
      </c>
      <c r="F376" s="246" t="str">
        <f t="shared" ca="1" si="43"/>
        <v>Isopentane (2-Methylbutane)</v>
      </c>
      <c r="G376" s="246">
        <f t="shared" ca="1" si="44"/>
        <v>72.148780000000002</v>
      </c>
      <c r="H376" s="204">
        <f ca="1">IF(G376="","",IF(VLOOKUP(Tank!F376,'Species Data'!D:F,3,FALSE)=0,"X",IF(G376&lt;44.1,2,1)))</f>
        <v>1</v>
      </c>
      <c r="I376" s="204">
        <f t="shared" ca="1" si="45"/>
        <v>3.397999287459827</v>
      </c>
      <c r="J376" s="247">
        <f ca="1">IF(I376="","",IF(COUNTIF($D$12:D376,D376)=1,IF(H376=1,I376*H376,IF(H376="X","X",0)),0))</f>
        <v>0</v>
      </c>
      <c r="K376" s="248">
        <f t="shared" ca="1" si="46"/>
        <v>0</v>
      </c>
      <c r="L376" s="212" t="s">
        <v>679</v>
      </c>
      <c r="M376" s="212" t="s">
        <v>448</v>
      </c>
      <c r="N376" s="212" t="s">
        <v>470</v>
      </c>
      <c r="O376" s="213">
        <v>41419</v>
      </c>
      <c r="P376" s="212" t="s">
        <v>683</v>
      </c>
      <c r="Q376" s="214">
        <v>100</v>
      </c>
      <c r="R376" s="212" t="s">
        <v>445</v>
      </c>
      <c r="S376" s="212" t="s">
        <v>532</v>
      </c>
      <c r="T376" s="212" t="s">
        <v>445</v>
      </c>
      <c r="U376" s="212" t="s">
        <v>446</v>
      </c>
      <c r="V376" s="214" t="b">
        <v>1</v>
      </c>
      <c r="W376" s="214">
        <v>1989</v>
      </c>
      <c r="X376" s="214">
        <v>5</v>
      </c>
      <c r="Y376" s="214">
        <v>2</v>
      </c>
      <c r="Z376" s="214">
        <v>4</v>
      </c>
      <c r="AA376" s="212" t="s">
        <v>447</v>
      </c>
      <c r="AB376" s="212" t="s">
        <v>531</v>
      </c>
      <c r="AC376" s="212" t="s">
        <v>533</v>
      </c>
      <c r="AD376" s="214">
        <v>90.285300000000007</v>
      </c>
      <c r="AE376" s="214">
        <v>508</v>
      </c>
      <c r="AF376" s="214">
        <v>8.0000000000000002E-3</v>
      </c>
      <c r="AG376" s="214">
        <v>-99</v>
      </c>
      <c r="AH376" s="212" t="s">
        <v>224</v>
      </c>
      <c r="AI376" s="212" t="s">
        <v>449</v>
      </c>
      <c r="AJ376" s="212" t="s">
        <v>342</v>
      </c>
      <c r="AK376" s="212" t="s">
        <v>531</v>
      </c>
      <c r="AL376" s="212" t="s">
        <v>395</v>
      </c>
      <c r="AM376" s="214" t="b">
        <v>1</v>
      </c>
      <c r="AN376" s="214" t="b">
        <v>0</v>
      </c>
      <c r="AO376" s="212" t="s">
        <v>343</v>
      </c>
      <c r="AP376" s="212" t="s">
        <v>344</v>
      </c>
      <c r="AQ376" s="214">
        <v>72.148780000000002</v>
      </c>
      <c r="AR376" s="214" t="b">
        <v>0</v>
      </c>
      <c r="AS376" s="212" t="s">
        <v>534</v>
      </c>
      <c r="AU376" s="222" t="s">
        <v>819</v>
      </c>
    </row>
    <row r="377" spans="1:47" s="218" customFormat="1" x14ac:dyDescent="0.25">
      <c r="A377" s="245">
        <f t="shared" si="47"/>
        <v>377</v>
      </c>
      <c r="B377" s="246" t="str">
        <f t="shared" si="40"/>
        <v>Oil Field - Tank</v>
      </c>
      <c r="C377" s="246" t="str">
        <f ca="1">IF(B377="","",VLOOKUP(D377,'Species Data'!B:E,4,FALSE))</f>
        <v>methane</v>
      </c>
      <c r="D377" s="246">
        <f t="shared" ca="1" si="41"/>
        <v>529</v>
      </c>
      <c r="E377" s="246">
        <f t="shared" ca="1" si="42"/>
        <v>98.196600000000004</v>
      </c>
      <c r="F377" s="246" t="str">
        <f t="shared" ca="1" si="43"/>
        <v>Methane</v>
      </c>
      <c r="G377" s="246">
        <f t="shared" ca="1" si="44"/>
        <v>16.042459999999998</v>
      </c>
      <c r="H377" s="204">
        <f ca="1">IF(G377="","",IF(VLOOKUP(Tank!F377,'Species Data'!D:F,3,FALSE)=0,"X",IF(G377&lt;44.1,2,1)))</f>
        <v>2</v>
      </c>
      <c r="I377" s="204">
        <f t="shared" ca="1" si="45"/>
        <v>44.518760713436194</v>
      </c>
      <c r="J377" s="247">
        <f ca="1">IF(I377="","",IF(COUNTIF($D$12:D377,D377)=1,IF(H377=1,I377*H377,IF(H377="X","X",0)),0))</f>
        <v>0</v>
      </c>
      <c r="K377" s="248">
        <f t="shared" ca="1" si="46"/>
        <v>0</v>
      </c>
      <c r="L377" s="212" t="s">
        <v>679</v>
      </c>
      <c r="M377" s="212" t="s">
        <v>448</v>
      </c>
      <c r="N377" s="212" t="s">
        <v>470</v>
      </c>
      <c r="O377" s="213">
        <v>41419</v>
      </c>
      <c r="P377" s="212" t="s">
        <v>683</v>
      </c>
      <c r="Q377" s="214">
        <v>100</v>
      </c>
      <c r="R377" s="212" t="s">
        <v>445</v>
      </c>
      <c r="S377" s="212" t="s">
        <v>532</v>
      </c>
      <c r="T377" s="212" t="s">
        <v>445</v>
      </c>
      <c r="U377" s="212" t="s">
        <v>446</v>
      </c>
      <c r="V377" s="214" t="b">
        <v>1</v>
      </c>
      <c r="W377" s="214">
        <v>1989</v>
      </c>
      <c r="X377" s="214">
        <v>5</v>
      </c>
      <c r="Y377" s="214">
        <v>2</v>
      </c>
      <c r="Z377" s="214">
        <v>4</v>
      </c>
      <c r="AA377" s="212" t="s">
        <v>447</v>
      </c>
      <c r="AB377" s="212" t="s">
        <v>531</v>
      </c>
      <c r="AC377" s="212" t="s">
        <v>533</v>
      </c>
      <c r="AD377" s="214">
        <v>90.285300000000007</v>
      </c>
      <c r="AE377" s="214">
        <v>529</v>
      </c>
      <c r="AF377" s="214">
        <v>98.196600000000004</v>
      </c>
      <c r="AG377" s="214">
        <v>-99</v>
      </c>
      <c r="AH377" s="212" t="s">
        <v>224</v>
      </c>
      <c r="AI377" s="212" t="s">
        <v>449</v>
      </c>
      <c r="AJ377" s="212" t="s">
        <v>271</v>
      </c>
      <c r="AK377" s="212" t="s">
        <v>531</v>
      </c>
      <c r="AL377" s="212" t="s">
        <v>376</v>
      </c>
      <c r="AM377" s="214" t="b">
        <v>0</v>
      </c>
      <c r="AN377" s="214" t="b">
        <v>0</v>
      </c>
      <c r="AO377" s="212" t="s">
        <v>272</v>
      </c>
      <c r="AP377" s="212" t="s">
        <v>531</v>
      </c>
      <c r="AQ377" s="214">
        <v>16.042459999999998</v>
      </c>
      <c r="AR377" s="214" t="b">
        <v>1</v>
      </c>
      <c r="AS377" s="212" t="s">
        <v>534</v>
      </c>
      <c r="AU377" s="222" t="s">
        <v>819</v>
      </c>
    </row>
    <row r="378" spans="1:47" s="218" customFormat="1" x14ac:dyDescent="0.25">
      <c r="A378" s="245">
        <f t="shared" si="47"/>
        <v>378</v>
      </c>
      <c r="B378" s="246" t="str">
        <f t="shared" si="40"/>
        <v>Oil Field - Tank</v>
      </c>
      <c r="C378" s="246" t="str">
        <f ca="1">IF(B378="","",VLOOKUP(D378,'Species Data'!B:E,4,FALSE))</f>
        <v>methcychex</v>
      </c>
      <c r="D378" s="246">
        <f t="shared" ca="1" si="41"/>
        <v>550</v>
      </c>
      <c r="E378" s="246">
        <f t="shared" ca="1" si="42"/>
        <v>1.1999999999999999E-3</v>
      </c>
      <c r="F378" s="246" t="str">
        <f t="shared" ca="1" si="43"/>
        <v>Methylcyclohexane</v>
      </c>
      <c r="G378" s="246">
        <f t="shared" ca="1" si="44"/>
        <v>98.186059999999998</v>
      </c>
      <c r="H378" s="204">
        <f ca="1">IF(G378="","",IF(VLOOKUP(Tank!F378,'Species Data'!D:F,3,FALSE)=0,"X",IF(G378&lt;44.1,2,1)))</f>
        <v>1</v>
      </c>
      <c r="I378" s="204">
        <f t="shared" ca="1" si="45"/>
        <v>0.52063166473064815</v>
      </c>
      <c r="J378" s="247">
        <f ca="1">IF(I378="","",IF(COUNTIF($D$12:D378,D378)=1,IF(H378=1,I378*H378,IF(H378="X","X",0)),0))</f>
        <v>0</v>
      </c>
      <c r="K378" s="248">
        <f t="shared" ca="1" si="46"/>
        <v>0</v>
      </c>
      <c r="L378" s="212" t="s">
        <v>679</v>
      </c>
      <c r="M378" s="212" t="s">
        <v>448</v>
      </c>
      <c r="N378" s="212" t="s">
        <v>470</v>
      </c>
      <c r="O378" s="213">
        <v>41419</v>
      </c>
      <c r="P378" s="212" t="s">
        <v>683</v>
      </c>
      <c r="Q378" s="214">
        <v>100</v>
      </c>
      <c r="R378" s="212" t="s">
        <v>445</v>
      </c>
      <c r="S378" s="212" t="s">
        <v>532</v>
      </c>
      <c r="T378" s="212" t="s">
        <v>445</v>
      </c>
      <c r="U378" s="212" t="s">
        <v>446</v>
      </c>
      <c r="V378" s="214" t="b">
        <v>1</v>
      </c>
      <c r="W378" s="214">
        <v>1989</v>
      </c>
      <c r="X378" s="214">
        <v>5</v>
      </c>
      <c r="Y378" s="214">
        <v>2</v>
      </c>
      <c r="Z378" s="214">
        <v>4</v>
      </c>
      <c r="AA378" s="212" t="s">
        <v>447</v>
      </c>
      <c r="AB378" s="212" t="s">
        <v>531</v>
      </c>
      <c r="AC378" s="212" t="s">
        <v>533</v>
      </c>
      <c r="AD378" s="214">
        <v>90.285300000000007</v>
      </c>
      <c r="AE378" s="214">
        <v>550</v>
      </c>
      <c r="AF378" s="214">
        <v>1.1999999999999999E-3</v>
      </c>
      <c r="AG378" s="214">
        <v>-99</v>
      </c>
      <c r="AH378" s="212" t="s">
        <v>224</v>
      </c>
      <c r="AI378" s="212" t="s">
        <v>449</v>
      </c>
      <c r="AJ378" s="212" t="s">
        <v>348</v>
      </c>
      <c r="AK378" s="212" t="s">
        <v>531</v>
      </c>
      <c r="AL378" s="212" t="s">
        <v>396</v>
      </c>
      <c r="AM378" s="214" t="b">
        <v>1</v>
      </c>
      <c r="AN378" s="214" t="b">
        <v>0</v>
      </c>
      <c r="AO378" s="212" t="s">
        <v>349</v>
      </c>
      <c r="AP378" s="212" t="s">
        <v>350</v>
      </c>
      <c r="AQ378" s="214">
        <v>98.186059999999998</v>
      </c>
      <c r="AR378" s="214" t="b">
        <v>0</v>
      </c>
      <c r="AS378" s="212" t="s">
        <v>534</v>
      </c>
      <c r="AU378" s="222" t="s">
        <v>819</v>
      </c>
    </row>
    <row r="379" spans="1:47" s="218" customFormat="1" x14ac:dyDescent="0.25">
      <c r="A379" s="245">
        <f t="shared" si="47"/>
        <v>379</v>
      </c>
      <c r="B379" s="246" t="str">
        <f t="shared" si="40"/>
        <v>Oil Field - Tank</v>
      </c>
      <c r="C379" s="246" t="str">
        <f ca="1">IF(B379="","",VLOOKUP(D379,'Species Data'!B:E,4,FALSE))</f>
        <v>N_but</v>
      </c>
      <c r="D379" s="246">
        <f t="shared" ca="1" si="41"/>
        <v>592</v>
      </c>
      <c r="E379" s="246">
        <f t="shared" ca="1" si="42"/>
        <v>3.3500000000000002E-2</v>
      </c>
      <c r="F379" s="246" t="str">
        <f t="shared" ca="1" si="43"/>
        <v>N-butane</v>
      </c>
      <c r="G379" s="246">
        <f t="shared" ca="1" si="44"/>
        <v>58.122199999999992</v>
      </c>
      <c r="H379" s="204">
        <f ca="1">IF(G379="","",IF(VLOOKUP(Tank!F379,'Species Data'!D:F,3,FALSE)=0,"X",IF(G379&lt;44.1,2,1)))</f>
        <v>1</v>
      </c>
      <c r="I379" s="204">
        <f t="shared" ca="1" si="45"/>
        <v>8.8589583793337763</v>
      </c>
      <c r="J379" s="247">
        <f ca="1">IF(I379="","",IF(COUNTIF($D$12:D379,D379)=1,IF(H379=1,I379*H379,IF(H379="X","X",0)),0))</f>
        <v>0</v>
      </c>
      <c r="K379" s="248">
        <f t="shared" ca="1" si="46"/>
        <v>0</v>
      </c>
      <c r="L379" s="212" t="s">
        <v>679</v>
      </c>
      <c r="M379" s="212" t="s">
        <v>448</v>
      </c>
      <c r="N379" s="212" t="s">
        <v>470</v>
      </c>
      <c r="O379" s="213">
        <v>41419</v>
      </c>
      <c r="P379" s="212" t="s">
        <v>683</v>
      </c>
      <c r="Q379" s="214">
        <v>100</v>
      </c>
      <c r="R379" s="212" t="s">
        <v>445</v>
      </c>
      <c r="S379" s="212" t="s">
        <v>532</v>
      </c>
      <c r="T379" s="212" t="s">
        <v>445</v>
      </c>
      <c r="U379" s="212" t="s">
        <v>446</v>
      </c>
      <c r="V379" s="214" t="b">
        <v>1</v>
      </c>
      <c r="W379" s="214">
        <v>1989</v>
      </c>
      <c r="X379" s="214">
        <v>5</v>
      </c>
      <c r="Y379" s="214">
        <v>2</v>
      </c>
      <c r="Z379" s="214">
        <v>4</v>
      </c>
      <c r="AA379" s="212" t="s">
        <v>447</v>
      </c>
      <c r="AB379" s="212" t="s">
        <v>531</v>
      </c>
      <c r="AC379" s="212" t="s">
        <v>533</v>
      </c>
      <c r="AD379" s="214">
        <v>90.285300000000007</v>
      </c>
      <c r="AE379" s="214">
        <v>592</v>
      </c>
      <c r="AF379" s="214">
        <v>3.3500000000000002E-2</v>
      </c>
      <c r="AG379" s="214">
        <v>-99</v>
      </c>
      <c r="AH379" s="212" t="s">
        <v>224</v>
      </c>
      <c r="AI379" s="212" t="s">
        <v>449</v>
      </c>
      <c r="AJ379" s="212" t="s">
        <v>273</v>
      </c>
      <c r="AK379" s="212" t="s">
        <v>531</v>
      </c>
      <c r="AL379" s="212" t="s">
        <v>377</v>
      </c>
      <c r="AM379" s="214" t="b">
        <v>1</v>
      </c>
      <c r="AN379" s="214" t="b">
        <v>0</v>
      </c>
      <c r="AO379" s="212" t="s">
        <v>274</v>
      </c>
      <c r="AP379" s="212" t="s">
        <v>275</v>
      </c>
      <c r="AQ379" s="214">
        <v>58.122199999999992</v>
      </c>
      <c r="AR379" s="214" t="b">
        <v>0</v>
      </c>
      <c r="AS379" s="212" t="s">
        <v>534</v>
      </c>
      <c r="AU379" s="222" t="s">
        <v>819</v>
      </c>
    </row>
    <row r="380" spans="1:47" s="218" customFormat="1" x14ac:dyDescent="0.25">
      <c r="A380" s="245">
        <f t="shared" si="47"/>
        <v>380</v>
      </c>
      <c r="B380" s="246" t="str">
        <f t="shared" si="40"/>
        <v>Oil Field - Tank</v>
      </c>
      <c r="C380" s="246" t="str">
        <f ca="1">IF(B380="","",VLOOKUP(D380,'Species Data'!B:E,4,FALSE))</f>
        <v>N_dec</v>
      </c>
      <c r="D380" s="246">
        <f t="shared" ca="1" si="41"/>
        <v>598</v>
      </c>
      <c r="E380" s="246">
        <f t="shared" ca="1" si="42"/>
        <v>2.4400000000000002E-2</v>
      </c>
      <c r="F380" s="246" t="str">
        <f t="shared" ca="1" si="43"/>
        <v>N-decane</v>
      </c>
      <c r="G380" s="246">
        <f t="shared" ca="1" si="44"/>
        <v>142.28167999999999</v>
      </c>
      <c r="H380" s="204">
        <f ca="1">IF(G380="","",IF(VLOOKUP(Tank!F380,'Species Data'!D:F,3,FALSE)=0,"X",IF(G380&lt;44.1,2,1)))</f>
        <v>1</v>
      </c>
      <c r="I380" s="204">
        <f t="shared" ca="1" si="45"/>
        <v>1.7526834924281948E-2</v>
      </c>
      <c r="J380" s="247">
        <f ca="1">IF(I380="","",IF(COUNTIF($D$12:D380,D380)=1,IF(H380=1,I380*H380,IF(H380="X","X",0)),0))</f>
        <v>0</v>
      </c>
      <c r="K380" s="248">
        <f t="shared" ca="1" si="46"/>
        <v>0</v>
      </c>
      <c r="L380" s="212" t="s">
        <v>679</v>
      </c>
      <c r="M380" s="212" t="s">
        <v>448</v>
      </c>
      <c r="N380" s="212" t="s">
        <v>470</v>
      </c>
      <c r="O380" s="213">
        <v>41419</v>
      </c>
      <c r="P380" s="212" t="s">
        <v>683</v>
      </c>
      <c r="Q380" s="214">
        <v>100</v>
      </c>
      <c r="R380" s="212" t="s">
        <v>445</v>
      </c>
      <c r="S380" s="212" t="s">
        <v>532</v>
      </c>
      <c r="T380" s="212" t="s">
        <v>445</v>
      </c>
      <c r="U380" s="212" t="s">
        <v>446</v>
      </c>
      <c r="V380" s="214" t="b">
        <v>1</v>
      </c>
      <c r="W380" s="214">
        <v>1989</v>
      </c>
      <c r="X380" s="214">
        <v>5</v>
      </c>
      <c r="Y380" s="214">
        <v>2</v>
      </c>
      <c r="Z380" s="214">
        <v>4</v>
      </c>
      <c r="AA380" s="212" t="s">
        <v>447</v>
      </c>
      <c r="AB380" s="212" t="s">
        <v>531</v>
      </c>
      <c r="AC380" s="212" t="s">
        <v>533</v>
      </c>
      <c r="AD380" s="214">
        <v>90.285300000000007</v>
      </c>
      <c r="AE380" s="214">
        <v>598</v>
      </c>
      <c r="AF380" s="214">
        <v>2.4400000000000002E-2</v>
      </c>
      <c r="AG380" s="214">
        <v>-99</v>
      </c>
      <c r="AH380" s="212" t="s">
        <v>224</v>
      </c>
      <c r="AI380" s="212" t="s">
        <v>449</v>
      </c>
      <c r="AJ380" s="212" t="s">
        <v>414</v>
      </c>
      <c r="AK380" s="212" t="s">
        <v>531</v>
      </c>
      <c r="AL380" s="212" t="s">
        <v>452</v>
      </c>
      <c r="AM380" s="214" t="b">
        <v>1</v>
      </c>
      <c r="AN380" s="214" t="b">
        <v>0</v>
      </c>
      <c r="AO380" s="212" t="s">
        <v>415</v>
      </c>
      <c r="AP380" s="212" t="s">
        <v>416</v>
      </c>
      <c r="AQ380" s="214">
        <v>142.28167999999999</v>
      </c>
      <c r="AR380" s="214" t="b">
        <v>0</v>
      </c>
      <c r="AS380" s="212" t="s">
        <v>534</v>
      </c>
      <c r="AU380" s="222" t="s">
        <v>819</v>
      </c>
    </row>
    <row r="381" spans="1:47" s="218" customFormat="1" x14ac:dyDescent="0.25">
      <c r="A381" s="245">
        <f t="shared" si="47"/>
        <v>381</v>
      </c>
      <c r="B381" s="246" t="str">
        <f t="shared" si="40"/>
        <v>Oil Field - Tank</v>
      </c>
      <c r="C381" s="246" t="str">
        <f ca="1">IF(B381="","",VLOOKUP(D381,'Species Data'!B:E,4,FALSE))</f>
        <v>N_hep</v>
      </c>
      <c r="D381" s="246">
        <f t="shared" ca="1" si="41"/>
        <v>600</v>
      </c>
      <c r="E381" s="246">
        <f t="shared" ca="1" si="42"/>
        <v>8.9999999999999998E-4</v>
      </c>
      <c r="F381" s="246" t="str">
        <f t="shared" ca="1" si="43"/>
        <v>N-heptane</v>
      </c>
      <c r="G381" s="246">
        <f t="shared" ca="1" si="44"/>
        <v>100.20194000000001</v>
      </c>
      <c r="H381" s="204">
        <f ca="1">IF(G381="","",IF(VLOOKUP(Tank!F381,'Species Data'!D:F,3,FALSE)=0,"X",IF(G381&lt;44.1,2,1)))</f>
        <v>1</v>
      </c>
      <c r="I381" s="204">
        <f t="shared" ca="1" si="45"/>
        <v>0.55093195561344066</v>
      </c>
      <c r="J381" s="247">
        <f ca="1">IF(I381="","",IF(COUNTIF($D$12:D381,D381)=1,IF(H381=1,I381*H381,IF(H381="X","X",0)),0))</f>
        <v>0</v>
      </c>
      <c r="K381" s="248">
        <f t="shared" ca="1" si="46"/>
        <v>0</v>
      </c>
      <c r="L381" s="212" t="s">
        <v>679</v>
      </c>
      <c r="M381" s="212" t="s">
        <v>448</v>
      </c>
      <c r="N381" s="212" t="s">
        <v>470</v>
      </c>
      <c r="O381" s="213">
        <v>41419</v>
      </c>
      <c r="P381" s="212" t="s">
        <v>683</v>
      </c>
      <c r="Q381" s="214">
        <v>100</v>
      </c>
      <c r="R381" s="212" t="s">
        <v>445</v>
      </c>
      <c r="S381" s="212" t="s">
        <v>532</v>
      </c>
      <c r="T381" s="212" t="s">
        <v>445</v>
      </c>
      <c r="U381" s="212" t="s">
        <v>446</v>
      </c>
      <c r="V381" s="214" t="b">
        <v>1</v>
      </c>
      <c r="W381" s="214">
        <v>1989</v>
      </c>
      <c r="X381" s="214">
        <v>5</v>
      </c>
      <c r="Y381" s="214">
        <v>2</v>
      </c>
      <c r="Z381" s="214">
        <v>4</v>
      </c>
      <c r="AA381" s="212" t="s">
        <v>447</v>
      </c>
      <c r="AB381" s="212" t="s">
        <v>531</v>
      </c>
      <c r="AC381" s="212" t="s">
        <v>533</v>
      </c>
      <c r="AD381" s="214">
        <v>90.285300000000007</v>
      </c>
      <c r="AE381" s="214">
        <v>600</v>
      </c>
      <c r="AF381" s="214">
        <v>8.9999999999999998E-4</v>
      </c>
      <c r="AG381" s="214">
        <v>-99</v>
      </c>
      <c r="AH381" s="212" t="s">
        <v>224</v>
      </c>
      <c r="AI381" s="212" t="s">
        <v>449</v>
      </c>
      <c r="AJ381" s="212" t="s">
        <v>276</v>
      </c>
      <c r="AK381" s="212" t="s">
        <v>531</v>
      </c>
      <c r="AL381" s="212" t="s">
        <v>378</v>
      </c>
      <c r="AM381" s="214" t="b">
        <v>1</v>
      </c>
      <c r="AN381" s="214" t="b">
        <v>0</v>
      </c>
      <c r="AO381" s="212" t="s">
        <v>277</v>
      </c>
      <c r="AP381" s="212" t="s">
        <v>278</v>
      </c>
      <c r="AQ381" s="214">
        <v>100.20194000000001</v>
      </c>
      <c r="AR381" s="214" t="b">
        <v>0</v>
      </c>
      <c r="AS381" s="212" t="s">
        <v>534</v>
      </c>
      <c r="AU381" s="222" t="s">
        <v>819</v>
      </c>
    </row>
    <row r="382" spans="1:47" s="218" customFormat="1" x14ac:dyDescent="0.25">
      <c r="A382" s="245">
        <f t="shared" si="47"/>
        <v>382</v>
      </c>
      <c r="B382" s="246" t="str">
        <f t="shared" si="40"/>
        <v>Oil Field - Tank</v>
      </c>
      <c r="C382" s="246" t="str">
        <f ca="1">IF(B382="","",VLOOKUP(D382,'Species Data'!B:E,4,FALSE))</f>
        <v>N_hex</v>
      </c>
      <c r="D382" s="246">
        <f t="shared" ca="1" si="41"/>
        <v>601</v>
      </c>
      <c r="E382" s="246">
        <f t="shared" ca="1" si="42"/>
        <v>3.8E-3</v>
      </c>
      <c r="F382" s="246" t="str">
        <f t="shared" ca="1" si="43"/>
        <v>N-hexane</v>
      </c>
      <c r="G382" s="246">
        <f t="shared" ca="1" si="44"/>
        <v>86.175359999999998</v>
      </c>
      <c r="H382" s="204">
        <f ca="1">IF(G382="","",IF(VLOOKUP(Tank!F382,'Species Data'!D:F,3,FALSE)=0,"X",IF(G382&lt;44.1,2,1)))</f>
        <v>1</v>
      </c>
      <c r="I382" s="204">
        <f t="shared" ca="1" si="45"/>
        <v>1.4244870084086145</v>
      </c>
      <c r="J382" s="247">
        <f ca="1">IF(I382="","",IF(COUNTIF($D$12:D382,D382)=1,IF(H382=1,I382*H382,IF(H382="X","X",0)),0))</f>
        <v>0</v>
      </c>
      <c r="K382" s="248">
        <f t="shared" ca="1" si="46"/>
        <v>0</v>
      </c>
      <c r="L382" s="212" t="s">
        <v>679</v>
      </c>
      <c r="M382" s="212" t="s">
        <v>448</v>
      </c>
      <c r="N382" s="212" t="s">
        <v>470</v>
      </c>
      <c r="O382" s="213">
        <v>41419</v>
      </c>
      <c r="P382" s="212" t="s">
        <v>683</v>
      </c>
      <c r="Q382" s="214">
        <v>100</v>
      </c>
      <c r="R382" s="212" t="s">
        <v>445</v>
      </c>
      <c r="S382" s="212" t="s">
        <v>532</v>
      </c>
      <c r="T382" s="212" t="s">
        <v>445</v>
      </c>
      <c r="U382" s="212" t="s">
        <v>446</v>
      </c>
      <c r="V382" s="214" t="b">
        <v>1</v>
      </c>
      <c r="W382" s="214">
        <v>1989</v>
      </c>
      <c r="X382" s="214">
        <v>5</v>
      </c>
      <c r="Y382" s="214">
        <v>2</v>
      </c>
      <c r="Z382" s="214">
        <v>4</v>
      </c>
      <c r="AA382" s="212" t="s">
        <v>447</v>
      </c>
      <c r="AB382" s="212" t="s">
        <v>531</v>
      </c>
      <c r="AC382" s="212" t="s">
        <v>533</v>
      </c>
      <c r="AD382" s="214">
        <v>90.285300000000007</v>
      </c>
      <c r="AE382" s="214">
        <v>601</v>
      </c>
      <c r="AF382" s="214">
        <v>3.8E-3</v>
      </c>
      <c r="AG382" s="214">
        <v>-99</v>
      </c>
      <c r="AH382" s="212" t="s">
        <v>224</v>
      </c>
      <c r="AI382" s="212" t="s">
        <v>449</v>
      </c>
      <c r="AJ382" s="212" t="s">
        <v>279</v>
      </c>
      <c r="AK382" s="212" t="s">
        <v>531</v>
      </c>
      <c r="AL382" s="212" t="s">
        <v>379</v>
      </c>
      <c r="AM382" s="214" t="b">
        <v>1</v>
      </c>
      <c r="AN382" s="214" t="b">
        <v>1</v>
      </c>
      <c r="AO382" s="212" t="s">
        <v>280</v>
      </c>
      <c r="AP382" s="212" t="s">
        <v>281</v>
      </c>
      <c r="AQ382" s="214">
        <v>86.175359999999998</v>
      </c>
      <c r="AR382" s="214" t="b">
        <v>0</v>
      </c>
      <c r="AS382" s="212" t="s">
        <v>534</v>
      </c>
      <c r="AU382" s="222" t="s">
        <v>819</v>
      </c>
    </row>
    <row r="383" spans="1:47" s="218" customFormat="1" x14ac:dyDescent="0.25">
      <c r="A383" s="245">
        <f t="shared" si="47"/>
        <v>383</v>
      </c>
      <c r="B383" s="246" t="str">
        <f t="shared" si="40"/>
        <v>Oil Field - Tank</v>
      </c>
      <c r="C383" s="246" t="str">
        <f ca="1">IF(B383="","",VLOOKUP(D383,'Species Data'!B:E,4,FALSE))</f>
        <v>N_nonane</v>
      </c>
      <c r="D383" s="246">
        <f t="shared" ca="1" si="41"/>
        <v>603</v>
      </c>
      <c r="E383" s="246">
        <f t="shared" ca="1" si="42"/>
        <v>7.4000000000000003E-3</v>
      </c>
      <c r="F383" s="246" t="str">
        <f t="shared" ca="1" si="43"/>
        <v>N-nonane</v>
      </c>
      <c r="G383" s="246">
        <f t="shared" ca="1" si="44"/>
        <v>128.2551</v>
      </c>
      <c r="H383" s="204">
        <f ca="1">IF(G383="","",IF(VLOOKUP(Tank!F383,'Species Data'!D:F,3,FALSE)=0,"X",IF(G383&lt;44.1,2,1)))</f>
        <v>1</v>
      </c>
      <c r="I383" s="204">
        <f t="shared" ca="1" si="45"/>
        <v>6.0467247152239355E-2</v>
      </c>
      <c r="J383" s="247">
        <f ca="1">IF(I383="","",IF(COUNTIF($D$12:D383,D383)=1,IF(H383=1,I383*H383,IF(H383="X","X",0)),0))</f>
        <v>0</v>
      </c>
      <c r="K383" s="248">
        <f t="shared" ca="1" si="46"/>
        <v>0</v>
      </c>
      <c r="L383" s="212" t="s">
        <v>679</v>
      </c>
      <c r="M383" s="212" t="s">
        <v>448</v>
      </c>
      <c r="N383" s="212" t="s">
        <v>470</v>
      </c>
      <c r="O383" s="213">
        <v>41419</v>
      </c>
      <c r="P383" s="212" t="s">
        <v>683</v>
      </c>
      <c r="Q383" s="214">
        <v>100</v>
      </c>
      <c r="R383" s="212" t="s">
        <v>445</v>
      </c>
      <c r="S383" s="212" t="s">
        <v>532</v>
      </c>
      <c r="T383" s="212" t="s">
        <v>445</v>
      </c>
      <c r="U383" s="212" t="s">
        <v>446</v>
      </c>
      <c r="V383" s="214" t="b">
        <v>1</v>
      </c>
      <c r="W383" s="214">
        <v>1989</v>
      </c>
      <c r="X383" s="214">
        <v>5</v>
      </c>
      <c r="Y383" s="214">
        <v>2</v>
      </c>
      <c r="Z383" s="214">
        <v>4</v>
      </c>
      <c r="AA383" s="212" t="s">
        <v>447</v>
      </c>
      <c r="AB383" s="212" t="s">
        <v>531</v>
      </c>
      <c r="AC383" s="212" t="s">
        <v>533</v>
      </c>
      <c r="AD383" s="214">
        <v>90.285300000000007</v>
      </c>
      <c r="AE383" s="214">
        <v>603</v>
      </c>
      <c r="AF383" s="214">
        <v>7.4000000000000003E-3</v>
      </c>
      <c r="AG383" s="214">
        <v>-99</v>
      </c>
      <c r="AH383" s="212" t="s">
        <v>224</v>
      </c>
      <c r="AI383" s="212" t="s">
        <v>449</v>
      </c>
      <c r="AJ383" s="212" t="s">
        <v>417</v>
      </c>
      <c r="AK383" s="212" t="s">
        <v>531</v>
      </c>
      <c r="AL383" s="212" t="s">
        <v>453</v>
      </c>
      <c r="AM383" s="214" t="b">
        <v>1</v>
      </c>
      <c r="AN383" s="214" t="b">
        <v>0</v>
      </c>
      <c r="AO383" s="212" t="s">
        <v>418</v>
      </c>
      <c r="AP383" s="212" t="s">
        <v>419</v>
      </c>
      <c r="AQ383" s="214">
        <v>128.2551</v>
      </c>
      <c r="AR383" s="214" t="b">
        <v>0</v>
      </c>
      <c r="AS383" s="212" t="s">
        <v>534</v>
      </c>
      <c r="AU383" s="222" t="s">
        <v>819</v>
      </c>
    </row>
    <row r="384" spans="1:47" s="218" customFormat="1" x14ac:dyDescent="0.25">
      <c r="A384" s="245">
        <f t="shared" si="47"/>
        <v>384</v>
      </c>
      <c r="B384" s="246" t="str">
        <f t="shared" si="40"/>
        <v>Oil Field - Tank</v>
      </c>
      <c r="C384" s="246" t="str">
        <f ca="1">IF(B384="","",VLOOKUP(D384,'Species Data'!B:E,4,FALSE))</f>
        <v>N_octane</v>
      </c>
      <c r="D384" s="246">
        <f t="shared" ca="1" si="41"/>
        <v>604</v>
      </c>
      <c r="E384" s="246">
        <f t="shared" ca="1" si="42"/>
        <v>3.8999999999999998E-3</v>
      </c>
      <c r="F384" s="246" t="str">
        <f t="shared" ca="1" si="43"/>
        <v>N-octane</v>
      </c>
      <c r="G384" s="246">
        <f t="shared" ca="1" si="44"/>
        <v>114.22852</v>
      </c>
      <c r="H384" s="204">
        <f ca="1">IF(G384="","",IF(VLOOKUP(Tank!F384,'Species Data'!D:F,3,FALSE)=0,"X",IF(G384&lt;44.1,2,1)))</f>
        <v>1</v>
      </c>
      <c r="I384" s="204">
        <f t="shared" ca="1" si="45"/>
        <v>0.21590207265989761</v>
      </c>
      <c r="J384" s="247">
        <f ca="1">IF(I384="","",IF(COUNTIF($D$12:D384,D384)=1,IF(H384=1,I384*H384,IF(H384="X","X",0)),0))</f>
        <v>0</v>
      </c>
      <c r="K384" s="248">
        <f t="shared" ca="1" si="46"/>
        <v>0</v>
      </c>
      <c r="L384" s="212" t="s">
        <v>679</v>
      </c>
      <c r="M384" s="212" t="s">
        <v>448</v>
      </c>
      <c r="N384" s="212" t="s">
        <v>470</v>
      </c>
      <c r="O384" s="213">
        <v>41419</v>
      </c>
      <c r="P384" s="212" t="s">
        <v>683</v>
      </c>
      <c r="Q384" s="214">
        <v>100</v>
      </c>
      <c r="R384" s="212" t="s">
        <v>445</v>
      </c>
      <c r="S384" s="212" t="s">
        <v>532</v>
      </c>
      <c r="T384" s="212" t="s">
        <v>445</v>
      </c>
      <c r="U384" s="212" t="s">
        <v>446</v>
      </c>
      <c r="V384" s="214" t="b">
        <v>1</v>
      </c>
      <c r="W384" s="214">
        <v>1989</v>
      </c>
      <c r="X384" s="214">
        <v>5</v>
      </c>
      <c r="Y384" s="214">
        <v>2</v>
      </c>
      <c r="Z384" s="214">
        <v>4</v>
      </c>
      <c r="AA384" s="212" t="s">
        <v>447</v>
      </c>
      <c r="AB384" s="212" t="s">
        <v>531</v>
      </c>
      <c r="AC384" s="212" t="s">
        <v>533</v>
      </c>
      <c r="AD384" s="214">
        <v>90.285300000000007</v>
      </c>
      <c r="AE384" s="214">
        <v>604</v>
      </c>
      <c r="AF384" s="214">
        <v>3.8999999999999998E-3</v>
      </c>
      <c r="AG384" s="214">
        <v>-99</v>
      </c>
      <c r="AH384" s="212" t="s">
        <v>224</v>
      </c>
      <c r="AI384" s="212" t="s">
        <v>449</v>
      </c>
      <c r="AJ384" s="212" t="s">
        <v>282</v>
      </c>
      <c r="AK384" s="212" t="s">
        <v>531</v>
      </c>
      <c r="AL384" s="212" t="s">
        <v>380</v>
      </c>
      <c r="AM384" s="214" t="b">
        <v>1</v>
      </c>
      <c r="AN384" s="214" t="b">
        <v>0</v>
      </c>
      <c r="AO384" s="212" t="s">
        <v>283</v>
      </c>
      <c r="AP384" s="212" t="s">
        <v>284</v>
      </c>
      <c r="AQ384" s="214">
        <v>114.22852</v>
      </c>
      <c r="AR384" s="214" t="b">
        <v>0</v>
      </c>
      <c r="AS384" s="212" t="s">
        <v>534</v>
      </c>
      <c r="AU384" s="222" t="s">
        <v>819</v>
      </c>
    </row>
    <row r="385" spans="1:47" s="218" customFormat="1" x14ac:dyDescent="0.25">
      <c r="A385" s="245">
        <f t="shared" si="47"/>
        <v>385</v>
      </c>
      <c r="B385" s="246" t="str">
        <f t="shared" si="40"/>
        <v>Oil Field - Tank</v>
      </c>
      <c r="C385" s="246" t="str">
        <f ca="1">IF(B385="","",VLOOKUP(D385,'Species Data'!B:E,4,FALSE))</f>
        <v>N_pentane</v>
      </c>
      <c r="D385" s="246">
        <f t="shared" ca="1" si="41"/>
        <v>605</v>
      </c>
      <c r="E385" s="246">
        <f t="shared" ca="1" si="42"/>
        <v>7.9000000000000008E-3</v>
      </c>
      <c r="F385" s="246" t="str">
        <f t="shared" ca="1" si="43"/>
        <v>N-pentane</v>
      </c>
      <c r="G385" s="246">
        <f t="shared" ca="1" si="44"/>
        <v>72.148780000000002</v>
      </c>
      <c r="H385" s="204">
        <f ca="1">IF(G385="","",IF(VLOOKUP(Tank!F385,'Species Data'!D:F,3,FALSE)=0,"X",IF(G385&lt;44.1,2,1)))</f>
        <v>1</v>
      </c>
      <c r="I385" s="204">
        <f t="shared" ca="1" si="45"/>
        <v>3.2465311666992012</v>
      </c>
      <c r="J385" s="247">
        <f ca="1">IF(I385="","",IF(COUNTIF($D$12:D385,D385)=1,IF(H385=1,I385*H385,IF(H385="X","X",0)),0))</f>
        <v>0</v>
      </c>
      <c r="K385" s="248">
        <f t="shared" ca="1" si="46"/>
        <v>0</v>
      </c>
      <c r="L385" s="212" t="s">
        <v>679</v>
      </c>
      <c r="M385" s="212" t="s">
        <v>448</v>
      </c>
      <c r="N385" s="212" t="s">
        <v>470</v>
      </c>
      <c r="O385" s="213">
        <v>41419</v>
      </c>
      <c r="P385" s="212" t="s">
        <v>683</v>
      </c>
      <c r="Q385" s="214">
        <v>100</v>
      </c>
      <c r="R385" s="212" t="s">
        <v>445</v>
      </c>
      <c r="S385" s="212" t="s">
        <v>532</v>
      </c>
      <c r="T385" s="212" t="s">
        <v>445</v>
      </c>
      <c r="U385" s="212" t="s">
        <v>446</v>
      </c>
      <c r="V385" s="214" t="b">
        <v>1</v>
      </c>
      <c r="W385" s="214">
        <v>1989</v>
      </c>
      <c r="X385" s="214">
        <v>5</v>
      </c>
      <c r="Y385" s="214">
        <v>2</v>
      </c>
      <c r="Z385" s="214">
        <v>4</v>
      </c>
      <c r="AA385" s="212" t="s">
        <v>447</v>
      </c>
      <c r="AB385" s="212" t="s">
        <v>531</v>
      </c>
      <c r="AC385" s="212" t="s">
        <v>533</v>
      </c>
      <c r="AD385" s="214">
        <v>90.285300000000007</v>
      </c>
      <c r="AE385" s="214">
        <v>605</v>
      </c>
      <c r="AF385" s="214">
        <v>7.9000000000000008E-3</v>
      </c>
      <c r="AG385" s="214">
        <v>-99</v>
      </c>
      <c r="AH385" s="212" t="s">
        <v>224</v>
      </c>
      <c r="AI385" s="212" t="s">
        <v>449</v>
      </c>
      <c r="AJ385" s="212" t="s">
        <v>285</v>
      </c>
      <c r="AK385" s="212" t="s">
        <v>531</v>
      </c>
      <c r="AL385" s="212" t="s">
        <v>381</v>
      </c>
      <c r="AM385" s="214" t="b">
        <v>1</v>
      </c>
      <c r="AN385" s="214" t="b">
        <v>0</v>
      </c>
      <c r="AO385" s="212" t="s">
        <v>286</v>
      </c>
      <c r="AP385" s="212" t="s">
        <v>287</v>
      </c>
      <c r="AQ385" s="214">
        <v>72.148780000000002</v>
      </c>
      <c r="AR385" s="214" t="b">
        <v>0</v>
      </c>
      <c r="AS385" s="212" t="s">
        <v>534</v>
      </c>
      <c r="AU385" s="222" t="s">
        <v>819</v>
      </c>
    </row>
    <row r="386" spans="1:47" s="218" customFormat="1" x14ac:dyDescent="0.25">
      <c r="A386" s="245">
        <f t="shared" si="47"/>
        <v>386</v>
      </c>
      <c r="B386" s="246" t="str">
        <f t="shared" si="40"/>
        <v>Oil Field - Tank</v>
      </c>
      <c r="C386" s="246" t="str">
        <f ca="1">IF(B386="","",VLOOKUP(D386,'Species Data'!B:E,4,FALSE))</f>
        <v>N_proben</v>
      </c>
      <c r="D386" s="246">
        <f t="shared" ca="1" si="41"/>
        <v>608</v>
      </c>
      <c r="E386" s="246">
        <f t="shared" ca="1" si="42"/>
        <v>6.4000000000000003E-3</v>
      </c>
      <c r="F386" s="246" t="str">
        <f t="shared" ca="1" si="43"/>
        <v>N-propylbenzene</v>
      </c>
      <c r="G386" s="246">
        <f t="shared" ca="1" si="44"/>
        <v>120.19158</v>
      </c>
      <c r="H386" s="204">
        <f ca="1">IF(G386="","",IF(VLOOKUP(Tank!F386,'Species Data'!D:F,3,FALSE)=0,"X",IF(G386&lt;44.1,2,1)))</f>
        <v>1</v>
      </c>
      <c r="I386" s="204">
        <f t="shared" ca="1" si="45"/>
        <v>2.0193527191194376E-2</v>
      </c>
      <c r="J386" s="247">
        <f ca="1">IF(I386="","",IF(COUNTIF($D$12:D386,D386)=1,IF(H386=1,I386*H386,IF(H386="X","X",0)),0))</f>
        <v>0</v>
      </c>
      <c r="K386" s="248">
        <f t="shared" ca="1" si="46"/>
        <v>0</v>
      </c>
      <c r="L386" s="212" t="s">
        <v>679</v>
      </c>
      <c r="M386" s="212" t="s">
        <v>448</v>
      </c>
      <c r="N386" s="212" t="s">
        <v>470</v>
      </c>
      <c r="O386" s="213">
        <v>41419</v>
      </c>
      <c r="P386" s="212" t="s">
        <v>683</v>
      </c>
      <c r="Q386" s="214">
        <v>100</v>
      </c>
      <c r="R386" s="212" t="s">
        <v>445</v>
      </c>
      <c r="S386" s="212" t="s">
        <v>532</v>
      </c>
      <c r="T386" s="212" t="s">
        <v>445</v>
      </c>
      <c r="U386" s="212" t="s">
        <v>446</v>
      </c>
      <c r="V386" s="214" t="b">
        <v>1</v>
      </c>
      <c r="W386" s="214">
        <v>1989</v>
      </c>
      <c r="X386" s="214">
        <v>5</v>
      </c>
      <c r="Y386" s="214">
        <v>2</v>
      </c>
      <c r="Z386" s="214">
        <v>4</v>
      </c>
      <c r="AA386" s="212" t="s">
        <v>447</v>
      </c>
      <c r="AB386" s="212" t="s">
        <v>531</v>
      </c>
      <c r="AC386" s="212" t="s">
        <v>533</v>
      </c>
      <c r="AD386" s="214">
        <v>90.285300000000007</v>
      </c>
      <c r="AE386" s="214">
        <v>608</v>
      </c>
      <c r="AF386" s="214">
        <v>6.4000000000000003E-3</v>
      </c>
      <c r="AG386" s="214">
        <v>-99</v>
      </c>
      <c r="AH386" s="212" t="s">
        <v>224</v>
      </c>
      <c r="AI386" s="212" t="s">
        <v>449</v>
      </c>
      <c r="AJ386" s="212" t="s">
        <v>420</v>
      </c>
      <c r="AK386" s="212" t="s">
        <v>531</v>
      </c>
      <c r="AL386" s="212" t="s">
        <v>454</v>
      </c>
      <c r="AM386" s="214" t="b">
        <v>1</v>
      </c>
      <c r="AN386" s="214" t="b">
        <v>0</v>
      </c>
      <c r="AO386" s="212" t="s">
        <v>421</v>
      </c>
      <c r="AP386" s="212" t="s">
        <v>422</v>
      </c>
      <c r="AQ386" s="214">
        <v>120.19158</v>
      </c>
      <c r="AR386" s="214" t="b">
        <v>0</v>
      </c>
      <c r="AS386" s="212" t="s">
        <v>534</v>
      </c>
      <c r="AU386" s="222" t="s">
        <v>819</v>
      </c>
    </row>
    <row r="387" spans="1:47" s="218" customFormat="1" x14ac:dyDescent="0.25">
      <c r="A387" s="245">
        <f t="shared" si="47"/>
        <v>387</v>
      </c>
      <c r="B387" s="246" t="str">
        <f t="shared" si="40"/>
        <v>Oil Field - Tank</v>
      </c>
      <c r="C387" s="246" t="str">
        <f ca="1">IF(B387="","",VLOOKUP(D387,'Species Data'!B:E,4,FALSE))</f>
        <v>O_xylene</v>
      </c>
      <c r="D387" s="246">
        <f t="shared" ca="1" si="41"/>
        <v>620</v>
      </c>
      <c r="E387" s="246">
        <f t="shared" ca="1" si="42"/>
        <v>3.5000000000000001E-3</v>
      </c>
      <c r="F387" s="246" t="str">
        <f t="shared" ca="1" si="43"/>
        <v>O-xylene</v>
      </c>
      <c r="G387" s="246">
        <f t="shared" ca="1" si="44"/>
        <v>106.16500000000001</v>
      </c>
      <c r="H387" s="204">
        <f ca="1">IF(G387="","",IF(VLOOKUP(Tank!F387,'Species Data'!D:F,3,FALSE)=0,"X",IF(G387&lt;44.1,2,1)))</f>
        <v>1</v>
      </c>
      <c r="I387" s="204">
        <f t="shared" ca="1" si="45"/>
        <v>5.0080480772615434E-2</v>
      </c>
      <c r="J387" s="247">
        <f ca="1">IF(I387="","",IF(COUNTIF($D$12:D387,D387)=1,IF(H387=1,I387*H387,IF(H387="X","X",0)),0))</f>
        <v>0</v>
      </c>
      <c r="K387" s="248">
        <f t="shared" ca="1" si="46"/>
        <v>0</v>
      </c>
      <c r="L387" s="212" t="s">
        <v>679</v>
      </c>
      <c r="M387" s="212" t="s">
        <v>448</v>
      </c>
      <c r="N387" s="212" t="s">
        <v>470</v>
      </c>
      <c r="O387" s="213">
        <v>41419</v>
      </c>
      <c r="P387" s="212" t="s">
        <v>683</v>
      </c>
      <c r="Q387" s="214">
        <v>100</v>
      </c>
      <c r="R387" s="212" t="s">
        <v>445</v>
      </c>
      <c r="S387" s="212" t="s">
        <v>532</v>
      </c>
      <c r="T387" s="212" t="s">
        <v>445</v>
      </c>
      <c r="U387" s="212" t="s">
        <v>446</v>
      </c>
      <c r="V387" s="214" t="b">
        <v>1</v>
      </c>
      <c r="W387" s="214">
        <v>1989</v>
      </c>
      <c r="X387" s="214">
        <v>5</v>
      </c>
      <c r="Y387" s="214">
        <v>2</v>
      </c>
      <c r="Z387" s="214">
        <v>4</v>
      </c>
      <c r="AA387" s="212" t="s">
        <v>447</v>
      </c>
      <c r="AB387" s="212" t="s">
        <v>531</v>
      </c>
      <c r="AC387" s="212" t="s">
        <v>533</v>
      </c>
      <c r="AD387" s="214">
        <v>90.285300000000007</v>
      </c>
      <c r="AE387" s="214">
        <v>620</v>
      </c>
      <c r="AF387" s="214">
        <v>3.5000000000000001E-3</v>
      </c>
      <c r="AG387" s="214">
        <v>-99</v>
      </c>
      <c r="AH387" s="212" t="s">
        <v>224</v>
      </c>
      <c r="AI387" s="212" t="s">
        <v>449</v>
      </c>
      <c r="AJ387" s="212" t="s">
        <v>354</v>
      </c>
      <c r="AK387" s="212" t="s">
        <v>531</v>
      </c>
      <c r="AL387" s="212" t="s">
        <v>398</v>
      </c>
      <c r="AM387" s="214" t="b">
        <v>1</v>
      </c>
      <c r="AN387" s="214" t="b">
        <v>1</v>
      </c>
      <c r="AO387" s="212" t="s">
        <v>355</v>
      </c>
      <c r="AP387" s="212" t="s">
        <v>356</v>
      </c>
      <c r="AQ387" s="214">
        <v>106.16500000000001</v>
      </c>
      <c r="AR387" s="214" t="b">
        <v>0</v>
      </c>
      <c r="AS387" s="212" t="s">
        <v>534</v>
      </c>
      <c r="AU387" s="222" t="s">
        <v>819</v>
      </c>
    </row>
    <row r="388" spans="1:47" s="218" customFormat="1" x14ac:dyDescent="0.25">
      <c r="A388" s="245">
        <f t="shared" si="47"/>
        <v>388</v>
      </c>
      <c r="B388" s="246" t="str">
        <f t="shared" si="40"/>
        <v>Oil Field - Tank</v>
      </c>
      <c r="C388" s="246" t="str">
        <f ca="1">IF(B388="","",VLOOKUP(D388,'Species Data'!B:E,4,FALSE))</f>
        <v>P_xylene</v>
      </c>
      <c r="D388" s="246">
        <f t="shared" ca="1" si="41"/>
        <v>648</v>
      </c>
      <c r="E388" s="246">
        <f t="shared" ca="1" si="42"/>
        <v>4.5999999999999999E-3</v>
      </c>
      <c r="F388" s="246" t="str">
        <f t="shared" ca="1" si="43"/>
        <v>P-xylene</v>
      </c>
      <c r="G388" s="246">
        <f t="shared" ca="1" si="44"/>
        <v>106.16500000000001</v>
      </c>
      <c r="H388" s="204">
        <f ca="1">IF(G388="","",IF(VLOOKUP(Tank!F388,'Species Data'!D:F,3,FALSE)=0,"X",IF(G388&lt;44.1,2,1)))</f>
        <v>1</v>
      </c>
      <c r="I388" s="204">
        <f t="shared" ca="1" si="45"/>
        <v>8.2000787207557213E-2</v>
      </c>
      <c r="J388" s="247">
        <f ca="1">IF(I388="","",IF(COUNTIF($D$12:D388,D388)=1,IF(H388=1,I388*H388,IF(H388="X","X",0)),0))</f>
        <v>0</v>
      </c>
      <c r="K388" s="248">
        <f t="shared" ca="1" si="46"/>
        <v>0</v>
      </c>
      <c r="L388" s="212" t="s">
        <v>679</v>
      </c>
      <c r="M388" s="212" t="s">
        <v>448</v>
      </c>
      <c r="N388" s="212" t="s">
        <v>470</v>
      </c>
      <c r="O388" s="213">
        <v>41419</v>
      </c>
      <c r="P388" s="212" t="s">
        <v>683</v>
      </c>
      <c r="Q388" s="214">
        <v>100</v>
      </c>
      <c r="R388" s="212" t="s">
        <v>445</v>
      </c>
      <c r="S388" s="212" t="s">
        <v>532</v>
      </c>
      <c r="T388" s="212" t="s">
        <v>445</v>
      </c>
      <c r="U388" s="212" t="s">
        <v>446</v>
      </c>
      <c r="V388" s="214" t="b">
        <v>1</v>
      </c>
      <c r="W388" s="214">
        <v>1989</v>
      </c>
      <c r="X388" s="214">
        <v>5</v>
      </c>
      <c r="Y388" s="214">
        <v>2</v>
      </c>
      <c r="Z388" s="214">
        <v>4</v>
      </c>
      <c r="AA388" s="212" t="s">
        <v>447</v>
      </c>
      <c r="AB388" s="212" t="s">
        <v>531</v>
      </c>
      <c r="AC388" s="212" t="s">
        <v>533</v>
      </c>
      <c r="AD388" s="214">
        <v>90.285300000000007</v>
      </c>
      <c r="AE388" s="214">
        <v>648</v>
      </c>
      <c r="AF388" s="214">
        <v>4.5999999999999999E-3</v>
      </c>
      <c r="AG388" s="214">
        <v>-99</v>
      </c>
      <c r="AH388" s="212" t="s">
        <v>224</v>
      </c>
      <c r="AI388" s="212" t="s">
        <v>449</v>
      </c>
      <c r="AJ388" s="212" t="s">
        <v>433</v>
      </c>
      <c r="AK388" s="212" t="s">
        <v>531</v>
      </c>
      <c r="AL388" s="212" t="s">
        <v>459</v>
      </c>
      <c r="AM388" s="214" t="b">
        <v>0</v>
      </c>
      <c r="AN388" s="214" t="b">
        <v>1</v>
      </c>
      <c r="AO388" s="212" t="s">
        <v>434</v>
      </c>
      <c r="AP388" s="212" t="s">
        <v>435</v>
      </c>
      <c r="AQ388" s="214">
        <v>106.16500000000001</v>
      </c>
      <c r="AR388" s="214" t="b">
        <v>0</v>
      </c>
      <c r="AS388" s="212" t="s">
        <v>534</v>
      </c>
      <c r="AU388" s="222" t="s">
        <v>819</v>
      </c>
    </row>
    <row r="389" spans="1:47" s="218" customFormat="1" x14ac:dyDescent="0.25">
      <c r="A389" s="245">
        <f t="shared" si="47"/>
        <v>389</v>
      </c>
      <c r="B389" s="246" t="str">
        <f t="shared" si="40"/>
        <v>Oil Field - Tank</v>
      </c>
      <c r="C389" s="246" t="str">
        <f ca="1">IF(B389="","",VLOOKUP(D389,'Species Data'!B:E,4,FALSE))</f>
        <v>propane</v>
      </c>
      <c r="D389" s="246">
        <f t="shared" ca="1" si="41"/>
        <v>671</v>
      </c>
      <c r="E389" s="246">
        <f t="shared" ca="1" si="42"/>
        <v>0.18609999999999999</v>
      </c>
      <c r="F389" s="246" t="str">
        <f t="shared" ca="1" si="43"/>
        <v>Propane</v>
      </c>
      <c r="G389" s="246">
        <f t="shared" ca="1" si="44"/>
        <v>44.095619999999997</v>
      </c>
      <c r="H389" s="204">
        <f ca="1">IF(G389="","",IF(VLOOKUP(Tank!F389,'Species Data'!D:F,3,FALSE)=0,"X",IF(G389&lt;44.1,2,1)))</f>
        <v>2</v>
      </c>
      <c r="I389" s="204">
        <f t="shared" ca="1" si="45"/>
        <v>10.138737331878389</v>
      </c>
      <c r="J389" s="247">
        <f ca="1">IF(I389="","",IF(COUNTIF($D$12:D389,D389)=1,IF(H389=1,I389*H389,IF(H389="X","X",0)),0))</f>
        <v>0</v>
      </c>
      <c r="K389" s="248">
        <f t="shared" ca="1" si="46"/>
        <v>0</v>
      </c>
      <c r="L389" s="212" t="s">
        <v>679</v>
      </c>
      <c r="M389" s="212" t="s">
        <v>448</v>
      </c>
      <c r="N389" s="212" t="s">
        <v>470</v>
      </c>
      <c r="O389" s="213">
        <v>41419</v>
      </c>
      <c r="P389" s="212" t="s">
        <v>683</v>
      </c>
      <c r="Q389" s="214">
        <v>100</v>
      </c>
      <c r="R389" s="212" t="s">
        <v>445</v>
      </c>
      <c r="S389" s="212" t="s">
        <v>532</v>
      </c>
      <c r="T389" s="212" t="s">
        <v>445</v>
      </c>
      <c r="U389" s="212" t="s">
        <v>446</v>
      </c>
      <c r="V389" s="214" t="b">
        <v>1</v>
      </c>
      <c r="W389" s="214">
        <v>1989</v>
      </c>
      <c r="X389" s="214">
        <v>5</v>
      </c>
      <c r="Y389" s="214">
        <v>2</v>
      </c>
      <c r="Z389" s="214">
        <v>4</v>
      </c>
      <c r="AA389" s="212" t="s">
        <v>447</v>
      </c>
      <c r="AB389" s="212" t="s">
        <v>531</v>
      </c>
      <c r="AC389" s="212" t="s">
        <v>533</v>
      </c>
      <c r="AD389" s="214">
        <v>90.285300000000007</v>
      </c>
      <c r="AE389" s="214">
        <v>671</v>
      </c>
      <c r="AF389" s="214">
        <v>0.18609999999999999</v>
      </c>
      <c r="AG389" s="214">
        <v>-99</v>
      </c>
      <c r="AH389" s="212" t="s">
        <v>224</v>
      </c>
      <c r="AI389" s="212" t="s">
        <v>449</v>
      </c>
      <c r="AJ389" s="212" t="s">
        <v>288</v>
      </c>
      <c r="AK389" s="212" t="s">
        <v>531</v>
      </c>
      <c r="AL389" s="212" t="s">
        <v>382</v>
      </c>
      <c r="AM389" s="214" t="b">
        <v>1</v>
      </c>
      <c r="AN389" s="214" t="b">
        <v>0</v>
      </c>
      <c r="AO389" s="212" t="s">
        <v>289</v>
      </c>
      <c r="AP389" s="212" t="s">
        <v>290</v>
      </c>
      <c r="AQ389" s="214">
        <v>44.095619999999997</v>
      </c>
      <c r="AR389" s="214" t="b">
        <v>0</v>
      </c>
      <c r="AS389" s="212" t="s">
        <v>534</v>
      </c>
      <c r="AU389" s="222" t="s">
        <v>819</v>
      </c>
    </row>
    <row r="390" spans="1:47" s="218" customFormat="1" x14ac:dyDescent="0.25">
      <c r="A390" s="245">
        <f t="shared" si="47"/>
        <v>390</v>
      </c>
      <c r="B390" s="246" t="str">
        <f t="shared" si="40"/>
        <v>Oil Field - Tank</v>
      </c>
      <c r="C390" s="246" t="str">
        <f ca="1">IF(B390="","",VLOOKUP(D390,'Species Data'!B:E,4,FALSE))</f>
        <v>toluene</v>
      </c>
      <c r="D390" s="246">
        <f t="shared" ca="1" si="41"/>
        <v>717</v>
      </c>
      <c r="E390" s="246">
        <f t="shared" ca="1" si="42"/>
        <v>3.8E-3</v>
      </c>
      <c r="F390" s="246" t="str">
        <f t="shared" ca="1" si="43"/>
        <v>Toluene</v>
      </c>
      <c r="G390" s="246">
        <f t="shared" ca="1" si="44"/>
        <v>92.138419999999996</v>
      </c>
      <c r="H390" s="204">
        <f ca="1">IF(G390="","",IF(VLOOKUP(Tank!F390,'Species Data'!D:F,3,FALSE)=0,"X",IF(G390&lt;44.1,2,1)))</f>
        <v>1</v>
      </c>
      <c r="I390" s="204">
        <f t="shared" ca="1" si="45"/>
        <v>0.21631540996126902</v>
      </c>
      <c r="J390" s="247">
        <f ca="1">IF(I390="","",IF(COUNTIF($D$12:D390,D390)=1,IF(H390=1,I390*H390,IF(H390="X","X",0)),0))</f>
        <v>0</v>
      </c>
      <c r="K390" s="248">
        <f t="shared" ca="1" si="46"/>
        <v>0</v>
      </c>
      <c r="L390" s="212" t="s">
        <v>679</v>
      </c>
      <c r="M390" s="212" t="s">
        <v>448</v>
      </c>
      <c r="N390" s="212" t="s">
        <v>470</v>
      </c>
      <c r="O390" s="213">
        <v>41419</v>
      </c>
      <c r="P390" s="212" t="s">
        <v>683</v>
      </c>
      <c r="Q390" s="214">
        <v>100</v>
      </c>
      <c r="R390" s="212" t="s">
        <v>445</v>
      </c>
      <c r="S390" s="212" t="s">
        <v>532</v>
      </c>
      <c r="T390" s="212" t="s">
        <v>445</v>
      </c>
      <c r="U390" s="212" t="s">
        <v>446</v>
      </c>
      <c r="V390" s="214" t="b">
        <v>1</v>
      </c>
      <c r="W390" s="214">
        <v>1989</v>
      </c>
      <c r="X390" s="214">
        <v>5</v>
      </c>
      <c r="Y390" s="214">
        <v>2</v>
      </c>
      <c r="Z390" s="214">
        <v>4</v>
      </c>
      <c r="AA390" s="212" t="s">
        <v>447</v>
      </c>
      <c r="AB390" s="212" t="s">
        <v>531</v>
      </c>
      <c r="AC390" s="212" t="s">
        <v>533</v>
      </c>
      <c r="AD390" s="214">
        <v>90.285300000000007</v>
      </c>
      <c r="AE390" s="214">
        <v>717</v>
      </c>
      <c r="AF390" s="214">
        <v>3.8E-3</v>
      </c>
      <c r="AG390" s="214">
        <v>-99</v>
      </c>
      <c r="AH390" s="212" t="s">
        <v>224</v>
      </c>
      <c r="AI390" s="212" t="s">
        <v>449</v>
      </c>
      <c r="AJ390" s="212" t="s">
        <v>294</v>
      </c>
      <c r="AK390" s="212" t="s">
        <v>531</v>
      </c>
      <c r="AL390" s="212" t="s">
        <v>383</v>
      </c>
      <c r="AM390" s="214" t="b">
        <v>1</v>
      </c>
      <c r="AN390" s="214" t="b">
        <v>1</v>
      </c>
      <c r="AO390" s="212" t="s">
        <v>295</v>
      </c>
      <c r="AP390" s="212" t="s">
        <v>296</v>
      </c>
      <c r="AQ390" s="214">
        <v>92.138419999999996</v>
      </c>
      <c r="AR390" s="214" t="b">
        <v>0</v>
      </c>
      <c r="AS390" s="212" t="s">
        <v>534</v>
      </c>
      <c r="AU390" s="222" t="s">
        <v>819</v>
      </c>
    </row>
    <row r="391" spans="1:47" s="218" customFormat="1" x14ac:dyDescent="0.25">
      <c r="A391" s="245">
        <f t="shared" si="47"/>
        <v>391</v>
      </c>
      <c r="B391" s="246" t="str">
        <f t="shared" si="40"/>
        <v>Oil Field - Tank</v>
      </c>
      <c r="C391" s="246" t="str">
        <f ca="1">IF(B391="","",VLOOKUP(D391,'Species Data'!B:E,4,FALSE))</f>
        <v>betben</v>
      </c>
      <c r="D391" s="246">
        <f t="shared" ca="1" si="41"/>
        <v>981</v>
      </c>
      <c r="E391" s="246">
        <f t="shared" ca="1" si="42"/>
        <v>2.0299999999999999E-2</v>
      </c>
      <c r="F391" s="246" t="str">
        <f t="shared" ca="1" si="43"/>
        <v>Butylbenzene</v>
      </c>
      <c r="G391" s="246">
        <f t="shared" ca="1" si="44"/>
        <v>134.21816000000001</v>
      </c>
      <c r="H391" s="204">
        <f ca="1">IF(G391="","",IF(VLOOKUP(Tank!F391,'Species Data'!D:F,3,FALSE)=0,"X",IF(G391&lt;44.1,2,1)))</f>
        <v>1</v>
      </c>
      <c r="I391" s="204">
        <f t="shared" ca="1" si="45"/>
        <v>4.2533741657253248E-3</v>
      </c>
      <c r="J391" s="247">
        <f ca="1">IF(I391="","",IF(COUNTIF($D$12:D391,D391)=1,IF(H391=1,I391*H391,IF(H391="X","X",0)),0))</f>
        <v>0</v>
      </c>
      <c r="K391" s="248">
        <f t="shared" ca="1" si="46"/>
        <v>0</v>
      </c>
      <c r="L391" s="212" t="s">
        <v>679</v>
      </c>
      <c r="M391" s="212" t="s">
        <v>448</v>
      </c>
      <c r="N391" s="212" t="s">
        <v>470</v>
      </c>
      <c r="O391" s="213">
        <v>41419</v>
      </c>
      <c r="P391" s="212" t="s">
        <v>683</v>
      </c>
      <c r="Q391" s="214">
        <v>100</v>
      </c>
      <c r="R391" s="212" t="s">
        <v>445</v>
      </c>
      <c r="S391" s="212" t="s">
        <v>532</v>
      </c>
      <c r="T391" s="212" t="s">
        <v>445</v>
      </c>
      <c r="U391" s="212" t="s">
        <v>446</v>
      </c>
      <c r="V391" s="214" t="b">
        <v>1</v>
      </c>
      <c r="W391" s="214">
        <v>1989</v>
      </c>
      <c r="X391" s="214">
        <v>5</v>
      </c>
      <c r="Y391" s="214">
        <v>2</v>
      </c>
      <c r="Z391" s="214">
        <v>4</v>
      </c>
      <c r="AA391" s="212" t="s">
        <v>447</v>
      </c>
      <c r="AB391" s="212" t="s">
        <v>531</v>
      </c>
      <c r="AC391" s="212" t="s">
        <v>533</v>
      </c>
      <c r="AD391" s="214">
        <v>90.285300000000007</v>
      </c>
      <c r="AE391" s="214">
        <v>981</v>
      </c>
      <c r="AF391" s="214">
        <v>2.0299999999999999E-2</v>
      </c>
      <c r="AG391" s="214">
        <v>-99</v>
      </c>
      <c r="AH391" s="212" t="s">
        <v>224</v>
      </c>
      <c r="AI391" s="212" t="s">
        <v>449</v>
      </c>
      <c r="AJ391" s="212" t="s">
        <v>645</v>
      </c>
      <c r="AK391" s="212" t="s">
        <v>531</v>
      </c>
      <c r="AL391" s="212" t="s">
        <v>531</v>
      </c>
      <c r="AM391" s="214" t="b">
        <v>0</v>
      </c>
      <c r="AN391" s="214" t="b">
        <v>0</v>
      </c>
      <c r="AO391" s="212" t="s">
        <v>646</v>
      </c>
      <c r="AP391" s="212" t="s">
        <v>647</v>
      </c>
      <c r="AQ391" s="214">
        <v>134.21816000000001</v>
      </c>
      <c r="AR391" s="214" t="b">
        <v>0</v>
      </c>
      <c r="AS391" s="212" t="s">
        <v>534</v>
      </c>
      <c r="AU391" s="222" t="s">
        <v>819</v>
      </c>
    </row>
    <row r="392" spans="1:47" s="218" customFormat="1" x14ac:dyDescent="0.25">
      <c r="A392" s="245">
        <f t="shared" si="47"/>
        <v>392</v>
      </c>
      <c r="B392" s="246" t="str">
        <f t="shared" si="40"/>
        <v>Oil Field - Tank</v>
      </c>
      <c r="C392" s="246" t="str">
        <f ca="1">IF(B392="","",VLOOKUP(D392,'Species Data'!B:E,4,FALSE))</f>
        <v>c10_comp</v>
      </c>
      <c r="D392" s="246">
        <f t="shared" ca="1" si="41"/>
        <v>1924</v>
      </c>
      <c r="E392" s="246">
        <f t="shared" ca="1" si="42"/>
        <v>0.28849999999999998</v>
      </c>
      <c r="F392" s="246" t="str">
        <f t="shared" ca="1" si="43"/>
        <v>C-10 Compounds</v>
      </c>
      <c r="G392" s="246">
        <f t="shared" ca="1" si="44"/>
        <v>142.28167999999999</v>
      </c>
      <c r="H392" s="204" t="str">
        <f ca="1">IF(G392="","",IF(VLOOKUP(Tank!F392,'Species Data'!D:F,3,FALSE)=0,"X",IF(G392&lt;44.1,2,1)))</f>
        <v>X</v>
      </c>
      <c r="I392" s="204">
        <f t="shared" ca="1" si="45"/>
        <v>0.15904819352932459</v>
      </c>
      <c r="J392" s="247">
        <f ca="1">IF(I392="","",IF(COUNTIF($D$12:D392,D392)=1,IF(H392=1,I392*H392,IF(H392="X","X",0)),0))</f>
        <v>0</v>
      </c>
      <c r="K392" s="248">
        <f t="shared" ca="1" si="46"/>
        <v>0</v>
      </c>
      <c r="L392" s="212" t="s">
        <v>679</v>
      </c>
      <c r="M392" s="212" t="s">
        <v>448</v>
      </c>
      <c r="N392" s="212" t="s">
        <v>470</v>
      </c>
      <c r="O392" s="213">
        <v>41419</v>
      </c>
      <c r="P392" s="212" t="s">
        <v>683</v>
      </c>
      <c r="Q392" s="214">
        <v>100</v>
      </c>
      <c r="R392" s="212" t="s">
        <v>445</v>
      </c>
      <c r="S392" s="212" t="s">
        <v>532</v>
      </c>
      <c r="T392" s="212" t="s">
        <v>445</v>
      </c>
      <c r="U392" s="212" t="s">
        <v>446</v>
      </c>
      <c r="V392" s="214" t="b">
        <v>1</v>
      </c>
      <c r="W392" s="214">
        <v>1989</v>
      </c>
      <c r="X392" s="214">
        <v>5</v>
      </c>
      <c r="Y392" s="214">
        <v>2</v>
      </c>
      <c r="Z392" s="214">
        <v>4</v>
      </c>
      <c r="AA392" s="212" t="s">
        <v>447</v>
      </c>
      <c r="AB392" s="212" t="s">
        <v>531</v>
      </c>
      <c r="AC392" s="212" t="s">
        <v>533</v>
      </c>
      <c r="AD392" s="214">
        <v>90.285300000000007</v>
      </c>
      <c r="AE392" s="214">
        <v>1924</v>
      </c>
      <c r="AF392" s="214">
        <v>0.28849999999999998</v>
      </c>
      <c r="AG392" s="214">
        <v>-99</v>
      </c>
      <c r="AH392" s="212" t="s">
        <v>224</v>
      </c>
      <c r="AI392" s="212" t="s">
        <v>449</v>
      </c>
      <c r="AJ392" s="212" t="s">
        <v>224</v>
      </c>
      <c r="AK392" s="212" t="s">
        <v>531</v>
      </c>
      <c r="AL392" s="212" t="s">
        <v>466</v>
      </c>
      <c r="AM392" s="214" t="b">
        <v>0</v>
      </c>
      <c r="AN392" s="214" t="b">
        <v>0</v>
      </c>
      <c r="AO392" s="212" t="s">
        <v>535</v>
      </c>
      <c r="AP392" s="212" t="s">
        <v>536</v>
      </c>
      <c r="AQ392" s="214">
        <v>142.28167999999999</v>
      </c>
      <c r="AR392" s="214" t="b">
        <v>0</v>
      </c>
      <c r="AS392" s="212" t="s">
        <v>534</v>
      </c>
      <c r="AU392" s="222" t="s">
        <v>819</v>
      </c>
    </row>
    <row r="393" spans="1:47" s="218" customFormat="1" x14ac:dyDescent="0.25">
      <c r="A393" s="245">
        <f t="shared" si="47"/>
        <v>393</v>
      </c>
      <c r="B393" s="246" t="str">
        <f t="shared" si="40"/>
        <v>Oil Field - Tank</v>
      </c>
      <c r="C393" s="246" t="str">
        <f ca="1">IF(B393="","",VLOOKUP(D393,'Species Data'!B:E,4,FALSE))</f>
        <v>c5_comp</v>
      </c>
      <c r="D393" s="246">
        <f t="shared" ca="1" si="41"/>
        <v>1986</v>
      </c>
      <c r="E393" s="246">
        <f t="shared" ca="1" si="42"/>
        <v>1.26E-2</v>
      </c>
      <c r="F393" s="246" t="str">
        <f t="shared" ca="1" si="43"/>
        <v>C-5 Compounds</v>
      </c>
      <c r="G393" s="246">
        <f t="shared" ca="1" si="44"/>
        <v>72.148780000000002</v>
      </c>
      <c r="H393" s="204" t="str">
        <f ca="1">IF(G393="","",IF(VLOOKUP(Tank!F393,'Species Data'!D:F,3,FALSE)=0,"X",IF(G393&lt;44.1,2,1)))</f>
        <v>X</v>
      </c>
      <c r="I393" s="204">
        <f t="shared" ca="1" si="45"/>
        <v>2.1162936497523712</v>
      </c>
      <c r="J393" s="247">
        <f ca="1">IF(I393="","",IF(COUNTIF($D$12:D393,D393)=1,IF(H393=1,I393*H393,IF(H393="X","X",0)),0))</f>
        <v>0</v>
      </c>
      <c r="K393" s="248">
        <f t="shared" ca="1" si="46"/>
        <v>0</v>
      </c>
      <c r="L393" s="212" t="s">
        <v>679</v>
      </c>
      <c r="M393" s="212" t="s">
        <v>448</v>
      </c>
      <c r="N393" s="212" t="s">
        <v>470</v>
      </c>
      <c r="O393" s="213">
        <v>41419</v>
      </c>
      <c r="P393" s="212" t="s">
        <v>683</v>
      </c>
      <c r="Q393" s="214">
        <v>100</v>
      </c>
      <c r="R393" s="212" t="s">
        <v>445</v>
      </c>
      <c r="S393" s="212" t="s">
        <v>532</v>
      </c>
      <c r="T393" s="212" t="s">
        <v>445</v>
      </c>
      <c r="U393" s="212" t="s">
        <v>446</v>
      </c>
      <c r="V393" s="214" t="b">
        <v>1</v>
      </c>
      <c r="W393" s="214">
        <v>1989</v>
      </c>
      <c r="X393" s="214">
        <v>5</v>
      </c>
      <c r="Y393" s="214">
        <v>2</v>
      </c>
      <c r="Z393" s="214">
        <v>4</v>
      </c>
      <c r="AA393" s="212" t="s">
        <v>447</v>
      </c>
      <c r="AB393" s="212" t="s">
        <v>531</v>
      </c>
      <c r="AC393" s="212" t="s">
        <v>533</v>
      </c>
      <c r="AD393" s="214">
        <v>90.285300000000007</v>
      </c>
      <c r="AE393" s="214">
        <v>1986</v>
      </c>
      <c r="AF393" s="214">
        <v>1.26E-2</v>
      </c>
      <c r="AG393" s="214">
        <v>-99</v>
      </c>
      <c r="AH393" s="212" t="s">
        <v>224</v>
      </c>
      <c r="AI393" s="212" t="s">
        <v>449</v>
      </c>
      <c r="AJ393" s="212" t="s">
        <v>224</v>
      </c>
      <c r="AK393" s="212" t="s">
        <v>531</v>
      </c>
      <c r="AL393" s="212" t="s">
        <v>537</v>
      </c>
      <c r="AM393" s="214" t="b">
        <v>0</v>
      </c>
      <c r="AN393" s="214" t="b">
        <v>0</v>
      </c>
      <c r="AO393" s="212" t="s">
        <v>538</v>
      </c>
      <c r="AP393" s="212" t="s">
        <v>539</v>
      </c>
      <c r="AQ393" s="214">
        <v>72.148780000000002</v>
      </c>
      <c r="AR393" s="214" t="b">
        <v>0</v>
      </c>
      <c r="AS393" s="212" t="s">
        <v>534</v>
      </c>
      <c r="AU393" s="222" t="s">
        <v>819</v>
      </c>
    </row>
    <row r="394" spans="1:47" s="218" customFormat="1" x14ac:dyDescent="0.25">
      <c r="A394" s="245">
        <f t="shared" si="47"/>
        <v>394</v>
      </c>
      <c r="B394" s="246" t="str">
        <f t="shared" si="40"/>
        <v>Oil Field - Tank</v>
      </c>
      <c r="C394" s="246" t="str">
        <f ca="1">IF(B394="","",VLOOKUP(D394,'Species Data'!B:E,4,FALSE))</f>
        <v>c6_comp</v>
      </c>
      <c r="D394" s="246">
        <f t="shared" ca="1" si="41"/>
        <v>1999</v>
      </c>
      <c r="E394" s="246">
        <f t="shared" ca="1" si="42"/>
        <v>1.7100000000000001E-2</v>
      </c>
      <c r="F394" s="246" t="str">
        <f t="shared" ca="1" si="43"/>
        <v>C-6 Compounds</v>
      </c>
      <c r="G394" s="246">
        <f t="shared" ca="1" si="44"/>
        <v>86.175359999999998</v>
      </c>
      <c r="H394" s="204" t="str">
        <f ca="1">IF(G394="","",IF(VLOOKUP(Tank!F394,'Species Data'!D:F,3,FALSE)=0,"X",IF(G394&lt;44.1,2,1)))</f>
        <v>X</v>
      </c>
      <c r="I394" s="204">
        <f t="shared" ca="1" si="45"/>
        <v>3.9709781213899662</v>
      </c>
      <c r="J394" s="247">
        <f ca="1">IF(I394="","",IF(COUNTIF($D$12:D394,D394)=1,IF(H394=1,I394*H394,IF(H394="X","X",0)),0))</f>
        <v>0</v>
      </c>
      <c r="K394" s="248">
        <f t="shared" ca="1" si="46"/>
        <v>0</v>
      </c>
      <c r="L394" s="212" t="s">
        <v>679</v>
      </c>
      <c r="M394" s="212" t="s">
        <v>448</v>
      </c>
      <c r="N394" s="212" t="s">
        <v>470</v>
      </c>
      <c r="O394" s="213">
        <v>41419</v>
      </c>
      <c r="P394" s="212" t="s">
        <v>683</v>
      </c>
      <c r="Q394" s="214">
        <v>100</v>
      </c>
      <c r="R394" s="212" t="s">
        <v>445</v>
      </c>
      <c r="S394" s="212" t="s">
        <v>532</v>
      </c>
      <c r="T394" s="212" t="s">
        <v>445</v>
      </c>
      <c r="U394" s="212" t="s">
        <v>446</v>
      </c>
      <c r="V394" s="214" t="b">
        <v>1</v>
      </c>
      <c r="W394" s="214">
        <v>1989</v>
      </c>
      <c r="X394" s="214">
        <v>5</v>
      </c>
      <c r="Y394" s="214">
        <v>2</v>
      </c>
      <c r="Z394" s="214">
        <v>4</v>
      </c>
      <c r="AA394" s="212" t="s">
        <v>447</v>
      </c>
      <c r="AB394" s="212" t="s">
        <v>531</v>
      </c>
      <c r="AC394" s="212" t="s">
        <v>533</v>
      </c>
      <c r="AD394" s="214">
        <v>90.285300000000007</v>
      </c>
      <c r="AE394" s="214">
        <v>1999</v>
      </c>
      <c r="AF394" s="214">
        <v>1.7100000000000001E-2</v>
      </c>
      <c r="AG394" s="214">
        <v>-99</v>
      </c>
      <c r="AH394" s="212" t="s">
        <v>224</v>
      </c>
      <c r="AI394" s="212" t="s">
        <v>449</v>
      </c>
      <c r="AJ394" s="212" t="s">
        <v>224</v>
      </c>
      <c r="AK394" s="212" t="s">
        <v>531</v>
      </c>
      <c r="AL394" s="212" t="s">
        <v>540</v>
      </c>
      <c r="AM394" s="214" t="b">
        <v>0</v>
      </c>
      <c r="AN394" s="214" t="b">
        <v>0</v>
      </c>
      <c r="AO394" s="212" t="s">
        <v>541</v>
      </c>
      <c r="AP394" s="212" t="s">
        <v>542</v>
      </c>
      <c r="AQ394" s="214">
        <v>86.175359999999998</v>
      </c>
      <c r="AR394" s="214" t="b">
        <v>0</v>
      </c>
      <c r="AS394" s="212" t="s">
        <v>534</v>
      </c>
      <c r="AU394" s="222" t="s">
        <v>819</v>
      </c>
    </row>
    <row r="395" spans="1:47" s="218" customFormat="1" x14ac:dyDescent="0.25">
      <c r="A395" s="245">
        <f t="shared" si="47"/>
        <v>395</v>
      </c>
      <c r="B395" s="246" t="str">
        <f t="shared" si="40"/>
        <v>Oil Field - Tank</v>
      </c>
      <c r="C395" s="246" t="str">
        <f ca="1">IF(B395="","",VLOOKUP(D395,'Species Data'!B:E,4,FALSE))</f>
        <v>c7_comp</v>
      </c>
      <c r="D395" s="246">
        <f t="shared" ca="1" si="41"/>
        <v>2005</v>
      </c>
      <c r="E395" s="246">
        <f t="shared" ca="1" si="42"/>
        <v>1.06E-2</v>
      </c>
      <c r="F395" s="246" t="str">
        <f t="shared" ca="1" si="43"/>
        <v>C-7 Compounds</v>
      </c>
      <c r="G395" s="246">
        <f t="shared" ca="1" si="44"/>
        <v>100.20194000000001</v>
      </c>
      <c r="H395" s="204" t="str">
        <f ca="1">IF(G395="","",IF(VLOOKUP(Tank!F395,'Species Data'!D:F,3,FALSE)=0,"X",IF(G395&lt;44.1,2,1)))</f>
        <v>X</v>
      </c>
      <c r="I395" s="204">
        <f t="shared" ca="1" si="45"/>
        <v>2.5253842436887401</v>
      </c>
      <c r="J395" s="247">
        <f ca="1">IF(I395="","",IF(COUNTIF($D$12:D395,D395)=1,IF(H395=1,I395*H395,IF(H395="X","X",0)),0))</f>
        <v>0</v>
      </c>
      <c r="K395" s="248">
        <f t="shared" ca="1" si="46"/>
        <v>0</v>
      </c>
      <c r="L395" s="212" t="s">
        <v>679</v>
      </c>
      <c r="M395" s="212" t="s">
        <v>448</v>
      </c>
      <c r="N395" s="212" t="s">
        <v>470</v>
      </c>
      <c r="O395" s="213">
        <v>41419</v>
      </c>
      <c r="P395" s="212" t="s">
        <v>683</v>
      </c>
      <c r="Q395" s="214">
        <v>100</v>
      </c>
      <c r="R395" s="212" t="s">
        <v>445</v>
      </c>
      <c r="S395" s="212" t="s">
        <v>532</v>
      </c>
      <c r="T395" s="212" t="s">
        <v>445</v>
      </c>
      <c r="U395" s="212" t="s">
        <v>446</v>
      </c>
      <c r="V395" s="214" t="b">
        <v>1</v>
      </c>
      <c r="W395" s="214">
        <v>1989</v>
      </c>
      <c r="X395" s="214">
        <v>5</v>
      </c>
      <c r="Y395" s="214">
        <v>2</v>
      </c>
      <c r="Z395" s="214">
        <v>4</v>
      </c>
      <c r="AA395" s="212" t="s">
        <v>447</v>
      </c>
      <c r="AB395" s="212" t="s">
        <v>531</v>
      </c>
      <c r="AC395" s="212" t="s">
        <v>533</v>
      </c>
      <c r="AD395" s="214">
        <v>90.285300000000007</v>
      </c>
      <c r="AE395" s="214">
        <v>2005</v>
      </c>
      <c r="AF395" s="214">
        <v>1.06E-2</v>
      </c>
      <c r="AG395" s="214">
        <v>-99</v>
      </c>
      <c r="AH395" s="212" t="s">
        <v>224</v>
      </c>
      <c r="AI395" s="212" t="s">
        <v>449</v>
      </c>
      <c r="AJ395" s="212" t="s">
        <v>224</v>
      </c>
      <c r="AK395" s="212" t="s">
        <v>531</v>
      </c>
      <c r="AL395" s="212" t="s">
        <v>543</v>
      </c>
      <c r="AM395" s="214" t="b">
        <v>0</v>
      </c>
      <c r="AN395" s="214" t="b">
        <v>0</v>
      </c>
      <c r="AO395" s="212" t="s">
        <v>544</v>
      </c>
      <c r="AP395" s="212" t="s">
        <v>545</v>
      </c>
      <c r="AQ395" s="214">
        <v>100.20194000000001</v>
      </c>
      <c r="AR395" s="214" t="b">
        <v>0</v>
      </c>
      <c r="AS395" s="212" t="s">
        <v>534</v>
      </c>
      <c r="AU395" s="222" t="s">
        <v>819</v>
      </c>
    </row>
    <row r="396" spans="1:47" s="218" customFormat="1" x14ac:dyDescent="0.25">
      <c r="A396" s="245">
        <f t="shared" si="47"/>
        <v>396</v>
      </c>
      <c r="B396" s="246" t="str">
        <f t="shared" ref="B396:B459" si="48">IF(ROW(A396)-(ROW($A$12))&lt;$B$10,$B$9,"")</f>
        <v>Oil Field - Tank</v>
      </c>
      <c r="C396" s="246" t="str">
        <f ca="1">IF(B396="","",VLOOKUP(D396,'Species Data'!B:E,4,FALSE))</f>
        <v>c8_comp</v>
      </c>
      <c r="D396" s="246">
        <f t="shared" ca="1" si="41"/>
        <v>2011</v>
      </c>
      <c r="E396" s="246">
        <f t="shared" ca="1" si="42"/>
        <v>6.5500000000000003E-2</v>
      </c>
      <c r="F396" s="246" t="str">
        <f t="shared" ca="1" si="43"/>
        <v>C-8 Compounds</v>
      </c>
      <c r="G396" s="246">
        <f t="shared" ca="1" si="44"/>
        <v>113.21160686946486</v>
      </c>
      <c r="H396" s="204" t="str">
        <f ca="1">IF(G396="","",IF(VLOOKUP(Tank!F396,'Species Data'!D:F,3,FALSE)=0,"X",IF(G396&lt;44.1,2,1)))</f>
        <v>X</v>
      </c>
      <c r="I396" s="204">
        <f t="shared" ca="1" si="45"/>
        <v>1.3164259710226556</v>
      </c>
      <c r="J396" s="247">
        <f ca="1">IF(I396="","",IF(COUNTIF($D$12:D396,D396)=1,IF(H396=1,I396*H396,IF(H396="X","X",0)),0))</f>
        <v>0</v>
      </c>
      <c r="K396" s="248">
        <f t="shared" ca="1" si="46"/>
        <v>0</v>
      </c>
      <c r="L396" s="212" t="s">
        <v>679</v>
      </c>
      <c r="M396" s="212" t="s">
        <v>448</v>
      </c>
      <c r="N396" s="212" t="s">
        <v>470</v>
      </c>
      <c r="O396" s="213">
        <v>41419</v>
      </c>
      <c r="P396" s="212" t="s">
        <v>683</v>
      </c>
      <c r="Q396" s="214">
        <v>100</v>
      </c>
      <c r="R396" s="212" t="s">
        <v>445</v>
      </c>
      <c r="S396" s="212" t="s">
        <v>532</v>
      </c>
      <c r="T396" s="212" t="s">
        <v>445</v>
      </c>
      <c r="U396" s="212" t="s">
        <v>446</v>
      </c>
      <c r="V396" s="214" t="b">
        <v>1</v>
      </c>
      <c r="W396" s="214">
        <v>1989</v>
      </c>
      <c r="X396" s="214">
        <v>5</v>
      </c>
      <c r="Y396" s="214">
        <v>2</v>
      </c>
      <c r="Z396" s="214">
        <v>4</v>
      </c>
      <c r="AA396" s="212" t="s">
        <v>447</v>
      </c>
      <c r="AB396" s="212" t="s">
        <v>531</v>
      </c>
      <c r="AC396" s="212" t="s">
        <v>533</v>
      </c>
      <c r="AD396" s="214">
        <v>90.285300000000007</v>
      </c>
      <c r="AE396" s="214">
        <v>2011</v>
      </c>
      <c r="AF396" s="214">
        <v>6.5500000000000003E-2</v>
      </c>
      <c r="AG396" s="214">
        <v>-99</v>
      </c>
      <c r="AH396" s="212" t="s">
        <v>224</v>
      </c>
      <c r="AI396" s="212" t="s">
        <v>449</v>
      </c>
      <c r="AJ396" s="212" t="s">
        <v>224</v>
      </c>
      <c r="AK396" s="212" t="s">
        <v>531</v>
      </c>
      <c r="AL396" s="212" t="s">
        <v>546</v>
      </c>
      <c r="AM396" s="214" t="b">
        <v>0</v>
      </c>
      <c r="AN396" s="214" t="b">
        <v>0</v>
      </c>
      <c r="AO396" s="212" t="s">
        <v>547</v>
      </c>
      <c r="AP396" s="212" t="s">
        <v>548</v>
      </c>
      <c r="AQ396" s="214">
        <v>113.21160686946486</v>
      </c>
      <c r="AR396" s="214" t="b">
        <v>0</v>
      </c>
      <c r="AS396" s="212" t="s">
        <v>534</v>
      </c>
      <c r="AU396" s="222" t="s">
        <v>819</v>
      </c>
    </row>
    <row r="397" spans="1:47" s="218" customFormat="1" x14ac:dyDescent="0.25">
      <c r="A397" s="245">
        <f t="shared" si="47"/>
        <v>397</v>
      </c>
      <c r="B397" s="246" t="str">
        <f t="shared" si="48"/>
        <v>Oil Field - Tank</v>
      </c>
      <c r="C397" s="246" t="str">
        <f ca="1">IF(B397="","",VLOOKUP(D397,'Species Data'!B:E,4,FALSE))</f>
        <v>c9_comp</v>
      </c>
      <c r="D397" s="246">
        <f t="shared" ref="D397:D449" ca="1" si="49">IF(B397="","",INDIRECT("AE"&amp;$A397))</f>
        <v>2018</v>
      </c>
      <c r="E397" s="246">
        <f t="shared" ref="E397:E449" ca="1" si="50">IF(D397="","",INDIRECT("AF"&amp;$A397))</f>
        <v>0.21099999999999999</v>
      </c>
      <c r="F397" s="246" t="str">
        <f t="shared" ref="F397:F449" ca="1" si="51">IF(E397="","",INDIRECT("AO"&amp;$A397))</f>
        <v>C-9 Compounds</v>
      </c>
      <c r="G397" s="246">
        <f t="shared" ref="G397:G449" ca="1" si="52">IF(F397="","",INDIRECT("AQ"&amp;$A397))</f>
        <v>127.23917598649743</v>
      </c>
      <c r="H397" s="204" t="str">
        <f ca="1">IF(G397="","",IF(VLOOKUP(Tank!F397,'Species Data'!D:F,3,FALSE)=0,"X",IF(G397&lt;44.1,2,1)))</f>
        <v>X</v>
      </c>
      <c r="I397" s="204">
        <f t="shared" ref="I397:I449" ca="1" si="53">IF(H397="","",SUMIF(D:D,D397,E:E)/($E$9/100))</f>
        <v>0.54975194428533192</v>
      </c>
      <c r="J397" s="247">
        <f ca="1">IF(I397="","",IF(COUNTIF($D$12:D397,D397)=1,IF(H397=1,I397*H397,IF(H397="X","X",0)),0))</f>
        <v>0</v>
      </c>
      <c r="K397" s="248">
        <f t="shared" ref="K397:K460" ca="1" si="54">IF(J397="","",IF(J397="X",0,J397/$J$9*100))</f>
        <v>0</v>
      </c>
      <c r="L397" s="212" t="s">
        <v>679</v>
      </c>
      <c r="M397" s="212" t="s">
        <v>448</v>
      </c>
      <c r="N397" s="212" t="s">
        <v>470</v>
      </c>
      <c r="O397" s="213">
        <v>41419</v>
      </c>
      <c r="P397" s="212" t="s">
        <v>683</v>
      </c>
      <c r="Q397" s="214">
        <v>100</v>
      </c>
      <c r="R397" s="212" t="s">
        <v>445</v>
      </c>
      <c r="S397" s="212" t="s">
        <v>532</v>
      </c>
      <c r="T397" s="212" t="s">
        <v>445</v>
      </c>
      <c r="U397" s="212" t="s">
        <v>446</v>
      </c>
      <c r="V397" s="214" t="b">
        <v>1</v>
      </c>
      <c r="W397" s="214">
        <v>1989</v>
      </c>
      <c r="X397" s="214">
        <v>5</v>
      </c>
      <c r="Y397" s="214">
        <v>2</v>
      </c>
      <c r="Z397" s="214">
        <v>4</v>
      </c>
      <c r="AA397" s="212" t="s">
        <v>447</v>
      </c>
      <c r="AB397" s="212" t="s">
        <v>531</v>
      </c>
      <c r="AC397" s="212" t="s">
        <v>533</v>
      </c>
      <c r="AD397" s="214">
        <v>90.285300000000007</v>
      </c>
      <c r="AE397" s="214">
        <v>2018</v>
      </c>
      <c r="AF397" s="214">
        <v>0.21099999999999999</v>
      </c>
      <c r="AG397" s="214">
        <v>-99</v>
      </c>
      <c r="AH397" s="212" t="s">
        <v>224</v>
      </c>
      <c r="AI397" s="212" t="s">
        <v>449</v>
      </c>
      <c r="AJ397" s="212" t="s">
        <v>224</v>
      </c>
      <c r="AK397" s="212" t="s">
        <v>531</v>
      </c>
      <c r="AL397" s="212" t="s">
        <v>464</v>
      </c>
      <c r="AM397" s="214" t="b">
        <v>0</v>
      </c>
      <c r="AN397" s="214" t="b">
        <v>0</v>
      </c>
      <c r="AO397" s="212" t="s">
        <v>549</v>
      </c>
      <c r="AP397" s="212" t="s">
        <v>550</v>
      </c>
      <c r="AQ397" s="214">
        <v>127.23917598649743</v>
      </c>
      <c r="AR397" s="214" t="b">
        <v>0</v>
      </c>
      <c r="AS397" s="212" t="s">
        <v>534</v>
      </c>
      <c r="AU397" s="222" t="s">
        <v>819</v>
      </c>
    </row>
    <row r="398" spans="1:47" s="218" customFormat="1" x14ac:dyDescent="0.25">
      <c r="A398" s="245">
        <f t="shared" ref="A398:A449" si="55">IF(B398="","",A397+1)</f>
        <v>398</v>
      </c>
      <c r="B398" s="246" t="str">
        <f t="shared" si="48"/>
        <v>Oil Field - Tank</v>
      </c>
      <c r="C398" s="246" t="str">
        <f ca="1">IF(B398="","",VLOOKUP(D398,'Species Data'!B:E,4,FALSE))</f>
        <v>trimethben123</v>
      </c>
      <c r="D398" s="246">
        <f t="shared" ca="1" si="49"/>
        <v>25</v>
      </c>
      <c r="E398" s="246">
        <f t="shared" ca="1" si="50"/>
        <v>6.7999999999999996E-3</v>
      </c>
      <c r="F398" s="246" t="str">
        <f t="shared" ca="1" si="51"/>
        <v>1,2,3-trimethylbenzene</v>
      </c>
      <c r="G398" s="246">
        <f t="shared" ca="1" si="52"/>
        <v>120.19158</v>
      </c>
      <c r="H398" s="204">
        <f ca="1">IF(G398="","",IF(VLOOKUP(Tank!F398,'Species Data'!D:F,3,FALSE)=0,"X",IF(G398&lt;44.1,2,1)))</f>
        <v>1</v>
      </c>
      <c r="I398" s="204">
        <f t="shared" ca="1" si="53"/>
        <v>1.0560101376973221E-2</v>
      </c>
      <c r="J398" s="247">
        <f ca="1">IF(I398="","",IF(COUNTIF($D$12:D398,D398)=1,IF(H398=1,I398*H398,IF(H398="X","X",0)),0))</f>
        <v>0</v>
      </c>
      <c r="K398" s="248">
        <f t="shared" ca="1" si="54"/>
        <v>0</v>
      </c>
      <c r="L398" s="212" t="s">
        <v>679</v>
      </c>
      <c r="M398" s="212" t="s">
        <v>448</v>
      </c>
      <c r="N398" s="212" t="s">
        <v>470</v>
      </c>
      <c r="O398" s="213">
        <v>41419</v>
      </c>
      <c r="P398" s="212" t="s">
        <v>684</v>
      </c>
      <c r="Q398" s="214">
        <v>100</v>
      </c>
      <c r="R398" s="212" t="s">
        <v>445</v>
      </c>
      <c r="S398" s="212" t="s">
        <v>532</v>
      </c>
      <c r="T398" s="212" t="s">
        <v>445</v>
      </c>
      <c r="U398" s="212" t="s">
        <v>446</v>
      </c>
      <c r="V398" s="214" t="b">
        <v>1</v>
      </c>
      <c r="W398" s="214">
        <v>1989</v>
      </c>
      <c r="X398" s="214">
        <v>5</v>
      </c>
      <c r="Y398" s="214">
        <v>2</v>
      </c>
      <c r="Z398" s="214">
        <v>4</v>
      </c>
      <c r="AA398" s="212" t="s">
        <v>447</v>
      </c>
      <c r="AB398" s="212" t="s">
        <v>531</v>
      </c>
      <c r="AC398" s="212" t="s">
        <v>533</v>
      </c>
      <c r="AD398" s="214">
        <v>1.4879579999999999</v>
      </c>
      <c r="AE398" s="214">
        <v>25</v>
      </c>
      <c r="AF398" s="214">
        <v>6.7999999999999996E-3</v>
      </c>
      <c r="AG398" s="214">
        <v>-99</v>
      </c>
      <c r="AH398" s="212" t="s">
        <v>224</v>
      </c>
      <c r="AI398" s="212" t="s">
        <v>449</v>
      </c>
      <c r="AJ398" s="212" t="s">
        <v>627</v>
      </c>
      <c r="AK398" s="212" t="s">
        <v>531</v>
      </c>
      <c r="AL398" s="212" t="s">
        <v>628</v>
      </c>
      <c r="AM398" s="214" t="b">
        <v>1</v>
      </c>
      <c r="AN398" s="214" t="b">
        <v>0</v>
      </c>
      <c r="AO398" s="212" t="s">
        <v>629</v>
      </c>
      <c r="AP398" s="212" t="s">
        <v>630</v>
      </c>
      <c r="AQ398" s="214">
        <v>120.19158</v>
      </c>
      <c r="AR398" s="214" t="b">
        <v>0</v>
      </c>
      <c r="AS398" s="212" t="s">
        <v>534</v>
      </c>
      <c r="AU398" s="222" t="s">
        <v>819</v>
      </c>
    </row>
    <row r="399" spans="1:47" s="218" customFormat="1" x14ac:dyDescent="0.25">
      <c r="A399" s="245">
        <f t="shared" si="55"/>
        <v>399</v>
      </c>
      <c r="B399" s="246" t="str">
        <f t="shared" si="48"/>
        <v>Oil Field - Tank</v>
      </c>
      <c r="C399" s="246" t="str">
        <f ca="1">IF(B399="","",VLOOKUP(D399,'Species Data'!B:E,4,FALSE))</f>
        <v>trimetben124</v>
      </c>
      <c r="D399" s="246">
        <f t="shared" ca="1" si="49"/>
        <v>30</v>
      </c>
      <c r="E399" s="246">
        <f t="shared" ca="1" si="50"/>
        <v>3.5099999999999999E-2</v>
      </c>
      <c r="F399" s="246" t="str">
        <f t="shared" ca="1" si="51"/>
        <v>1,2,4-trimethylbenzene  (1,3,4-trimethylbenzene)</v>
      </c>
      <c r="G399" s="246">
        <f t="shared" ca="1" si="52"/>
        <v>120.19158</v>
      </c>
      <c r="H399" s="204">
        <f ca="1">IF(G399="","",IF(VLOOKUP(Tank!F399,'Species Data'!D:F,3,FALSE)=0,"X",IF(G399&lt;44.1,2,1)))</f>
        <v>1</v>
      </c>
      <c r="I399" s="204">
        <f t="shared" ca="1" si="53"/>
        <v>1.1400109441050636E-2</v>
      </c>
      <c r="J399" s="247">
        <f ca="1">IF(I399="","",IF(COUNTIF($D$12:D399,D399)=1,IF(H399=1,I399*H399,IF(H399="X","X",0)),0))</f>
        <v>0</v>
      </c>
      <c r="K399" s="248">
        <f t="shared" ca="1" si="54"/>
        <v>0</v>
      </c>
      <c r="L399" s="212" t="s">
        <v>679</v>
      </c>
      <c r="M399" s="212" t="s">
        <v>448</v>
      </c>
      <c r="N399" s="212" t="s">
        <v>470</v>
      </c>
      <c r="O399" s="213">
        <v>41419</v>
      </c>
      <c r="P399" s="212" t="s">
        <v>684</v>
      </c>
      <c r="Q399" s="214">
        <v>100</v>
      </c>
      <c r="R399" s="212" t="s">
        <v>445</v>
      </c>
      <c r="S399" s="212" t="s">
        <v>532</v>
      </c>
      <c r="T399" s="212" t="s">
        <v>445</v>
      </c>
      <c r="U399" s="212" t="s">
        <v>446</v>
      </c>
      <c r="V399" s="214" t="b">
        <v>1</v>
      </c>
      <c r="W399" s="214">
        <v>1989</v>
      </c>
      <c r="X399" s="214">
        <v>5</v>
      </c>
      <c r="Y399" s="214">
        <v>2</v>
      </c>
      <c r="Z399" s="214">
        <v>4</v>
      </c>
      <c r="AA399" s="212" t="s">
        <v>447</v>
      </c>
      <c r="AB399" s="212" t="s">
        <v>531</v>
      </c>
      <c r="AC399" s="212" t="s">
        <v>533</v>
      </c>
      <c r="AD399" s="214">
        <v>1.4879579999999999</v>
      </c>
      <c r="AE399" s="214">
        <v>30</v>
      </c>
      <c r="AF399" s="214">
        <v>3.5099999999999999E-2</v>
      </c>
      <c r="AG399" s="214">
        <v>-99</v>
      </c>
      <c r="AH399" s="212" t="s">
        <v>224</v>
      </c>
      <c r="AI399" s="212" t="s">
        <v>449</v>
      </c>
      <c r="AJ399" s="212" t="s">
        <v>359</v>
      </c>
      <c r="AK399" s="212" t="s">
        <v>531</v>
      </c>
      <c r="AL399" s="212" t="s">
        <v>531</v>
      </c>
      <c r="AM399" s="214" t="b">
        <v>1</v>
      </c>
      <c r="AN399" s="214" t="b">
        <v>0</v>
      </c>
      <c r="AO399" s="212" t="s">
        <v>360</v>
      </c>
      <c r="AP399" s="212" t="s">
        <v>361</v>
      </c>
      <c r="AQ399" s="214">
        <v>120.19158</v>
      </c>
      <c r="AR399" s="214" t="b">
        <v>0</v>
      </c>
      <c r="AS399" s="212" t="s">
        <v>534</v>
      </c>
      <c r="AU399" s="222" t="s">
        <v>819</v>
      </c>
    </row>
    <row r="400" spans="1:47" s="218" customFormat="1" x14ac:dyDescent="0.25">
      <c r="A400" s="245">
        <f t="shared" si="55"/>
        <v>400</v>
      </c>
      <c r="B400" s="246" t="str">
        <f t="shared" si="48"/>
        <v>Oil Field - Tank</v>
      </c>
      <c r="C400" s="246" t="str">
        <f ca="1">IF(B400="","",VLOOKUP(D400,'Species Data'!B:E,4,FALSE))</f>
        <v>trimethben135</v>
      </c>
      <c r="D400" s="246">
        <f t="shared" ca="1" si="49"/>
        <v>44</v>
      </c>
      <c r="E400" s="246">
        <f t="shared" ca="1" si="50"/>
        <v>1.9900000000000001E-2</v>
      </c>
      <c r="F400" s="246" t="str">
        <f t="shared" ca="1" si="51"/>
        <v>1,3,5-trimethylbenzene</v>
      </c>
      <c r="G400" s="246">
        <f t="shared" ca="1" si="52"/>
        <v>120.19158</v>
      </c>
      <c r="H400" s="204">
        <f ca="1">IF(G400="","",IF(VLOOKUP(Tank!F400,'Species Data'!D:F,3,FALSE)=0,"X",IF(G400&lt;44.1,2,1)))</f>
        <v>1</v>
      </c>
      <c r="I400" s="204">
        <f t="shared" ca="1" si="53"/>
        <v>1.3046791915869061E-2</v>
      </c>
      <c r="J400" s="247">
        <f ca="1">IF(I400="","",IF(COUNTIF($D$12:D400,D400)=1,IF(H400=1,I400*H400,IF(H400="X","X",0)),0))</f>
        <v>0</v>
      </c>
      <c r="K400" s="248">
        <f t="shared" ca="1" si="54"/>
        <v>0</v>
      </c>
      <c r="L400" s="212" t="s">
        <v>679</v>
      </c>
      <c r="M400" s="212" t="s">
        <v>448</v>
      </c>
      <c r="N400" s="212" t="s">
        <v>470</v>
      </c>
      <c r="O400" s="213">
        <v>41419</v>
      </c>
      <c r="P400" s="212" t="s">
        <v>684</v>
      </c>
      <c r="Q400" s="214">
        <v>100</v>
      </c>
      <c r="R400" s="212" t="s">
        <v>445</v>
      </c>
      <c r="S400" s="212" t="s">
        <v>532</v>
      </c>
      <c r="T400" s="212" t="s">
        <v>445</v>
      </c>
      <c r="U400" s="212" t="s">
        <v>446</v>
      </c>
      <c r="V400" s="214" t="b">
        <v>1</v>
      </c>
      <c r="W400" s="214">
        <v>1989</v>
      </c>
      <c r="X400" s="214">
        <v>5</v>
      </c>
      <c r="Y400" s="214">
        <v>2</v>
      </c>
      <c r="Z400" s="214">
        <v>4</v>
      </c>
      <c r="AA400" s="212" t="s">
        <v>447</v>
      </c>
      <c r="AB400" s="212" t="s">
        <v>531</v>
      </c>
      <c r="AC400" s="212" t="s">
        <v>533</v>
      </c>
      <c r="AD400" s="214">
        <v>1.4879579999999999</v>
      </c>
      <c r="AE400" s="214">
        <v>44</v>
      </c>
      <c r="AF400" s="214">
        <v>1.9900000000000001E-2</v>
      </c>
      <c r="AG400" s="214">
        <v>-99</v>
      </c>
      <c r="AH400" s="212" t="s">
        <v>224</v>
      </c>
      <c r="AI400" s="212" t="s">
        <v>449</v>
      </c>
      <c r="AJ400" s="212" t="s">
        <v>400</v>
      </c>
      <c r="AK400" s="212" t="s">
        <v>531</v>
      </c>
      <c r="AL400" s="212" t="s">
        <v>401</v>
      </c>
      <c r="AM400" s="214" t="b">
        <v>1</v>
      </c>
      <c r="AN400" s="214" t="b">
        <v>0</v>
      </c>
      <c r="AO400" s="212" t="s">
        <v>402</v>
      </c>
      <c r="AP400" s="212" t="s">
        <v>403</v>
      </c>
      <c r="AQ400" s="214">
        <v>120.19158</v>
      </c>
      <c r="AR400" s="214" t="b">
        <v>0</v>
      </c>
      <c r="AS400" s="212" t="s">
        <v>534</v>
      </c>
      <c r="AU400" s="222" t="s">
        <v>819</v>
      </c>
    </row>
    <row r="401" spans="1:47" s="218" customFormat="1" x14ac:dyDescent="0.25">
      <c r="A401" s="245">
        <f t="shared" si="55"/>
        <v>401</v>
      </c>
      <c r="B401" s="246" t="str">
        <f t="shared" si="48"/>
        <v>Oil Field - Tank</v>
      </c>
      <c r="C401" s="246" t="str">
        <f ca="1">IF(B401="","",VLOOKUP(D401,'Species Data'!B:E,4,FALSE))</f>
        <v>ethben12</v>
      </c>
      <c r="D401" s="246">
        <f t="shared" ca="1" si="49"/>
        <v>80</v>
      </c>
      <c r="E401" s="246">
        <f t="shared" ca="1" si="50"/>
        <v>9.2999999999999992E-3</v>
      </c>
      <c r="F401" s="246" t="str">
        <f t="shared" ca="1" si="51"/>
        <v>1-Methyl-2-ethylbenzene</v>
      </c>
      <c r="G401" s="246">
        <f t="shared" ca="1" si="52"/>
        <v>120.19158</v>
      </c>
      <c r="H401" s="204">
        <f ca="1">IF(G401="","",IF(VLOOKUP(Tank!F401,'Species Data'!D:F,3,FALSE)=0,"X",IF(G401&lt;44.1,2,1)))</f>
        <v>1</v>
      </c>
      <c r="I401" s="204">
        <f t="shared" ca="1" si="53"/>
        <v>1.2980124609196252E-2</v>
      </c>
      <c r="J401" s="247">
        <f ca="1">IF(I401="","",IF(COUNTIF($D$12:D401,D401)=1,IF(H401=1,I401*H401,IF(H401="X","X",0)),0))</f>
        <v>0</v>
      </c>
      <c r="K401" s="248">
        <f t="shared" ca="1" si="54"/>
        <v>0</v>
      </c>
      <c r="L401" s="212" t="s">
        <v>679</v>
      </c>
      <c r="M401" s="212" t="s">
        <v>448</v>
      </c>
      <c r="N401" s="212" t="s">
        <v>470</v>
      </c>
      <c r="O401" s="213">
        <v>41419</v>
      </c>
      <c r="P401" s="212" t="s">
        <v>684</v>
      </c>
      <c r="Q401" s="214">
        <v>100</v>
      </c>
      <c r="R401" s="212" t="s">
        <v>445</v>
      </c>
      <c r="S401" s="212" t="s">
        <v>532</v>
      </c>
      <c r="T401" s="212" t="s">
        <v>445</v>
      </c>
      <c r="U401" s="212" t="s">
        <v>446</v>
      </c>
      <c r="V401" s="214" t="b">
        <v>1</v>
      </c>
      <c r="W401" s="214">
        <v>1989</v>
      </c>
      <c r="X401" s="214">
        <v>5</v>
      </c>
      <c r="Y401" s="214">
        <v>2</v>
      </c>
      <c r="Z401" s="214">
        <v>4</v>
      </c>
      <c r="AA401" s="212" t="s">
        <v>447</v>
      </c>
      <c r="AB401" s="212" t="s">
        <v>531</v>
      </c>
      <c r="AC401" s="212" t="s">
        <v>533</v>
      </c>
      <c r="AD401" s="214">
        <v>1.4879579999999999</v>
      </c>
      <c r="AE401" s="214">
        <v>80</v>
      </c>
      <c r="AF401" s="214">
        <v>9.2999999999999992E-3</v>
      </c>
      <c r="AG401" s="214">
        <v>-99</v>
      </c>
      <c r="AH401" s="212" t="s">
        <v>224</v>
      </c>
      <c r="AI401" s="212" t="s">
        <v>449</v>
      </c>
      <c r="AJ401" s="212" t="s">
        <v>408</v>
      </c>
      <c r="AK401" s="212" t="s">
        <v>531</v>
      </c>
      <c r="AL401" s="212" t="s">
        <v>450</v>
      </c>
      <c r="AM401" s="214" t="b">
        <v>1</v>
      </c>
      <c r="AN401" s="214" t="b">
        <v>0</v>
      </c>
      <c r="AO401" s="212" t="s">
        <v>409</v>
      </c>
      <c r="AP401" s="212" t="s">
        <v>410</v>
      </c>
      <c r="AQ401" s="214">
        <v>120.19158</v>
      </c>
      <c r="AR401" s="214" t="b">
        <v>0</v>
      </c>
      <c r="AS401" s="212" t="s">
        <v>534</v>
      </c>
      <c r="AU401" s="222" t="s">
        <v>819</v>
      </c>
    </row>
    <row r="402" spans="1:47" s="218" customFormat="1" x14ac:dyDescent="0.25">
      <c r="A402" s="245">
        <f t="shared" si="55"/>
        <v>402</v>
      </c>
      <c r="B402" s="246" t="str">
        <f t="shared" si="48"/>
        <v>Oil Field - Tank</v>
      </c>
      <c r="C402" s="246" t="str">
        <f ca="1">IF(B402="","",VLOOKUP(D402,'Species Data'!B:E,4,FALSE))</f>
        <v>dimethpro</v>
      </c>
      <c r="D402" s="246">
        <f t="shared" ca="1" si="49"/>
        <v>127</v>
      </c>
      <c r="E402" s="246">
        <f t="shared" ca="1" si="50"/>
        <v>1.46E-2</v>
      </c>
      <c r="F402" s="246" t="str">
        <f t="shared" ca="1" si="51"/>
        <v>2,2-dimethylpropane</v>
      </c>
      <c r="G402" s="246">
        <f t="shared" ca="1" si="52"/>
        <v>72.148780000000002</v>
      </c>
      <c r="H402" s="204">
        <f ca="1">IF(G402="","",IF(VLOOKUP(Tank!F402,'Species Data'!D:F,3,FALSE)=0,"X",IF(G402&lt;44.1,2,1)))</f>
        <v>1</v>
      </c>
      <c r="I402" s="204">
        <f t="shared" ca="1" si="53"/>
        <v>9.7614270430329483E-2</v>
      </c>
      <c r="J402" s="247">
        <f ca="1">IF(I402="","",IF(COUNTIF($D$12:D402,D402)=1,IF(H402=1,I402*H402,IF(H402="X","X",0)),0))</f>
        <v>0</v>
      </c>
      <c r="K402" s="248">
        <f t="shared" ca="1" si="54"/>
        <v>0</v>
      </c>
      <c r="L402" s="212" t="s">
        <v>679</v>
      </c>
      <c r="M402" s="212" t="s">
        <v>448</v>
      </c>
      <c r="N402" s="212" t="s">
        <v>470</v>
      </c>
      <c r="O402" s="213">
        <v>41419</v>
      </c>
      <c r="P402" s="212" t="s">
        <v>684</v>
      </c>
      <c r="Q402" s="214">
        <v>100</v>
      </c>
      <c r="R402" s="212" t="s">
        <v>445</v>
      </c>
      <c r="S402" s="212" t="s">
        <v>532</v>
      </c>
      <c r="T402" s="212" t="s">
        <v>445</v>
      </c>
      <c r="U402" s="212" t="s">
        <v>446</v>
      </c>
      <c r="V402" s="214" t="b">
        <v>1</v>
      </c>
      <c r="W402" s="214">
        <v>1989</v>
      </c>
      <c r="X402" s="214">
        <v>5</v>
      </c>
      <c r="Y402" s="214">
        <v>2</v>
      </c>
      <c r="Z402" s="214">
        <v>4</v>
      </c>
      <c r="AA402" s="212" t="s">
        <v>447</v>
      </c>
      <c r="AB402" s="212" t="s">
        <v>531</v>
      </c>
      <c r="AC402" s="212" t="s">
        <v>533</v>
      </c>
      <c r="AD402" s="214">
        <v>1.4879579999999999</v>
      </c>
      <c r="AE402" s="214">
        <v>127</v>
      </c>
      <c r="AF402" s="214">
        <v>1.46E-2</v>
      </c>
      <c r="AG402" s="214">
        <v>-99</v>
      </c>
      <c r="AH402" s="212" t="s">
        <v>224</v>
      </c>
      <c r="AI402" s="212" t="s">
        <v>449</v>
      </c>
      <c r="AJ402" s="212" t="s">
        <v>441</v>
      </c>
      <c r="AK402" s="212" t="s">
        <v>531</v>
      </c>
      <c r="AL402" s="212" t="s">
        <v>462</v>
      </c>
      <c r="AM402" s="214" t="b">
        <v>0</v>
      </c>
      <c r="AN402" s="214" t="b">
        <v>0</v>
      </c>
      <c r="AO402" s="212" t="s">
        <v>442</v>
      </c>
      <c r="AP402" s="212" t="s">
        <v>531</v>
      </c>
      <c r="AQ402" s="214">
        <v>72.148780000000002</v>
      </c>
      <c r="AR402" s="214" t="b">
        <v>0</v>
      </c>
      <c r="AS402" s="212" t="s">
        <v>534</v>
      </c>
      <c r="AU402" s="222" t="s">
        <v>819</v>
      </c>
    </row>
    <row r="403" spans="1:47" s="218" customFormat="1" x14ac:dyDescent="0.25">
      <c r="A403" s="245">
        <f t="shared" si="55"/>
        <v>403</v>
      </c>
      <c r="B403" s="246" t="str">
        <f t="shared" si="48"/>
        <v>Oil Field - Tank</v>
      </c>
      <c r="C403" s="246" t="str">
        <f ca="1">IF(B403="","",VLOOKUP(D403,'Species Data'!B:E,4,FALSE))</f>
        <v>trimentpen3</v>
      </c>
      <c r="D403" s="246">
        <f t="shared" ca="1" si="49"/>
        <v>130</v>
      </c>
      <c r="E403" s="246">
        <f t="shared" ca="1" si="50"/>
        <v>1.26E-2</v>
      </c>
      <c r="F403" s="246" t="str">
        <f t="shared" ca="1" si="51"/>
        <v>2,3,4-trimethylpentane</v>
      </c>
      <c r="G403" s="246">
        <f t="shared" ca="1" si="52"/>
        <v>114.22852</v>
      </c>
      <c r="H403" s="204">
        <f ca="1">IF(G403="","",IF(VLOOKUP(Tank!F403,'Species Data'!D:F,3,FALSE)=0,"X",IF(G403&lt;44.1,2,1)))</f>
        <v>1</v>
      </c>
      <c r="I403" s="204">
        <f t="shared" ca="1" si="53"/>
        <v>0.22004211240427912</v>
      </c>
      <c r="J403" s="247">
        <f ca="1">IF(I403="","",IF(COUNTIF($D$12:D403,D403)=1,IF(H403=1,I403*H403,IF(H403="X","X",0)),0))</f>
        <v>0</v>
      </c>
      <c r="K403" s="248">
        <f t="shared" ca="1" si="54"/>
        <v>0</v>
      </c>
      <c r="L403" s="212" t="s">
        <v>679</v>
      </c>
      <c r="M403" s="212" t="s">
        <v>448</v>
      </c>
      <c r="N403" s="212" t="s">
        <v>470</v>
      </c>
      <c r="O403" s="213">
        <v>41419</v>
      </c>
      <c r="P403" s="212" t="s">
        <v>684</v>
      </c>
      <c r="Q403" s="214">
        <v>100</v>
      </c>
      <c r="R403" s="212" t="s">
        <v>445</v>
      </c>
      <c r="S403" s="212" t="s">
        <v>532</v>
      </c>
      <c r="T403" s="212" t="s">
        <v>445</v>
      </c>
      <c r="U403" s="212" t="s">
        <v>446</v>
      </c>
      <c r="V403" s="214" t="b">
        <v>1</v>
      </c>
      <c r="W403" s="214">
        <v>1989</v>
      </c>
      <c r="X403" s="214">
        <v>5</v>
      </c>
      <c r="Y403" s="214">
        <v>2</v>
      </c>
      <c r="Z403" s="214">
        <v>4</v>
      </c>
      <c r="AA403" s="212" t="s">
        <v>447</v>
      </c>
      <c r="AB403" s="212" t="s">
        <v>531</v>
      </c>
      <c r="AC403" s="212" t="s">
        <v>533</v>
      </c>
      <c r="AD403" s="214">
        <v>1.4879579999999999</v>
      </c>
      <c r="AE403" s="214">
        <v>130</v>
      </c>
      <c r="AF403" s="214">
        <v>1.26E-2</v>
      </c>
      <c r="AG403" s="214">
        <v>-99</v>
      </c>
      <c r="AH403" s="212" t="s">
        <v>224</v>
      </c>
      <c r="AI403" s="212" t="s">
        <v>449</v>
      </c>
      <c r="AJ403" s="212" t="s">
        <v>404</v>
      </c>
      <c r="AK403" s="212" t="s">
        <v>531</v>
      </c>
      <c r="AL403" s="212" t="s">
        <v>405</v>
      </c>
      <c r="AM403" s="214" t="b">
        <v>1</v>
      </c>
      <c r="AN403" s="214" t="b">
        <v>0</v>
      </c>
      <c r="AO403" s="212" t="s">
        <v>406</v>
      </c>
      <c r="AP403" s="212" t="s">
        <v>407</v>
      </c>
      <c r="AQ403" s="214">
        <v>114.22852</v>
      </c>
      <c r="AR403" s="214" t="b">
        <v>0</v>
      </c>
      <c r="AS403" s="212" t="s">
        <v>534</v>
      </c>
      <c r="AU403" s="222" t="s">
        <v>819</v>
      </c>
    </row>
    <row r="404" spans="1:47" s="218" customFormat="1" x14ac:dyDescent="0.25">
      <c r="A404" s="245">
        <f t="shared" si="55"/>
        <v>404</v>
      </c>
      <c r="B404" s="246" t="str">
        <f t="shared" si="48"/>
        <v>Oil Field - Tank</v>
      </c>
      <c r="C404" s="246" t="str">
        <f ca="1">IF(B404="","",VLOOKUP(D404,'Species Data'!B:E,4,FALSE))</f>
        <v>dimetbut</v>
      </c>
      <c r="D404" s="246">
        <f t="shared" ca="1" si="49"/>
        <v>136</v>
      </c>
      <c r="E404" s="246">
        <f t="shared" ca="1" si="50"/>
        <v>1.5218</v>
      </c>
      <c r="F404" s="246" t="str">
        <f t="shared" ca="1" si="51"/>
        <v>2,3-dimethylbutane</v>
      </c>
      <c r="G404" s="246">
        <f t="shared" ca="1" si="52"/>
        <v>86.175359999999998</v>
      </c>
      <c r="H404" s="204">
        <f ca="1">IF(G404="","",IF(VLOOKUP(Tank!F404,'Species Data'!D:F,3,FALSE)=0,"X",IF(G404&lt;44.1,2,1)))</f>
        <v>1</v>
      </c>
      <c r="I404" s="204">
        <f t="shared" ca="1" si="53"/>
        <v>0.22725551498627725</v>
      </c>
      <c r="J404" s="247">
        <f ca="1">IF(I404="","",IF(COUNTIF($D$12:D404,D404)=1,IF(H404=1,I404*H404,IF(H404="X","X",0)),0))</f>
        <v>0</v>
      </c>
      <c r="K404" s="248">
        <f t="shared" ca="1" si="54"/>
        <v>0</v>
      </c>
      <c r="L404" s="212" t="s">
        <v>679</v>
      </c>
      <c r="M404" s="212" t="s">
        <v>448</v>
      </c>
      <c r="N404" s="212" t="s">
        <v>470</v>
      </c>
      <c r="O404" s="213">
        <v>41419</v>
      </c>
      <c r="P404" s="212" t="s">
        <v>684</v>
      </c>
      <c r="Q404" s="214">
        <v>100</v>
      </c>
      <c r="R404" s="212" t="s">
        <v>445</v>
      </c>
      <c r="S404" s="212" t="s">
        <v>532</v>
      </c>
      <c r="T404" s="212" t="s">
        <v>445</v>
      </c>
      <c r="U404" s="212" t="s">
        <v>446</v>
      </c>
      <c r="V404" s="214" t="b">
        <v>1</v>
      </c>
      <c r="W404" s="214">
        <v>1989</v>
      </c>
      <c r="X404" s="214">
        <v>5</v>
      </c>
      <c r="Y404" s="214">
        <v>2</v>
      </c>
      <c r="Z404" s="214">
        <v>4</v>
      </c>
      <c r="AA404" s="212" t="s">
        <v>447</v>
      </c>
      <c r="AB404" s="212" t="s">
        <v>531</v>
      </c>
      <c r="AC404" s="212" t="s">
        <v>533</v>
      </c>
      <c r="AD404" s="214">
        <v>1.4879579999999999</v>
      </c>
      <c r="AE404" s="214">
        <v>136</v>
      </c>
      <c r="AF404" s="214">
        <v>1.5218</v>
      </c>
      <c r="AG404" s="214">
        <v>-99</v>
      </c>
      <c r="AH404" s="212" t="s">
        <v>224</v>
      </c>
      <c r="AI404" s="212" t="s">
        <v>449</v>
      </c>
      <c r="AJ404" s="212" t="s">
        <v>304</v>
      </c>
      <c r="AK404" s="212" t="s">
        <v>531</v>
      </c>
      <c r="AL404" s="212" t="s">
        <v>620</v>
      </c>
      <c r="AM404" s="214" t="b">
        <v>1</v>
      </c>
      <c r="AN404" s="214" t="b">
        <v>0</v>
      </c>
      <c r="AO404" s="212" t="s">
        <v>305</v>
      </c>
      <c r="AP404" s="212" t="s">
        <v>306</v>
      </c>
      <c r="AQ404" s="214">
        <v>86.175359999999998</v>
      </c>
      <c r="AR404" s="214" t="b">
        <v>0</v>
      </c>
      <c r="AS404" s="212" t="s">
        <v>534</v>
      </c>
      <c r="AU404" s="222" t="s">
        <v>819</v>
      </c>
    </row>
    <row r="405" spans="1:47" s="218" customFormat="1" x14ac:dyDescent="0.25">
      <c r="A405" s="245">
        <f t="shared" si="55"/>
        <v>405</v>
      </c>
      <c r="B405" s="246" t="str">
        <f t="shared" si="48"/>
        <v>Oil Field - Tank</v>
      </c>
      <c r="C405" s="246" t="str">
        <f ca="1">IF(B405="","",VLOOKUP(D405,'Species Data'!B:E,4,FALSE))</f>
        <v>dimethhex23</v>
      </c>
      <c r="D405" s="246">
        <f t="shared" ca="1" si="49"/>
        <v>138</v>
      </c>
      <c r="E405" s="246">
        <f t="shared" ca="1" si="50"/>
        <v>2.53E-2</v>
      </c>
      <c r="F405" s="246" t="str">
        <f t="shared" ca="1" si="51"/>
        <v>2,3-dimethylhexane</v>
      </c>
      <c r="G405" s="246">
        <f t="shared" ca="1" si="52"/>
        <v>114.22852</v>
      </c>
      <c r="H405" s="204">
        <f ca="1">IF(G405="","",IF(VLOOKUP(Tank!F405,'Species Data'!D:F,3,FALSE)=0,"X",IF(G405&lt;44.1,2,1)))</f>
        <v>1</v>
      </c>
      <c r="I405" s="204">
        <f t="shared" ca="1" si="53"/>
        <v>2.958028397072613E-2</v>
      </c>
      <c r="J405" s="247">
        <f ca="1">IF(I405="","",IF(COUNTIF($D$12:D405,D405)=1,IF(H405=1,I405*H405,IF(H405="X","X",0)),0))</f>
        <v>0</v>
      </c>
      <c r="K405" s="248">
        <f t="shared" ca="1" si="54"/>
        <v>0</v>
      </c>
      <c r="L405" s="212" t="s">
        <v>679</v>
      </c>
      <c r="M405" s="212" t="s">
        <v>448</v>
      </c>
      <c r="N405" s="212" t="s">
        <v>470</v>
      </c>
      <c r="O405" s="213">
        <v>41419</v>
      </c>
      <c r="P405" s="212" t="s">
        <v>684</v>
      </c>
      <c r="Q405" s="214">
        <v>100</v>
      </c>
      <c r="R405" s="212" t="s">
        <v>445</v>
      </c>
      <c r="S405" s="212" t="s">
        <v>532</v>
      </c>
      <c r="T405" s="212" t="s">
        <v>445</v>
      </c>
      <c r="U405" s="212" t="s">
        <v>446</v>
      </c>
      <c r="V405" s="214" t="b">
        <v>1</v>
      </c>
      <c r="W405" s="214">
        <v>1989</v>
      </c>
      <c r="X405" s="214">
        <v>5</v>
      </c>
      <c r="Y405" s="214">
        <v>2</v>
      </c>
      <c r="Z405" s="214">
        <v>4</v>
      </c>
      <c r="AA405" s="212" t="s">
        <v>447</v>
      </c>
      <c r="AB405" s="212" t="s">
        <v>531</v>
      </c>
      <c r="AC405" s="212" t="s">
        <v>533</v>
      </c>
      <c r="AD405" s="214">
        <v>1.4879579999999999</v>
      </c>
      <c r="AE405" s="214">
        <v>138</v>
      </c>
      <c r="AF405" s="214">
        <v>2.53E-2</v>
      </c>
      <c r="AG405" s="214">
        <v>-99</v>
      </c>
      <c r="AH405" s="212" t="s">
        <v>224</v>
      </c>
      <c r="AI405" s="212" t="s">
        <v>449</v>
      </c>
      <c r="AJ405" s="212" t="s">
        <v>443</v>
      </c>
      <c r="AK405" s="212" t="s">
        <v>531</v>
      </c>
      <c r="AL405" s="212" t="s">
        <v>463</v>
      </c>
      <c r="AM405" s="214" t="b">
        <v>0</v>
      </c>
      <c r="AN405" s="214" t="b">
        <v>0</v>
      </c>
      <c r="AO405" s="212" t="s">
        <v>444</v>
      </c>
      <c r="AP405" s="212" t="s">
        <v>531</v>
      </c>
      <c r="AQ405" s="214">
        <v>114.22852</v>
      </c>
      <c r="AR405" s="214" t="b">
        <v>0</v>
      </c>
      <c r="AS405" s="212" t="s">
        <v>534</v>
      </c>
      <c r="AU405" s="222" t="s">
        <v>819</v>
      </c>
    </row>
    <row r="406" spans="1:47" s="218" customFormat="1" x14ac:dyDescent="0.25">
      <c r="A406" s="245">
        <f t="shared" si="55"/>
        <v>406</v>
      </c>
      <c r="B406" s="246" t="str">
        <f t="shared" si="48"/>
        <v>Oil Field - Tank</v>
      </c>
      <c r="C406" s="246" t="str">
        <f ca="1">IF(B406="","",VLOOKUP(D406,'Species Data'!B:E,4,FALSE))</f>
        <v>dimetpen3</v>
      </c>
      <c r="D406" s="246">
        <f t="shared" ca="1" si="49"/>
        <v>140</v>
      </c>
      <c r="E406" s="246">
        <f t="shared" ca="1" si="50"/>
        <v>0.159</v>
      </c>
      <c r="F406" s="246" t="str">
        <f t="shared" ca="1" si="51"/>
        <v>2,3-dimethylpentane</v>
      </c>
      <c r="G406" s="246">
        <f t="shared" ca="1" si="52"/>
        <v>100.20194000000001</v>
      </c>
      <c r="H406" s="204">
        <f ca="1">IF(G406="","",IF(VLOOKUP(Tank!F406,'Species Data'!D:F,3,FALSE)=0,"X",IF(G406&lt;44.1,2,1)))</f>
        <v>1</v>
      </c>
      <c r="I406" s="204">
        <f t="shared" ca="1" si="53"/>
        <v>0.24488235087056845</v>
      </c>
      <c r="J406" s="247">
        <f ca="1">IF(I406="","",IF(COUNTIF($D$12:D406,D406)=1,IF(H406=1,I406*H406,IF(H406="X","X",0)),0))</f>
        <v>0</v>
      </c>
      <c r="K406" s="248">
        <f t="shared" ca="1" si="54"/>
        <v>0</v>
      </c>
      <c r="L406" s="212" t="s">
        <v>679</v>
      </c>
      <c r="M406" s="212" t="s">
        <v>448</v>
      </c>
      <c r="N406" s="212" t="s">
        <v>470</v>
      </c>
      <c r="O406" s="213">
        <v>41419</v>
      </c>
      <c r="P406" s="212" t="s">
        <v>684</v>
      </c>
      <c r="Q406" s="214">
        <v>100</v>
      </c>
      <c r="R406" s="212" t="s">
        <v>445</v>
      </c>
      <c r="S406" s="212" t="s">
        <v>532</v>
      </c>
      <c r="T406" s="212" t="s">
        <v>445</v>
      </c>
      <c r="U406" s="212" t="s">
        <v>446</v>
      </c>
      <c r="V406" s="214" t="b">
        <v>1</v>
      </c>
      <c r="W406" s="214">
        <v>1989</v>
      </c>
      <c r="X406" s="214">
        <v>5</v>
      </c>
      <c r="Y406" s="214">
        <v>2</v>
      </c>
      <c r="Z406" s="214">
        <v>4</v>
      </c>
      <c r="AA406" s="212" t="s">
        <v>447</v>
      </c>
      <c r="AB406" s="212" t="s">
        <v>531</v>
      </c>
      <c r="AC406" s="212" t="s">
        <v>533</v>
      </c>
      <c r="AD406" s="214">
        <v>1.4879579999999999</v>
      </c>
      <c r="AE406" s="214">
        <v>140</v>
      </c>
      <c r="AF406" s="214">
        <v>0.159</v>
      </c>
      <c r="AG406" s="214">
        <v>-99</v>
      </c>
      <c r="AH406" s="212" t="s">
        <v>224</v>
      </c>
      <c r="AI406" s="212" t="s">
        <v>449</v>
      </c>
      <c r="AJ406" s="212" t="s">
        <v>307</v>
      </c>
      <c r="AK406" s="212" t="s">
        <v>531</v>
      </c>
      <c r="AL406" s="212" t="s">
        <v>385</v>
      </c>
      <c r="AM406" s="214" t="b">
        <v>1</v>
      </c>
      <c r="AN406" s="214" t="b">
        <v>0</v>
      </c>
      <c r="AO406" s="212" t="s">
        <v>308</v>
      </c>
      <c r="AP406" s="212" t="s">
        <v>309</v>
      </c>
      <c r="AQ406" s="214">
        <v>100.20194000000001</v>
      </c>
      <c r="AR406" s="214" t="b">
        <v>0</v>
      </c>
      <c r="AS406" s="212" t="s">
        <v>534</v>
      </c>
      <c r="AU406" s="222" t="s">
        <v>819</v>
      </c>
    </row>
    <row r="407" spans="1:47" s="218" customFormat="1" x14ac:dyDescent="0.25">
      <c r="A407" s="245">
        <f t="shared" si="55"/>
        <v>407</v>
      </c>
      <c r="B407" s="246" t="str">
        <f t="shared" si="48"/>
        <v>Oil Field - Tank</v>
      </c>
      <c r="C407" s="246" t="str">
        <f ca="1">IF(B407="","",VLOOKUP(D407,'Species Data'!B:E,4,FALSE))</f>
        <v>dimethhex24</v>
      </c>
      <c r="D407" s="246">
        <f t="shared" ca="1" si="49"/>
        <v>149</v>
      </c>
      <c r="E407" s="246">
        <f t="shared" ca="1" si="50"/>
        <v>2.8199999999999999E-2</v>
      </c>
      <c r="F407" s="246" t="str">
        <f t="shared" ca="1" si="51"/>
        <v>2,4-dimethylhexane</v>
      </c>
      <c r="G407" s="246">
        <f t="shared" ca="1" si="52"/>
        <v>114.22852</v>
      </c>
      <c r="H407" s="204">
        <f ca="1">IF(G407="","",IF(VLOOKUP(Tank!F407,'Species Data'!D:F,3,FALSE)=0,"X",IF(G407&lt;44.1,2,1)))</f>
        <v>1</v>
      </c>
      <c r="I407" s="204">
        <f t="shared" ca="1" si="53"/>
        <v>6.6793974555489091E-2</v>
      </c>
      <c r="J407" s="247">
        <f ca="1">IF(I407="","",IF(COUNTIF($D$12:D407,D407)=1,IF(H407=1,I407*H407,IF(H407="X","X",0)),0))</f>
        <v>0</v>
      </c>
      <c r="K407" s="248">
        <f t="shared" ca="1" si="54"/>
        <v>0</v>
      </c>
      <c r="L407" s="212" t="s">
        <v>679</v>
      </c>
      <c r="M407" s="212" t="s">
        <v>448</v>
      </c>
      <c r="N407" s="212" t="s">
        <v>470</v>
      </c>
      <c r="O407" s="213">
        <v>41419</v>
      </c>
      <c r="P407" s="212" t="s">
        <v>684</v>
      </c>
      <c r="Q407" s="214">
        <v>100</v>
      </c>
      <c r="R407" s="212" t="s">
        <v>445</v>
      </c>
      <c r="S407" s="212" t="s">
        <v>532</v>
      </c>
      <c r="T407" s="212" t="s">
        <v>445</v>
      </c>
      <c r="U407" s="212" t="s">
        <v>446</v>
      </c>
      <c r="V407" s="214" t="b">
        <v>1</v>
      </c>
      <c r="W407" s="214">
        <v>1989</v>
      </c>
      <c r="X407" s="214">
        <v>5</v>
      </c>
      <c r="Y407" s="214">
        <v>2</v>
      </c>
      <c r="Z407" s="214">
        <v>4</v>
      </c>
      <c r="AA407" s="212" t="s">
        <v>447</v>
      </c>
      <c r="AB407" s="212" t="s">
        <v>531</v>
      </c>
      <c r="AC407" s="212" t="s">
        <v>533</v>
      </c>
      <c r="AD407" s="214">
        <v>1.4879579999999999</v>
      </c>
      <c r="AE407" s="214">
        <v>149</v>
      </c>
      <c r="AF407" s="214">
        <v>2.8199999999999999E-2</v>
      </c>
      <c r="AG407" s="214">
        <v>-99</v>
      </c>
      <c r="AH407" s="212" t="s">
        <v>224</v>
      </c>
      <c r="AI407" s="212" t="s">
        <v>449</v>
      </c>
      <c r="AJ407" s="212" t="s">
        <v>427</v>
      </c>
      <c r="AK407" s="212" t="s">
        <v>531</v>
      </c>
      <c r="AL407" s="212" t="s">
        <v>457</v>
      </c>
      <c r="AM407" s="214" t="b">
        <v>0</v>
      </c>
      <c r="AN407" s="214" t="b">
        <v>0</v>
      </c>
      <c r="AO407" s="212" t="s">
        <v>428</v>
      </c>
      <c r="AP407" s="212" t="s">
        <v>429</v>
      </c>
      <c r="AQ407" s="214">
        <v>114.22852</v>
      </c>
      <c r="AR407" s="214" t="b">
        <v>0</v>
      </c>
      <c r="AS407" s="212" t="s">
        <v>534</v>
      </c>
      <c r="AU407" s="222" t="s">
        <v>819</v>
      </c>
    </row>
    <row r="408" spans="1:47" s="218" customFormat="1" x14ac:dyDescent="0.25">
      <c r="A408" s="245">
        <f t="shared" si="55"/>
        <v>408</v>
      </c>
      <c r="B408" s="246" t="str">
        <f t="shared" si="48"/>
        <v>Oil Field - Tank</v>
      </c>
      <c r="C408" s="246" t="str">
        <f ca="1">IF(B408="","",VLOOKUP(D408,'Species Data'!B:E,4,FALSE))</f>
        <v>dimetpen4</v>
      </c>
      <c r="D408" s="246">
        <f t="shared" ca="1" si="49"/>
        <v>152</v>
      </c>
      <c r="E408" s="246">
        <f t="shared" ca="1" si="50"/>
        <v>4.6899999999999997E-2</v>
      </c>
      <c r="F408" s="246" t="str">
        <f t="shared" ca="1" si="51"/>
        <v>2,4-dimethylpentane</v>
      </c>
      <c r="G408" s="246">
        <f t="shared" ca="1" si="52"/>
        <v>100.20194000000001</v>
      </c>
      <c r="H408" s="204">
        <f ca="1">IF(G408="","",IF(VLOOKUP(Tank!F408,'Species Data'!D:F,3,FALSE)=0,"X",IF(G408&lt;44.1,2,1)))</f>
        <v>1</v>
      </c>
      <c r="I408" s="204">
        <f t="shared" ca="1" si="53"/>
        <v>7.947409628465768E-2</v>
      </c>
      <c r="J408" s="247">
        <f ca="1">IF(I408="","",IF(COUNTIF($D$12:D408,D408)=1,IF(H408=1,I408*H408,IF(H408="X","X",0)),0))</f>
        <v>0</v>
      </c>
      <c r="K408" s="248">
        <f t="shared" ca="1" si="54"/>
        <v>0</v>
      </c>
      <c r="L408" s="212" t="s">
        <v>679</v>
      </c>
      <c r="M408" s="212" t="s">
        <v>448</v>
      </c>
      <c r="N408" s="212" t="s">
        <v>470</v>
      </c>
      <c r="O408" s="213">
        <v>41419</v>
      </c>
      <c r="P408" s="212" t="s">
        <v>684</v>
      </c>
      <c r="Q408" s="214">
        <v>100</v>
      </c>
      <c r="R408" s="212" t="s">
        <v>445</v>
      </c>
      <c r="S408" s="212" t="s">
        <v>532</v>
      </c>
      <c r="T408" s="212" t="s">
        <v>445</v>
      </c>
      <c r="U408" s="212" t="s">
        <v>446</v>
      </c>
      <c r="V408" s="214" t="b">
        <v>1</v>
      </c>
      <c r="W408" s="214">
        <v>1989</v>
      </c>
      <c r="X408" s="214">
        <v>5</v>
      </c>
      <c r="Y408" s="214">
        <v>2</v>
      </c>
      <c r="Z408" s="214">
        <v>4</v>
      </c>
      <c r="AA408" s="212" t="s">
        <v>447</v>
      </c>
      <c r="AB408" s="212" t="s">
        <v>531</v>
      </c>
      <c r="AC408" s="212" t="s">
        <v>533</v>
      </c>
      <c r="AD408" s="214">
        <v>1.4879579999999999</v>
      </c>
      <c r="AE408" s="214">
        <v>152</v>
      </c>
      <c r="AF408" s="214">
        <v>4.6899999999999997E-2</v>
      </c>
      <c r="AG408" s="214">
        <v>-99</v>
      </c>
      <c r="AH408" s="212" t="s">
        <v>224</v>
      </c>
      <c r="AI408" s="212" t="s">
        <v>449</v>
      </c>
      <c r="AJ408" s="212" t="s">
        <v>310</v>
      </c>
      <c r="AK408" s="212" t="s">
        <v>531</v>
      </c>
      <c r="AL408" s="212" t="s">
        <v>386</v>
      </c>
      <c r="AM408" s="214" t="b">
        <v>1</v>
      </c>
      <c r="AN408" s="214" t="b">
        <v>0</v>
      </c>
      <c r="AO408" s="212" t="s">
        <v>311</v>
      </c>
      <c r="AP408" s="212" t="s">
        <v>312</v>
      </c>
      <c r="AQ408" s="214">
        <v>100.20194000000001</v>
      </c>
      <c r="AR408" s="214" t="b">
        <v>0</v>
      </c>
      <c r="AS408" s="212" t="s">
        <v>534</v>
      </c>
      <c r="AU408" s="222" t="s">
        <v>819</v>
      </c>
    </row>
    <row r="409" spans="1:47" s="218" customFormat="1" x14ac:dyDescent="0.25">
      <c r="A409" s="245">
        <f t="shared" si="55"/>
        <v>409</v>
      </c>
      <c r="B409" s="246" t="str">
        <f t="shared" si="48"/>
        <v>Oil Field - Tank</v>
      </c>
      <c r="C409" s="246" t="str">
        <f ca="1">IF(B409="","",VLOOKUP(D409,'Species Data'!B:E,4,FALSE))</f>
        <v>methep2</v>
      </c>
      <c r="D409" s="246">
        <f t="shared" ca="1" si="49"/>
        <v>193</v>
      </c>
      <c r="E409" s="246">
        <f t="shared" ca="1" si="50"/>
        <v>3.78E-2</v>
      </c>
      <c r="F409" s="246" t="str">
        <f t="shared" ca="1" si="51"/>
        <v>2-methylheptane</v>
      </c>
      <c r="G409" s="246">
        <f t="shared" ca="1" si="52"/>
        <v>114.22852</v>
      </c>
      <c r="H409" s="204">
        <f ca="1">IF(G409="","",IF(VLOOKUP(Tank!F409,'Species Data'!D:F,3,FALSE)=0,"X",IF(G409&lt;44.1,2,1)))</f>
        <v>1</v>
      </c>
      <c r="I409" s="204">
        <f t="shared" ca="1" si="53"/>
        <v>0.11845447049625013</v>
      </c>
      <c r="J409" s="247">
        <f ca="1">IF(I409="","",IF(COUNTIF($D$12:D409,D409)=1,IF(H409=1,I409*H409,IF(H409="X","X",0)),0))</f>
        <v>0</v>
      </c>
      <c r="K409" s="248">
        <f t="shared" ca="1" si="54"/>
        <v>0</v>
      </c>
      <c r="L409" s="212" t="s">
        <v>679</v>
      </c>
      <c r="M409" s="212" t="s">
        <v>448</v>
      </c>
      <c r="N409" s="212" t="s">
        <v>470</v>
      </c>
      <c r="O409" s="213">
        <v>41419</v>
      </c>
      <c r="P409" s="212" t="s">
        <v>684</v>
      </c>
      <c r="Q409" s="214">
        <v>100</v>
      </c>
      <c r="R409" s="212" t="s">
        <v>445</v>
      </c>
      <c r="S409" s="212" t="s">
        <v>532</v>
      </c>
      <c r="T409" s="212" t="s">
        <v>445</v>
      </c>
      <c r="U409" s="212" t="s">
        <v>446</v>
      </c>
      <c r="V409" s="214" t="b">
        <v>1</v>
      </c>
      <c r="W409" s="214">
        <v>1989</v>
      </c>
      <c r="X409" s="214">
        <v>5</v>
      </c>
      <c r="Y409" s="214">
        <v>2</v>
      </c>
      <c r="Z409" s="214">
        <v>4</v>
      </c>
      <c r="AA409" s="212" t="s">
        <v>447</v>
      </c>
      <c r="AB409" s="212" t="s">
        <v>531</v>
      </c>
      <c r="AC409" s="212" t="s">
        <v>533</v>
      </c>
      <c r="AD409" s="214">
        <v>1.4879579999999999</v>
      </c>
      <c r="AE409" s="214">
        <v>193</v>
      </c>
      <c r="AF409" s="214">
        <v>3.78E-2</v>
      </c>
      <c r="AG409" s="214">
        <v>-99</v>
      </c>
      <c r="AH409" s="212" t="s">
        <v>224</v>
      </c>
      <c r="AI409" s="212" t="s">
        <v>449</v>
      </c>
      <c r="AJ409" s="212" t="s">
        <v>313</v>
      </c>
      <c r="AK409" s="212" t="s">
        <v>531</v>
      </c>
      <c r="AL409" s="212" t="s">
        <v>387</v>
      </c>
      <c r="AM409" s="214" t="b">
        <v>1</v>
      </c>
      <c r="AN409" s="214" t="b">
        <v>0</v>
      </c>
      <c r="AO409" s="212" t="s">
        <v>314</v>
      </c>
      <c r="AP409" s="212" t="s">
        <v>315</v>
      </c>
      <c r="AQ409" s="214">
        <v>114.22852</v>
      </c>
      <c r="AR409" s="214" t="b">
        <v>0</v>
      </c>
      <c r="AS409" s="212" t="s">
        <v>534</v>
      </c>
      <c r="AU409" s="222" t="s">
        <v>819</v>
      </c>
    </row>
    <row r="410" spans="1:47" s="218" customFormat="1" x14ac:dyDescent="0.25">
      <c r="A410" s="245">
        <f t="shared" si="55"/>
        <v>410</v>
      </c>
      <c r="B410" s="246" t="str">
        <f t="shared" si="48"/>
        <v>Oil Field - Tank</v>
      </c>
      <c r="C410" s="246" t="str">
        <f ca="1">IF(B410="","",VLOOKUP(D410,'Species Data'!B:E,4,FALSE))</f>
        <v>twomethex</v>
      </c>
      <c r="D410" s="246">
        <f t="shared" ca="1" si="49"/>
        <v>194</v>
      </c>
      <c r="E410" s="246">
        <f t="shared" ca="1" si="50"/>
        <v>0.2858</v>
      </c>
      <c r="F410" s="246" t="str">
        <f t="shared" ca="1" si="51"/>
        <v>2-methylhexane</v>
      </c>
      <c r="G410" s="246">
        <f t="shared" ca="1" si="52"/>
        <v>100.20194000000001</v>
      </c>
      <c r="H410" s="204">
        <f ca="1">IF(G410="","",IF(VLOOKUP(Tank!F410,'Species Data'!D:F,3,FALSE)=0,"X",IF(G410&lt;44.1,2,1)))</f>
        <v>1</v>
      </c>
      <c r="I410" s="204">
        <f t="shared" ca="1" si="53"/>
        <v>0.30248957056654424</v>
      </c>
      <c r="J410" s="247">
        <f ca="1">IF(I410="","",IF(COUNTIF($D$12:D410,D410)=1,IF(H410=1,I410*H410,IF(H410="X","X",0)),0))</f>
        <v>0</v>
      </c>
      <c r="K410" s="248">
        <f t="shared" ca="1" si="54"/>
        <v>0</v>
      </c>
      <c r="L410" s="212" t="s">
        <v>679</v>
      </c>
      <c r="M410" s="212" t="s">
        <v>448</v>
      </c>
      <c r="N410" s="212" t="s">
        <v>470</v>
      </c>
      <c r="O410" s="213">
        <v>41419</v>
      </c>
      <c r="P410" s="212" t="s">
        <v>684</v>
      </c>
      <c r="Q410" s="214">
        <v>100</v>
      </c>
      <c r="R410" s="212" t="s">
        <v>445</v>
      </c>
      <c r="S410" s="212" t="s">
        <v>532</v>
      </c>
      <c r="T410" s="212" t="s">
        <v>445</v>
      </c>
      <c r="U410" s="212" t="s">
        <v>446</v>
      </c>
      <c r="V410" s="214" t="b">
        <v>1</v>
      </c>
      <c r="W410" s="214">
        <v>1989</v>
      </c>
      <c r="X410" s="214">
        <v>5</v>
      </c>
      <c r="Y410" s="214">
        <v>2</v>
      </c>
      <c r="Z410" s="214">
        <v>4</v>
      </c>
      <c r="AA410" s="212" t="s">
        <v>447</v>
      </c>
      <c r="AB410" s="212" t="s">
        <v>531</v>
      </c>
      <c r="AC410" s="212" t="s">
        <v>533</v>
      </c>
      <c r="AD410" s="214">
        <v>1.4879579999999999</v>
      </c>
      <c r="AE410" s="214">
        <v>194</v>
      </c>
      <c r="AF410" s="214">
        <v>0.2858</v>
      </c>
      <c r="AG410" s="214">
        <v>-99</v>
      </c>
      <c r="AH410" s="212" t="s">
        <v>224</v>
      </c>
      <c r="AI410" s="212" t="s">
        <v>449</v>
      </c>
      <c r="AJ410" s="212" t="s">
        <v>316</v>
      </c>
      <c r="AK410" s="212" t="s">
        <v>531</v>
      </c>
      <c r="AL410" s="212" t="s">
        <v>388</v>
      </c>
      <c r="AM410" s="214" t="b">
        <v>1</v>
      </c>
      <c r="AN410" s="214" t="b">
        <v>0</v>
      </c>
      <c r="AO410" s="212" t="s">
        <v>317</v>
      </c>
      <c r="AP410" s="212" t="s">
        <v>318</v>
      </c>
      <c r="AQ410" s="214">
        <v>100.20194000000001</v>
      </c>
      <c r="AR410" s="214" t="b">
        <v>0</v>
      </c>
      <c r="AS410" s="212" t="s">
        <v>534</v>
      </c>
      <c r="AU410" s="222" t="s">
        <v>819</v>
      </c>
    </row>
    <row r="411" spans="1:47" x14ac:dyDescent="0.25">
      <c r="A411" s="245">
        <f t="shared" si="55"/>
        <v>411</v>
      </c>
      <c r="B411" s="246" t="str">
        <f t="shared" si="48"/>
        <v>Oil Field - Tank</v>
      </c>
      <c r="C411" s="246" t="str">
        <f ca="1">IF(B411="","",VLOOKUP(D411,'Species Data'!B:E,4,FALSE))</f>
        <v>ethylhexane</v>
      </c>
      <c r="D411" s="246">
        <f t="shared" ca="1" si="49"/>
        <v>226</v>
      </c>
      <c r="E411" s="246">
        <f t="shared" ca="1" si="50"/>
        <v>0.1086</v>
      </c>
      <c r="F411" s="246" t="str">
        <f t="shared" ca="1" si="51"/>
        <v>3-ethylhexane</v>
      </c>
      <c r="G411" s="246">
        <f t="shared" ca="1" si="52"/>
        <v>114.22852</v>
      </c>
      <c r="H411" s="204" t="str">
        <f ca="1">IF(G411="","",IF(VLOOKUP(Tank!F411,'Species Data'!D:F,3,FALSE)=0,"X",IF(G411&lt;44.1,2,1)))</f>
        <v>X</v>
      </c>
      <c r="I411" s="204">
        <f t="shared" ca="1" si="53"/>
        <v>9.0107531698970997E-2</v>
      </c>
      <c r="J411" s="247">
        <f ca="1">IF(I411="","",IF(COUNTIF($D$12:D411,D411)=1,IF(H411=1,I411*H411,IF(H411="X","X",0)),0))</f>
        <v>0</v>
      </c>
      <c r="K411" s="248">
        <f t="shared" ca="1" si="54"/>
        <v>0</v>
      </c>
      <c r="L411" s="212" t="s">
        <v>679</v>
      </c>
      <c r="M411" s="212" t="s">
        <v>448</v>
      </c>
      <c r="N411" s="212" t="s">
        <v>470</v>
      </c>
      <c r="O411" s="213">
        <v>41419</v>
      </c>
      <c r="P411" s="212" t="s">
        <v>684</v>
      </c>
      <c r="Q411" s="214">
        <v>100</v>
      </c>
      <c r="R411" s="212" t="s">
        <v>445</v>
      </c>
      <c r="S411" s="212" t="s">
        <v>532</v>
      </c>
      <c r="T411" s="212" t="s">
        <v>445</v>
      </c>
      <c r="U411" s="212" t="s">
        <v>446</v>
      </c>
      <c r="V411" s="214" t="b">
        <v>1</v>
      </c>
      <c r="W411" s="214">
        <v>1989</v>
      </c>
      <c r="X411" s="214">
        <v>5</v>
      </c>
      <c r="Y411" s="214">
        <v>2</v>
      </c>
      <c r="Z411" s="214">
        <v>4</v>
      </c>
      <c r="AA411" s="212" t="s">
        <v>447</v>
      </c>
      <c r="AB411" s="212" t="s">
        <v>531</v>
      </c>
      <c r="AC411" s="212" t="s">
        <v>533</v>
      </c>
      <c r="AD411" s="214">
        <v>1.4879579999999999</v>
      </c>
      <c r="AE411" s="214">
        <v>226</v>
      </c>
      <c r="AF411" s="214">
        <v>0.1086</v>
      </c>
      <c r="AG411" s="214">
        <v>-99</v>
      </c>
      <c r="AH411" s="212" t="s">
        <v>224</v>
      </c>
      <c r="AI411" s="212" t="s">
        <v>449</v>
      </c>
      <c r="AJ411" s="212" t="s">
        <v>439</v>
      </c>
      <c r="AK411" s="212" t="s">
        <v>531</v>
      </c>
      <c r="AL411" s="212" t="s">
        <v>461</v>
      </c>
      <c r="AM411" s="214" t="b">
        <v>0</v>
      </c>
      <c r="AN411" s="214" t="b">
        <v>0</v>
      </c>
      <c r="AO411" s="212" t="s">
        <v>440</v>
      </c>
      <c r="AP411" s="212" t="s">
        <v>531</v>
      </c>
      <c r="AQ411" s="214">
        <v>114.22852</v>
      </c>
      <c r="AR411" s="214" t="b">
        <v>0</v>
      </c>
      <c r="AS411" s="212" t="s">
        <v>534</v>
      </c>
      <c r="AU411" s="222" t="s">
        <v>819</v>
      </c>
    </row>
    <row r="412" spans="1:47" x14ac:dyDescent="0.25">
      <c r="A412" s="245">
        <f t="shared" si="55"/>
        <v>412</v>
      </c>
      <c r="B412" s="246" t="str">
        <f t="shared" si="48"/>
        <v>Oil Field - Tank</v>
      </c>
      <c r="C412" s="246" t="str">
        <f ca="1">IF(B412="","",VLOOKUP(D412,'Species Data'!B:E,4,FALSE))</f>
        <v>threemethex</v>
      </c>
      <c r="D412" s="246">
        <f t="shared" ca="1" si="49"/>
        <v>245</v>
      </c>
      <c r="E412" s="246">
        <f t="shared" ca="1" si="50"/>
        <v>0.4622</v>
      </c>
      <c r="F412" s="246" t="str">
        <f t="shared" ca="1" si="51"/>
        <v>3-methylhexane</v>
      </c>
      <c r="G412" s="246">
        <f t="shared" ca="1" si="52"/>
        <v>100.20194000000001</v>
      </c>
      <c r="H412" s="204">
        <f ca="1">IF(G412="","",IF(VLOOKUP(Tank!F412,'Species Data'!D:F,3,FALSE)=0,"X",IF(G412&lt;44.1,2,1)))</f>
        <v>1</v>
      </c>
      <c r="I412" s="204">
        <f t="shared" ca="1" si="53"/>
        <v>0.33724323753508045</v>
      </c>
      <c r="J412" s="247">
        <f ca="1">IF(I412="","",IF(COUNTIF($D$12:D412,D412)=1,IF(H412=1,I412*H412,IF(H412="X","X",0)),0))</f>
        <v>0</v>
      </c>
      <c r="K412" s="248">
        <f t="shared" ca="1" si="54"/>
        <v>0</v>
      </c>
      <c r="L412" s="212" t="s">
        <v>679</v>
      </c>
      <c r="M412" s="212" t="s">
        <v>448</v>
      </c>
      <c r="N412" s="212" t="s">
        <v>470</v>
      </c>
      <c r="O412" s="213">
        <v>41419</v>
      </c>
      <c r="P412" s="212" t="s">
        <v>684</v>
      </c>
      <c r="Q412" s="214">
        <v>100</v>
      </c>
      <c r="R412" s="212" t="s">
        <v>445</v>
      </c>
      <c r="S412" s="212" t="s">
        <v>532</v>
      </c>
      <c r="T412" s="212" t="s">
        <v>445</v>
      </c>
      <c r="U412" s="212" t="s">
        <v>446</v>
      </c>
      <c r="V412" s="214" t="b">
        <v>1</v>
      </c>
      <c r="W412" s="214">
        <v>1989</v>
      </c>
      <c r="X412" s="214">
        <v>5</v>
      </c>
      <c r="Y412" s="214">
        <v>2</v>
      </c>
      <c r="Z412" s="214">
        <v>4</v>
      </c>
      <c r="AA412" s="212" t="s">
        <v>447</v>
      </c>
      <c r="AB412" s="212" t="s">
        <v>531</v>
      </c>
      <c r="AC412" s="212" t="s">
        <v>533</v>
      </c>
      <c r="AD412" s="214">
        <v>1.4879579999999999</v>
      </c>
      <c r="AE412" s="214">
        <v>245</v>
      </c>
      <c r="AF412" s="214">
        <v>0.4622</v>
      </c>
      <c r="AG412" s="214">
        <v>-99</v>
      </c>
      <c r="AH412" s="212" t="s">
        <v>224</v>
      </c>
      <c r="AI412" s="212" t="s">
        <v>449</v>
      </c>
      <c r="AJ412" s="212" t="s">
        <v>325</v>
      </c>
      <c r="AK412" s="212" t="s">
        <v>531</v>
      </c>
      <c r="AL412" s="212" t="s">
        <v>390</v>
      </c>
      <c r="AM412" s="214" t="b">
        <v>1</v>
      </c>
      <c r="AN412" s="214" t="b">
        <v>0</v>
      </c>
      <c r="AO412" s="212" t="s">
        <v>326</v>
      </c>
      <c r="AP412" s="212" t="s">
        <v>327</v>
      </c>
      <c r="AQ412" s="214">
        <v>100.20194000000001</v>
      </c>
      <c r="AR412" s="214" t="b">
        <v>0</v>
      </c>
      <c r="AS412" s="212" t="s">
        <v>534</v>
      </c>
      <c r="AU412" s="222" t="s">
        <v>819</v>
      </c>
    </row>
    <row r="413" spans="1:47" x14ac:dyDescent="0.25">
      <c r="A413" s="245">
        <f t="shared" si="55"/>
        <v>413</v>
      </c>
      <c r="B413" s="246" t="str">
        <f t="shared" si="48"/>
        <v>Oil Field - Tank</v>
      </c>
      <c r="C413" s="246" t="str">
        <f ca="1">IF(B413="","",VLOOKUP(D413,'Species Data'!B:E,4,FALSE))</f>
        <v>benzene</v>
      </c>
      <c r="D413" s="246">
        <f t="shared" ca="1" si="49"/>
        <v>302</v>
      </c>
      <c r="E413" s="246">
        <f t="shared" ca="1" si="50"/>
        <v>0.1318</v>
      </c>
      <c r="F413" s="246" t="str">
        <f t="shared" ca="1" si="51"/>
        <v>Benzene</v>
      </c>
      <c r="G413" s="246">
        <f t="shared" ca="1" si="52"/>
        <v>78.111840000000001</v>
      </c>
      <c r="H413" s="204">
        <f ca="1">IF(G413="","",IF(VLOOKUP(Tank!F413,'Species Data'!D:F,3,FALSE)=0,"X",IF(G413&lt;44.1,2,1)))</f>
        <v>1</v>
      </c>
      <c r="I413" s="204">
        <f t="shared" ca="1" si="53"/>
        <v>0.24518902048126334</v>
      </c>
      <c r="J413" s="247">
        <f ca="1">IF(I413="","",IF(COUNTIF($D$12:D413,D413)=1,IF(H413=1,I413*H413,IF(H413="X","X",0)),0))</f>
        <v>0</v>
      </c>
      <c r="K413" s="248">
        <f t="shared" ca="1" si="54"/>
        <v>0</v>
      </c>
      <c r="L413" s="212" t="s">
        <v>679</v>
      </c>
      <c r="M413" s="212" t="s">
        <v>448</v>
      </c>
      <c r="N413" s="212" t="s">
        <v>470</v>
      </c>
      <c r="O413" s="213">
        <v>41419</v>
      </c>
      <c r="P413" s="212" t="s">
        <v>684</v>
      </c>
      <c r="Q413" s="214">
        <v>100</v>
      </c>
      <c r="R413" s="212" t="s">
        <v>445</v>
      </c>
      <c r="S413" s="212" t="s">
        <v>532</v>
      </c>
      <c r="T413" s="212" t="s">
        <v>445</v>
      </c>
      <c r="U413" s="212" t="s">
        <v>446</v>
      </c>
      <c r="V413" s="214" t="b">
        <v>1</v>
      </c>
      <c r="W413" s="214">
        <v>1989</v>
      </c>
      <c r="X413" s="214">
        <v>5</v>
      </c>
      <c r="Y413" s="214">
        <v>2</v>
      </c>
      <c r="Z413" s="214">
        <v>4</v>
      </c>
      <c r="AA413" s="212" t="s">
        <v>447</v>
      </c>
      <c r="AB413" s="212" t="s">
        <v>531</v>
      </c>
      <c r="AC413" s="212" t="s">
        <v>533</v>
      </c>
      <c r="AD413" s="214">
        <v>1.4879579999999999</v>
      </c>
      <c r="AE413" s="214">
        <v>302</v>
      </c>
      <c r="AF413" s="214">
        <v>0.1318</v>
      </c>
      <c r="AG413" s="214">
        <v>-99</v>
      </c>
      <c r="AH413" s="212" t="s">
        <v>224</v>
      </c>
      <c r="AI413" s="212" t="s">
        <v>449</v>
      </c>
      <c r="AJ413" s="212" t="s">
        <v>262</v>
      </c>
      <c r="AK413" s="212" t="s">
        <v>531</v>
      </c>
      <c r="AL413" s="212" t="s">
        <v>373</v>
      </c>
      <c r="AM413" s="214" t="b">
        <v>1</v>
      </c>
      <c r="AN413" s="214" t="b">
        <v>1</v>
      </c>
      <c r="AO413" s="212" t="s">
        <v>263</v>
      </c>
      <c r="AP413" s="212" t="s">
        <v>264</v>
      </c>
      <c r="AQ413" s="214">
        <v>78.111840000000001</v>
      </c>
      <c r="AR413" s="214" t="b">
        <v>0</v>
      </c>
      <c r="AS413" s="212" t="s">
        <v>534</v>
      </c>
      <c r="AU413" s="222" t="s">
        <v>819</v>
      </c>
    </row>
    <row r="414" spans="1:47" x14ac:dyDescent="0.25">
      <c r="A414" s="245">
        <f t="shared" si="55"/>
        <v>414</v>
      </c>
      <c r="B414" s="246" t="str">
        <f t="shared" si="48"/>
        <v>Oil Field - Tank</v>
      </c>
      <c r="C414" s="246" t="str">
        <f ca="1">IF(B414="","",VLOOKUP(D414,'Species Data'!B:E,4,FALSE))</f>
        <v>cyclohexane</v>
      </c>
      <c r="D414" s="246">
        <f t="shared" ca="1" si="49"/>
        <v>385</v>
      </c>
      <c r="E414" s="246">
        <f t="shared" ca="1" si="50"/>
        <v>5.8999999999999999E-3</v>
      </c>
      <c r="F414" s="246" t="str">
        <f t="shared" ca="1" si="51"/>
        <v>Cyclohexane</v>
      </c>
      <c r="G414" s="246">
        <f t="shared" ca="1" si="52"/>
        <v>84.159480000000002</v>
      </c>
      <c r="H414" s="204">
        <f ca="1">IF(G414="","",IF(VLOOKUP(Tank!F414,'Species Data'!D:F,3,FALSE)=0,"X",IF(G414&lt;44.1,2,1)))</f>
        <v>1</v>
      </c>
      <c r="I414" s="204">
        <f t="shared" ca="1" si="53"/>
        <v>1.8406843372363042E-2</v>
      </c>
      <c r="J414" s="247">
        <f ca="1">IF(I414="","",IF(COUNTIF($D$12:D414,D414)=1,IF(H414=1,I414*H414,IF(H414="X","X",0)),0))</f>
        <v>0</v>
      </c>
      <c r="K414" s="248">
        <f t="shared" ca="1" si="54"/>
        <v>0</v>
      </c>
      <c r="L414" s="212" t="s">
        <v>679</v>
      </c>
      <c r="M414" s="212" t="s">
        <v>448</v>
      </c>
      <c r="N414" s="212" t="s">
        <v>470</v>
      </c>
      <c r="O414" s="213">
        <v>41419</v>
      </c>
      <c r="P414" s="212" t="s">
        <v>684</v>
      </c>
      <c r="Q414" s="214">
        <v>100</v>
      </c>
      <c r="R414" s="212" t="s">
        <v>445</v>
      </c>
      <c r="S414" s="212" t="s">
        <v>532</v>
      </c>
      <c r="T414" s="212" t="s">
        <v>445</v>
      </c>
      <c r="U414" s="212" t="s">
        <v>446</v>
      </c>
      <c r="V414" s="214" t="b">
        <v>1</v>
      </c>
      <c r="W414" s="214">
        <v>1989</v>
      </c>
      <c r="X414" s="214">
        <v>5</v>
      </c>
      <c r="Y414" s="214">
        <v>2</v>
      </c>
      <c r="Z414" s="214">
        <v>4</v>
      </c>
      <c r="AA414" s="212" t="s">
        <v>447</v>
      </c>
      <c r="AB414" s="212" t="s">
        <v>531</v>
      </c>
      <c r="AC414" s="212" t="s">
        <v>533</v>
      </c>
      <c r="AD414" s="214">
        <v>1.4879579999999999</v>
      </c>
      <c r="AE414" s="214">
        <v>385</v>
      </c>
      <c r="AF414" s="214">
        <v>5.8999999999999999E-3</v>
      </c>
      <c r="AG414" s="214">
        <v>-99</v>
      </c>
      <c r="AH414" s="212" t="s">
        <v>224</v>
      </c>
      <c r="AI414" s="212" t="s">
        <v>449</v>
      </c>
      <c r="AJ414" s="212" t="s">
        <v>331</v>
      </c>
      <c r="AK414" s="212" t="s">
        <v>531</v>
      </c>
      <c r="AL414" s="212" t="s">
        <v>392</v>
      </c>
      <c r="AM414" s="214" t="b">
        <v>1</v>
      </c>
      <c r="AN414" s="214" t="b">
        <v>0</v>
      </c>
      <c r="AO414" s="212" t="s">
        <v>332</v>
      </c>
      <c r="AP414" s="212" t="s">
        <v>333</v>
      </c>
      <c r="AQ414" s="214">
        <v>84.159480000000002</v>
      </c>
      <c r="AR414" s="214" t="b">
        <v>0</v>
      </c>
      <c r="AS414" s="212" t="s">
        <v>534</v>
      </c>
      <c r="AU414" s="222" t="s">
        <v>819</v>
      </c>
    </row>
    <row r="415" spans="1:47" x14ac:dyDescent="0.25">
      <c r="A415" s="245">
        <f t="shared" si="55"/>
        <v>415</v>
      </c>
      <c r="B415" s="246" t="str">
        <f t="shared" si="48"/>
        <v>Oil Field - Tank</v>
      </c>
      <c r="C415" s="246" t="str">
        <f ca="1">IF(B415="","",VLOOKUP(D415,'Species Data'!B:E,4,FALSE))</f>
        <v>ethane</v>
      </c>
      <c r="D415" s="246">
        <f t="shared" ca="1" si="49"/>
        <v>438</v>
      </c>
      <c r="E415" s="246">
        <f t="shared" ca="1" si="50"/>
        <v>6.4584999999999999</v>
      </c>
      <c r="F415" s="246" t="str">
        <f t="shared" ca="1" si="51"/>
        <v>Ethane</v>
      </c>
      <c r="G415" s="246">
        <f t="shared" ca="1" si="52"/>
        <v>30.069040000000005</v>
      </c>
      <c r="H415" s="204">
        <f ca="1">IF(G415="","",IF(VLOOKUP(Tank!F415,'Species Data'!D:F,3,FALSE)=0,"X",IF(G415&lt;44.1,2,1)))</f>
        <v>2</v>
      </c>
      <c r="I415" s="204">
        <f t="shared" ca="1" si="53"/>
        <v>5.717421553913586</v>
      </c>
      <c r="J415" s="247">
        <f ca="1">IF(I415="","",IF(COUNTIF($D$12:D415,D415)=1,IF(H415=1,I415*H415,IF(H415="X","X",0)),0))</f>
        <v>0</v>
      </c>
      <c r="K415" s="248">
        <f t="shared" ca="1" si="54"/>
        <v>0</v>
      </c>
      <c r="L415" s="212" t="s">
        <v>679</v>
      </c>
      <c r="M415" s="212" t="s">
        <v>448</v>
      </c>
      <c r="N415" s="212" t="s">
        <v>470</v>
      </c>
      <c r="O415" s="213">
        <v>41419</v>
      </c>
      <c r="P415" s="212" t="s">
        <v>684</v>
      </c>
      <c r="Q415" s="214">
        <v>100</v>
      </c>
      <c r="R415" s="212" t="s">
        <v>445</v>
      </c>
      <c r="S415" s="212" t="s">
        <v>532</v>
      </c>
      <c r="T415" s="212" t="s">
        <v>445</v>
      </c>
      <c r="U415" s="212" t="s">
        <v>446</v>
      </c>
      <c r="V415" s="214" t="b">
        <v>1</v>
      </c>
      <c r="W415" s="214">
        <v>1989</v>
      </c>
      <c r="X415" s="214">
        <v>5</v>
      </c>
      <c r="Y415" s="214">
        <v>2</v>
      </c>
      <c r="Z415" s="214">
        <v>4</v>
      </c>
      <c r="AA415" s="212" t="s">
        <v>447</v>
      </c>
      <c r="AB415" s="212" t="s">
        <v>531</v>
      </c>
      <c r="AC415" s="212" t="s">
        <v>533</v>
      </c>
      <c r="AD415" s="214">
        <v>1.4879579999999999</v>
      </c>
      <c r="AE415" s="214">
        <v>438</v>
      </c>
      <c r="AF415" s="214">
        <v>6.4584999999999999</v>
      </c>
      <c r="AG415" s="214">
        <v>-99</v>
      </c>
      <c r="AH415" s="212" t="s">
        <v>224</v>
      </c>
      <c r="AI415" s="212" t="s">
        <v>449</v>
      </c>
      <c r="AJ415" s="212" t="s">
        <v>265</v>
      </c>
      <c r="AK415" s="212" t="s">
        <v>531</v>
      </c>
      <c r="AL415" s="212" t="s">
        <v>374</v>
      </c>
      <c r="AM415" s="214" t="b">
        <v>1</v>
      </c>
      <c r="AN415" s="214" t="b">
        <v>0</v>
      </c>
      <c r="AO415" s="212" t="s">
        <v>266</v>
      </c>
      <c r="AP415" s="212" t="s">
        <v>267</v>
      </c>
      <c r="AQ415" s="214">
        <v>30.069040000000005</v>
      </c>
      <c r="AR415" s="214" t="b">
        <v>1</v>
      </c>
      <c r="AS415" s="212" t="s">
        <v>534</v>
      </c>
      <c r="AU415" s="222" t="s">
        <v>819</v>
      </c>
    </row>
    <row r="416" spans="1:47" x14ac:dyDescent="0.25">
      <c r="A416" s="245">
        <f t="shared" si="55"/>
        <v>416</v>
      </c>
      <c r="B416" s="246" t="str">
        <f t="shared" si="48"/>
        <v>Oil Field - Tank</v>
      </c>
      <c r="C416" s="246" t="str">
        <f ca="1">IF(B416="","",VLOOKUP(D416,'Species Data'!B:E,4,FALSE))</f>
        <v>ethyl_benz</v>
      </c>
      <c r="D416" s="246">
        <f t="shared" ca="1" si="49"/>
        <v>449</v>
      </c>
      <c r="E416" s="246">
        <f t="shared" ca="1" si="50"/>
        <v>0.1134</v>
      </c>
      <c r="F416" s="246" t="str">
        <f t="shared" ca="1" si="51"/>
        <v>Ethylbenzene</v>
      </c>
      <c r="G416" s="246">
        <f t="shared" ca="1" si="52"/>
        <v>106.16500000000001</v>
      </c>
      <c r="H416" s="204">
        <f ca="1">IF(G416="","",IF(VLOOKUP(Tank!F416,'Species Data'!D:F,3,FALSE)=0,"X",IF(G416&lt;44.1,2,1)))</f>
        <v>1</v>
      </c>
      <c r="I416" s="204">
        <f t="shared" ca="1" si="53"/>
        <v>0.12062115796311647</v>
      </c>
      <c r="J416" s="247">
        <f ca="1">IF(I416="","",IF(COUNTIF($D$12:D416,D416)=1,IF(H416=1,I416*H416,IF(H416="X","X",0)),0))</f>
        <v>0</v>
      </c>
      <c r="K416" s="248">
        <f t="shared" ca="1" si="54"/>
        <v>0</v>
      </c>
      <c r="L416" s="212" t="s">
        <v>679</v>
      </c>
      <c r="M416" s="212" t="s">
        <v>448</v>
      </c>
      <c r="N416" s="212" t="s">
        <v>470</v>
      </c>
      <c r="O416" s="213">
        <v>41419</v>
      </c>
      <c r="P416" s="212" t="s">
        <v>684</v>
      </c>
      <c r="Q416" s="214">
        <v>100</v>
      </c>
      <c r="R416" s="212" t="s">
        <v>445</v>
      </c>
      <c r="S416" s="212" t="s">
        <v>532</v>
      </c>
      <c r="T416" s="212" t="s">
        <v>445</v>
      </c>
      <c r="U416" s="212" t="s">
        <v>446</v>
      </c>
      <c r="V416" s="214" t="b">
        <v>1</v>
      </c>
      <c r="W416" s="214">
        <v>1989</v>
      </c>
      <c r="X416" s="214">
        <v>5</v>
      </c>
      <c r="Y416" s="214">
        <v>2</v>
      </c>
      <c r="Z416" s="214">
        <v>4</v>
      </c>
      <c r="AA416" s="212" t="s">
        <v>447</v>
      </c>
      <c r="AB416" s="212" t="s">
        <v>531</v>
      </c>
      <c r="AC416" s="212" t="s">
        <v>533</v>
      </c>
      <c r="AD416" s="214">
        <v>1.4879579999999999</v>
      </c>
      <c r="AE416" s="214">
        <v>449</v>
      </c>
      <c r="AF416" s="214">
        <v>0.1134</v>
      </c>
      <c r="AG416" s="214">
        <v>-99</v>
      </c>
      <c r="AH416" s="212" t="s">
        <v>224</v>
      </c>
      <c r="AI416" s="212" t="s">
        <v>449</v>
      </c>
      <c r="AJ416" s="212" t="s">
        <v>337</v>
      </c>
      <c r="AK416" s="212" t="s">
        <v>531</v>
      </c>
      <c r="AL416" s="212" t="s">
        <v>394</v>
      </c>
      <c r="AM416" s="214" t="b">
        <v>1</v>
      </c>
      <c r="AN416" s="214" t="b">
        <v>1</v>
      </c>
      <c r="AO416" s="212" t="s">
        <v>338</v>
      </c>
      <c r="AP416" s="212" t="s">
        <v>339</v>
      </c>
      <c r="AQ416" s="214">
        <v>106.16500000000001</v>
      </c>
      <c r="AR416" s="214" t="b">
        <v>0</v>
      </c>
      <c r="AS416" s="212" t="s">
        <v>534</v>
      </c>
      <c r="AU416" s="222" t="s">
        <v>819</v>
      </c>
    </row>
    <row r="417" spans="1:47" x14ac:dyDescent="0.25">
      <c r="A417" s="245">
        <f t="shared" si="55"/>
        <v>417</v>
      </c>
      <c r="B417" s="246" t="str">
        <f t="shared" si="48"/>
        <v>Oil Field - Tank</v>
      </c>
      <c r="C417" s="246" t="str">
        <f ca="1">IF(B417="","",VLOOKUP(D417,'Species Data'!B:E,4,FALSE))</f>
        <v>isobut</v>
      </c>
      <c r="D417" s="246">
        <f t="shared" ca="1" si="49"/>
        <v>491</v>
      </c>
      <c r="E417" s="246">
        <f t="shared" ca="1" si="50"/>
        <v>6.0712000000000002</v>
      </c>
      <c r="F417" s="246" t="str">
        <f t="shared" ca="1" si="51"/>
        <v>Isobutane</v>
      </c>
      <c r="G417" s="246">
        <f t="shared" ca="1" si="52"/>
        <v>58.122199999999992</v>
      </c>
      <c r="H417" s="204">
        <f ca="1">IF(G417="","",IF(VLOOKUP(Tank!F417,'Species Data'!D:F,3,FALSE)=0,"X",IF(G417&lt;44.1,2,1)))</f>
        <v>1</v>
      </c>
      <c r="I417" s="204">
        <f t="shared" ca="1" si="53"/>
        <v>3.2562712602040991</v>
      </c>
      <c r="J417" s="247">
        <f ca="1">IF(I417="","",IF(COUNTIF($D$12:D417,D417)=1,IF(H417=1,I417*H417,IF(H417="X","X",0)),0))</f>
        <v>0</v>
      </c>
      <c r="K417" s="248">
        <f t="shared" ca="1" si="54"/>
        <v>0</v>
      </c>
      <c r="L417" s="212" t="s">
        <v>679</v>
      </c>
      <c r="M417" s="212" t="s">
        <v>448</v>
      </c>
      <c r="N417" s="212" t="s">
        <v>470</v>
      </c>
      <c r="O417" s="213">
        <v>41419</v>
      </c>
      <c r="P417" s="212" t="s">
        <v>684</v>
      </c>
      <c r="Q417" s="214">
        <v>100</v>
      </c>
      <c r="R417" s="212" t="s">
        <v>445</v>
      </c>
      <c r="S417" s="212" t="s">
        <v>532</v>
      </c>
      <c r="T417" s="212" t="s">
        <v>445</v>
      </c>
      <c r="U417" s="212" t="s">
        <v>446</v>
      </c>
      <c r="V417" s="214" t="b">
        <v>1</v>
      </c>
      <c r="W417" s="214">
        <v>1989</v>
      </c>
      <c r="X417" s="214">
        <v>5</v>
      </c>
      <c r="Y417" s="214">
        <v>2</v>
      </c>
      <c r="Z417" s="214">
        <v>4</v>
      </c>
      <c r="AA417" s="212" t="s">
        <v>447</v>
      </c>
      <c r="AB417" s="212" t="s">
        <v>531</v>
      </c>
      <c r="AC417" s="212" t="s">
        <v>533</v>
      </c>
      <c r="AD417" s="214">
        <v>1.4879579999999999</v>
      </c>
      <c r="AE417" s="214">
        <v>491</v>
      </c>
      <c r="AF417" s="214">
        <v>6.0712000000000002</v>
      </c>
      <c r="AG417" s="214">
        <v>-99</v>
      </c>
      <c r="AH417" s="212" t="s">
        <v>224</v>
      </c>
      <c r="AI417" s="212" t="s">
        <v>449</v>
      </c>
      <c r="AJ417" s="212" t="s">
        <v>268</v>
      </c>
      <c r="AK417" s="212" t="s">
        <v>531</v>
      </c>
      <c r="AL417" s="212" t="s">
        <v>375</v>
      </c>
      <c r="AM417" s="214" t="b">
        <v>1</v>
      </c>
      <c r="AN417" s="214" t="b">
        <v>0</v>
      </c>
      <c r="AO417" s="212" t="s">
        <v>269</v>
      </c>
      <c r="AP417" s="212" t="s">
        <v>270</v>
      </c>
      <c r="AQ417" s="214">
        <v>58.122199999999992</v>
      </c>
      <c r="AR417" s="214" t="b">
        <v>0</v>
      </c>
      <c r="AS417" s="212" t="s">
        <v>534</v>
      </c>
      <c r="AU417" s="222" t="s">
        <v>819</v>
      </c>
    </row>
    <row r="418" spans="1:47" x14ac:dyDescent="0.25">
      <c r="A418" s="245">
        <f t="shared" si="55"/>
        <v>418</v>
      </c>
      <c r="B418" s="246" t="str">
        <f t="shared" si="48"/>
        <v>Oil Field - Tank</v>
      </c>
      <c r="C418" s="246" t="str">
        <f ca="1">IF(B418="","",VLOOKUP(D418,'Species Data'!B:E,4,FALSE))</f>
        <v>isopentane</v>
      </c>
      <c r="D418" s="246">
        <f t="shared" ca="1" si="49"/>
        <v>508</v>
      </c>
      <c r="E418" s="246">
        <f t="shared" ca="1" si="50"/>
        <v>5.8606999999999996</v>
      </c>
      <c r="F418" s="246" t="str">
        <f t="shared" ca="1" si="51"/>
        <v>Isopentane (2-Methylbutane)</v>
      </c>
      <c r="G418" s="246">
        <f t="shared" ca="1" si="52"/>
        <v>72.148780000000002</v>
      </c>
      <c r="H418" s="204">
        <f ca="1">IF(G418="","",IF(VLOOKUP(Tank!F418,'Species Data'!D:F,3,FALSE)=0,"X",IF(G418&lt;44.1,2,1)))</f>
        <v>1</v>
      </c>
      <c r="I418" s="204">
        <f t="shared" ca="1" si="53"/>
        <v>3.397999287459827</v>
      </c>
      <c r="J418" s="247">
        <f ca="1">IF(I418="","",IF(COUNTIF($D$12:D418,D418)=1,IF(H418=1,I418*H418,IF(H418="X","X",0)),0))</f>
        <v>0</v>
      </c>
      <c r="K418" s="248">
        <f t="shared" ca="1" si="54"/>
        <v>0</v>
      </c>
      <c r="L418" s="212" t="s">
        <v>679</v>
      </c>
      <c r="M418" s="212" t="s">
        <v>448</v>
      </c>
      <c r="N418" s="212" t="s">
        <v>470</v>
      </c>
      <c r="O418" s="213">
        <v>41419</v>
      </c>
      <c r="P418" s="212" t="s">
        <v>684</v>
      </c>
      <c r="Q418" s="214">
        <v>100</v>
      </c>
      <c r="R418" s="212" t="s">
        <v>445</v>
      </c>
      <c r="S418" s="212" t="s">
        <v>532</v>
      </c>
      <c r="T418" s="212" t="s">
        <v>445</v>
      </c>
      <c r="U418" s="212" t="s">
        <v>446</v>
      </c>
      <c r="V418" s="214" t="b">
        <v>1</v>
      </c>
      <c r="W418" s="214">
        <v>1989</v>
      </c>
      <c r="X418" s="214">
        <v>5</v>
      </c>
      <c r="Y418" s="214">
        <v>2</v>
      </c>
      <c r="Z418" s="214">
        <v>4</v>
      </c>
      <c r="AA418" s="212" t="s">
        <v>447</v>
      </c>
      <c r="AB418" s="212" t="s">
        <v>531</v>
      </c>
      <c r="AC418" s="212" t="s">
        <v>533</v>
      </c>
      <c r="AD418" s="214">
        <v>1.4879579999999999</v>
      </c>
      <c r="AE418" s="214">
        <v>508</v>
      </c>
      <c r="AF418" s="214">
        <v>5.8606999999999996</v>
      </c>
      <c r="AG418" s="214">
        <v>-99</v>
      </c>
      <c r="AH418" s="212" t="s">
        <v>224</v>
      </c>
      <c r="AI418" s="212" t="s">
        <v>449</v>
      </c>
      <c r="AJ418" s="212" t="s">
        <v>342</v>
      </c>
      <c r="AK418" s="212" t="s">
        <v>531</v>
      </c>
      <c r="AL418" s="212" t="s">
        <v>395</v>
      </c>
      <c r="AM418" s="214" t="b">
        <v>1</v>
      </c>
      <c r="AN418" s="214" t="b">
        <v>0</v>
      </c>
      <c r="AO418" s="212" t="s">
        <v>343</v>
      </c>
      <c r="AP418" s="212" t="s">
        <v>344</v>
      </c>
      <c r="AQ418" s="214">
        <v>72.148780000000002</v>
      </c>
      <c r="AR418" s="214" t="b">
        <v>0</v>
      </c>
      <c r="AS418" s="212" t="s">
        <v>534</v>
      </c>
      <c r="AU418" s="222" t="s">
        <v>819</v>
      </c>
    </row>
    <row r="419" spans="1:47" x14ac:dyDescent="0.25">
      <c r="A419" s="245">
        <f t="shared" si="55"/>
        <v>419</v>
      </c>
      <c r="B419" s="246" t="str">
        <f t="shared" si="48"/>
        <v>Oil Field - Tank</v>
      </c>
      <c r="C419" s="246" t="str">
        <f ca="1">IF(B419="","",VLOOKUP(D419,'Species Data'!B:E,4,FALSE))</f>
        <v>isopben</v>
      </c>
      <c r="D419" s="246">
        <f t="shared" ca="1" si="49"/>
        <v>514</v>
      </c>
      <c r="E419" s="246">
        <f t="shared" ca="1" si="50"/>
        <v>7.7999999999999996E-3</v>
      </c>
      <c r="F419" s="246" t="str">
        <f t="shared" ca="1" si="51"/>
        <v>Isopropylbenzene (cumene)</v>
      </c>
      <c r="G419" s="246">
        <f t="shared" ca="1" si="52"/>
        <v>120.19158</v>
      </c>
      <c r="H419" s="204">
        <f ca="1">IF(G419="","",IF(VLOOKUP(Tank!F419,'Species Data'!D:F,3,FALSE)=0,"X",IF(G419&lt;44.1,2,1)))</f>
        <v>1</v>
      </c>
      <c r="I419" s="204">
        <f t="shared" ca="1" si="53"/>
        <v>4.0067051310359253E-3</v>
      </c>
      <c r="J419" s="247">
        <f ca="1">IF(I419="","",IF(COUNTIF($D$12:D419,D419)=1,IF(H419=1,I419*H419,IF(H419="X","X",0)),0))</f>
        <v>0</v>
      </c>
      <c r="K419" s="248">
        <f t="shared" ca="1" si="54"/>
        <v>0</v>
      </c>
      <c r="L419" s="212" t="s">
        <v>679</v>
      </c>
      <c r="M419" s="212" t="s">
        <v>448</v>
      </c>
      <c r="N419" s="212" t="s">
        <v>470</v>
      </c>
      <c r="O419" s="213">
        <v>41419</v>
      </c>
      <c r="P419" s="212" t="s">
        <v>684</v>
      </c>
      <c r="Q419" s="214">
        <v>100</v>
      </c>
      <c r="R419" s="212" t="s">
        <v>445</v>
      </c>
      <c r="S419" s="212" t="s">
        <v>532</v>
      </c>
      <c r="T419" s="212" t="s">
        <v>445</v>
      </c>
      <c r="U419" s="212" t="s">
        <v>446</v>
      </c>
      <c r="V419" s="214" t="b">
        <v>1</v>
      </c>
      <c r="W419" s="214">
        <v>1989</v>
      </c>
      <c r="X419" s="214">
        <v>5</v>
      </c>
      <c r="Y419" s="214">
        <v>2</v>
      </c>
      <c r="Z419" s="214">
        <v>4</v>
      </c>
      <c r="AA419" s="212" t="s">
        <v>447</v>
      </c>
      <c r="AB419" s="212" t="s">
        <v>531</v>
      </c>
      <c r="AC419" s="212" t="s">
        <v>533</v>
      </c>
      <c r="AD419" s="214">
        <v>1.4879579999999999</v>
      </c>
      <c r="AE419" s="214">
        <v>514</v>
      </c>
      <c r="AF419" s="214">
        <v>7.7999999999999996E-3</v>
      </c>
      <c r="AG419" s="214">
        <v>-99</v>
      </c>
      <c r="AH419" s="212" t="s">
        <v>224</v>
      </c>
      <c r="AI419" s="212" t="s">
        <v>449</v>
      </c>
      <c r="AJ419" s="212" t="s">
        <v>362</v>
      </c>
      <c r="AK419" s="212" t="s">
        <v>531</v>
      </c>
      <c r="AL419" s="212" t="s">
        <v>399</v>
      </c>
      <c r="AM419" s="214" t="b">
        <v>1</v>
      </c>
      <c r="AN419" s="214" t="b">
        <v>1</v>
      </c>
      <c r="AO419" s="212" t="s">
        <v>363</v>
      </c>
      <c r="AP419" s="212" t="s">
        <v>364</v>
      </c>
      <c r="AQ419" s="214">
        <v>120.19158</v>
      </c>
      <c r="AR419" s="214" t="b">
        <v>0</v>
      </c>
      <c r="AS419" s="212" t="s">
        <v>534</v>
      </c>
      <c r="AU419" s="222" t="s">
        <v>819</v>
      </c>
    </row>
    <row r="420" spans="1:47" x14ac:dyDescent="0.25">
      <c r="A420" s="245">
        <f t="shared" si="55"/>
        <v>420</v>
      </c>
      <c r="B420" s="246" t="str">
        <f t="shared" si="48"/>
        <v>Oil Field - Tank</v>
      </c>
      <c r="C420" s="246" t="str">
        <f ca="1">IF(B420="","",VLOOKUP(D420,'Species Data'!B:E,4,FALSE))</f>
        <v>M_xylene</v>
      </c>
      <c r="D420" s="246">
        <f t="shared" ca="1" si="49"/>
        <v>524</v>
      </c>
      <c r="E420" s="246">
        <f t="shared" ca="1" si="50"/>
        <v>9.5000000000000001E-2</v>
      </c>
      <c r="F420" s="246" t="str">
        <f t="shared" ca="1" si="51"/>
        <v>M-xylene</v>
      </c>
      <c r="G420" s="246">
        <f t="shared" ca="1" si="52"/>
        <v>106.16500000000001</v>
      </c>
      <c r="H420" s="204">
        <f ca="1">IF(G420="","",IF(VLOOKUP(Tank!F420,'Species Data'!D:F,3,FALSE)=0,"X",IF(G420&lt;44.1,2,1)))</f>
        <v>1</v>
      </c>
      <c r="I420" s="204">
        <f t="shared" ca="1" si="53"/>
        <v>7.6727403249737883E-2</v>
      </c>
      <c r="J420" s="247">
        <f ca="1">IF(I420="","",IF(COUNTIF($D$12:D420,D420)=1,IF(H420=1,I420*H420,IF(H420="X","X",0)),0))</f>
        <v>0</v>
      </c>
      <c r="K420" s="248">
        <f t="shared" ca="1" si="54"/>
        <v>0</v>
      </c>
      <c r="L420" s="212" t="s">
        <v>679</v>
      </c>
      <c r="M420" s="212" t="s">
        <v>448</v>
      </c>
      <c r="N420" s="212" t="s">
        <v>470</v>
      </c>
      <c r="O420" s="213">
        <v>41419</v>
      </c>
      <c r="P420" s="212" t="s">
        <v>684</v>
      </c>
      <c r="Q420" s="214">
        <v>100</v>
      </c>
      <c r="R420" s="212" t="s">
        <v>445</v>
      </c>
      <c r="S420" s="212" t="s">
        <v>532</v>
      </c>
      <c r="T420" s="212" t="s">
        <v>445</v>
      </c>
      <c r="U420" s="212" t="s">
        <v>446</v>
      </c>
      <c r="V420" s="214" t="b">
        <v>1</v>
      </c>
      <c r="W420" s="214">
        <v>1989</v>
      </c>
      <c r="X420" s="214">
        <v>5</v>
      </c>
      <c r="Y420" s="214">
        <v>2</v>
      </c>
      <c r="Z420" s="214">
        <v>4</v>
      </c>
      <c r="AA420" s="212" t="s">
        <v>447</v>
      </c>
      <c r="AB420" s="212" t="s">
        <v>531</v>
      </c>
      <c r="AC420" s="212" t="s">
        <v>533</v>
      </c>
      <c r="AD420" s="214">
        <v>1.4879579999999999</v>
      </c>
      <c r="AE420" s="214">
        <v>524</v>
      </c>
      <c r="AF420" s="214">
        <v>9.5000000000000001E-2</v>
      </c>
      <c r="AG420" s="214">
        <v>-99</v>
      </c>
      <c r="AH420" s="212" t="s">
        <v>224</v>
      </c>
      <c r="AI420" s="212" t="s">
        <v>449</v>
      </c>
      <c r="AJ420" s="212" t="s">
        <v>436</v>
      </c>
      <c r="AK420" s="212" t="s">
        <v>531</v>
      </c>
      <c r="AL420" s="212" t="s">
        <v>460</v>
      </c>
      <c r="AM420" s="214" t="b">
        <v>0</v>
      </c>
      <c r="AN420" s="214" t="b">
        <v>1</v>
      </c>
      <c r="AO420" s="212" t="s">
        <v>437</v>
      </c>
      <c r="AP420" s="212" t="s">
        <v>438</v>
      </c>
      <c r="AQ420" s="214">
        <v>106.16500000000001</v>
      </c>
      <c r="AR420" s="214" t="b">
        <v>0</v>
      </c>
      <c r="AS420" s="212" t="s">
        <v>534</v>
      </c>
      <c r="AU420" s="222" t="s">
        <v>819</v>
      </c>
    </row>
    <row r="421" spans="1:47" x14ac:dyDescent="0.25">
      <c r="A421" s="245">
        <f t="shared" si="55"/>
        <v>421</v>
      </c>
      <c r="B421" s="246" t="str">
        <f t="shared" si="48"/>
        <v>Oil Field - Tank</v>
      </c>
      <c r="C421" s="246" t="str">
        <f ca="1">IF(B421="","",VLOOKUP(D421,'Species Data'!B:E,4,FALSE))</f>
        <v>methane</v>
      </c>
      <c r="D421" s="246">
        <f t="shared" ca="1" si="49"/>
        <v>529</v>
      </c>
      <c r="E421" s="246">
        <f t="shared" ca="1" si="50"/>
        <v>26.3353</v>
      </c>
      <c r="F421" s="246" t="str">
        <f t="shared" ca="1" si="51"/>
        <v>Methane</v>
      </c>
      <c r="G421" s="246">
        <f t="shared" ca="1" si="52"/>
        <v>16.042459999999998</v>
      </c>
      <c r="H421" s="204">
        <f ca="1">IF(G421="","",IF(VLOOKUP(Tank!F421,'Species Data'!D:F,3,FALSE)=0,"X",IF(G421&lt;44.1,2,1)))</f>
        <v>2</v>
      </c>
      <c r="I421" s="204">
        <f t="shared" ca="1" si="53"/>
        <v>44.518760713436194</v>
      </c>
      <c r="J421" s="247">
        <f ca="1">IF(I421="","",IF(COUNTIF($D$12:D421,D421)=1,IF(H421=1,I421*H421,IF(H421="X","X",0)),0))</f>
        <v>0</v>
      </c>
      <c r="K421" s="248">
        <f t="shared" ca="1" si="54"/>
        <v>0</v>
      </c>
      <c r="L421" s="212" t="s">
        <v>679</v>
      </c>
      <c r="M421" s="212" t="s">
        <v>448</v>
      </c>
      <c r="N421" s="212" t="s">
        <v>470</v>
      </c>
      <c r="O421" s="213">
        <v>41419</v>
      </c>
      <c r="P421" s="212" t="s">
        <v>684</v>
      </c>
      <c r="Q421" s="214">
        <v>100</v>
      </c>
      <c r="R421" s="212" t="s">
        <v>445</v>
      </c>
      <c r="S421" s="212" t="s">
        <v>532</v>
      </c>
      <c r="T421" s="212" t="s">
        <v>445</v>
      </c>
      <c r="U421" s="212" t="s">
        <v>446</v>
      </c>
      <c r="V421" s="214" t="b">
        <v>1</v>
      </c>
      <c r="W421" s="214">
        <v>1989</v>
      </c>
      <c r="X421" s="214">
        <v>5</v>
      </c>
      <c r="Y421" s="214">
        <v>2</v>
      </c>
      <c r="Z421" s="214">
        <v>4</v>
      </c>
      <c r="AA421" s="212" t="s">
        <v>447</v>
      </c>
      <c r="AB421" s="212" t="s">
        <v>531</v>
      </c>
      <c r="AC421" s="212" t="s">
        <v>533</v>
      </c>
      <c r="AD421" s="214">
        <v>1.4879579999999999</v>
      </c>
      <c r="AE421" s="214">
        <v>529</v>
      </c>
      <c r="AF421" s="214">
        <v>26.3353</v>
      </c>
      <c r="AG421" s="214">
        <v>-99</v>
      </c>
      <c r="AH421" s="212" t="s">
        <v>224</v>
      </c>
      <c r="AI421" s="212" t="s">
        <v>449</v>
      </c>
      <c r="AJ421" s="212" t="s">
        <v>271</v>
      </c>
      <c r="AK421" s="212" t="s">
        <v>531</v>
      </c>
      <c r="AL421" s="212" t="s">
        <v>376</v>
      </c>
      <c r="AM421" s="214" t="b">
        <v>0</v>
      </c>
      <c r="AN421" s="214" t="b">
        <v>0</v>
      </c>
      <c r="AO421" s="212" t="s">
        <v>272</v>
      </c>
      <c r="AP421" s="212" t="s">
        <v>531</v>
      </c>
      <c r="AQ421" s="214">
        <v>16.042459999999998</v>
      </c>
      <c r="AR421" s="214" t="b">
        <v>1</v>
      </c>
      <c r="AS421" s="212" t="s">
        <v>534</v>
      </c>
      <c r="AU421" s="222" t="s">
        <v>819</v>
      </c>
    </row>
    <row r="422" spans="1:47" x14ac:dyDescent="0.25">
      <c r="A422" s="245">
        <f t="shared" si="55"/>
        <v>422</v>
      </c>
      <c r="B422" s="246" t="str">
        <f t="shared" si="48"/>
        <v>Oil Field - Tank</v>
      </c>
      <c r="C422" s="246" t="str">
        <f ca="1">IF(B422="","",VLOOKUP(D422,'Species Data'!B:E,4,FALSE))</f>
        <v>methcychex</v>
      </c>
      <c r="D422" s="246">
        <f t="shared" ca="1" si="49"/>
        <v>550</v>
      </c>
      <c r="E422" s="246">
        <f t="shared" ca="1" si="50"/>
        <v>0.8599</v>
      </c>
      <c r="F422" s="246" t="str">
        <f t="shared" ca="1" si="51"/>
        <v>Methylcyclohexane</v>
      </c>
      <c r="G422" s="246">
        <f t="shared" ca="1" si="52"/>
        <v>98.186059999999998</v>
      </c>
      <c r="H422" s="204">
        <f ca="1">IF(G422="","",IF(VLOOKUP(Tank!F422,'Species Data'!D:F,3,FALSE)=0,"X",IF(G422&lt;44.1,2,1)))</f>
        <v>1</v>
      </c>
      <c r="I422" s="204">
        <f t="shared" ca="1" si="53"/>
        <v>0.52063166473064815</v>
      </c>
      <c r="J422" s="247">
        <f ca="1">IF(I422="","",IF(COUNTIF($D$12:D422,D422)=1,IF(H422=1,I422*H422,IF(H422="X","X",0)),0))</f>
        <v>0</v>
      </c>
      <c r="K422" s="248">
        <f t="shared" ca="1" si="54"/>
        <v>0</v>
      </c>
      <c r="L422" s="212" t="s">
        <v>679</v>
      </c>
      <c r="M422" s="212" t="s">
        <v>448</v>
      </c>
      <c r="N422" s="212" t="s">
        <v>470</v>
      </c>
      <c r="O422" s="213">
        <v>41419</v>
      </c>
      <c r="P422" s="212" t="s">
        <v>684</v>
      </c>
      <c r="Q422" s="214">
        <v>100</v>
      </c>
      <c r="R422" s="212" t="s">
        <v>445</v>
      </c>
      <c r="S422" s="212" t="s">
        <v>532</v>
      </c>
      <c r="T422" s="212" t="s">
        <v>445</v>
      </c>
      <c r="U422" s="212" t="s">
        <v>446</v>
      </c>
      <c r="V422" s="214" t="b">
        <v>1</v>
      </c>
      <c r="W422" s="214">
        <v>1989</v>
      </c>
      <c r="X422" s="214">
        <v>5</v>
      </c>
      <c r="Y422" s="214">
        <v>2</v>
      </c>
      <c r="Z422" s="214">
        <v>4</v>
      </c>
      <c r="AA422" s="212" t="s">
        <v>447</v>
      </c>
      <c r="AB422" s="212" t="s">
        <v>531</v>
      </c>
      <c r="AC422" s="212" t="s">
        <v>533</v>
      </c>
      <c r="AD422" s="214">
        <v>1.4879579999999999</v>
      </c>
      <c r="AE422" s="214">
        <v>550</v>
      </c>
      <c r="AF422" s="214">
        <v>0.8599</v>
      </c>
      <c r="AG422" s="214">
        <v>-99</v>
      </c>
      <c r="AH422" s="212" t="s">
        <v>224</v>
      </c>
      <c r="AI422" s="212" t="s">
        <v>449</v>
      </c>
      <c r="AJ422" s="212" t="s">
        <v>348</v>
      </c>
      <c r="AK422" s="212" t="s">
        <v>531</v>
      </c>
      <c r="AL422" s="212" t="s">
        <v>396</v>
      </c>
      <c r="AM422" s="214" t="b">
        <v>1</v>
      </c>
      <c r="AN422" s="214" t="b">
        <v>0</v>
      </c>
      <c r="AO422" s="212" t="s">
        <v>349</v>
      </c>
      <c r="AP422" s="212" t="s">
        <v>350</v>
      </c>
      <c r="AQ422" s="214">
        <v>98.186059999999998</v>
      </c>
      <c r="AR422" s="214" t="b">
        <v>0</v>
      </c>
      <c r="AS422" s="212" t="s">
        <v>534</v>
      </c>
      <c r="AU422" s="222" t="s">
        <v>819</v>
      </c>
    </row>
    <row r="423" spans="1:47" x14ac:dyDescent="0.25">
      <c r="A423" s="245">
        <f t="shared" si="55"/>
        <v>423</v>
      </c>
      <c r="B423" s="246" t="str">
        <f t="shared" si="48"/>
        <v>Oil Field - Tank</v>
      </c>
      <c r="C423" s="246" t="str">
        <f ca="1">IF(B423="","",VLOOKUP(D423,'Species Data'!B:E,4,FALSE))</f>
        <v>methcycpen</v>
      </c>
      <c r="D423" s="246">
        <f t="shared" ca="1" si="49"/>
        <v>551</v>
      </c>
      <c r="E423" s="246">
        <f t="shared" ca="1" si="50"/>
        <v>1.9954000000000001</v>
      </c>
      <c r="F423" s="246" t="str">
        <f t="shared" ca="1" si="51"/>
        <v>Methylcyclopentane</v>
      </c>
      <c r="G423" s="246">
        <f t="shared" ca="1" si="52"/>
        <v>84.159480000000002</v>
      </c>
      <c r="H423" s="204">
        <f ca="1">IF(G423="","",IF(VLOOKUP(Tank!F423,'Species Data'!D:F,3,FALSE)=0,"X",IF(G423&lt;44.1,2,1)))</f>
        <v>1</v>
      </c>
      <c r="I423" s="204">
        <f t="shared" ca="1" si="53"/>
        <v>1.4788275300776224</v>
      </c>
      <c r="J423" s="247">
        <f ca="1">IF(I423="","",IF(COUNTIF($D$12:D423,D423)=1,IF(H423=1,I423*H423,IF(H423="X","X",0)),0))</f>
        <v>0</v>
      </c>
      <c r="K423" s="248">
        <f t="shared" ca="1" si="54"/>
        <v>0</v>
      </c>
      <c r="L423" s="212" t="s">
        <v>679</v>
      </c>
      <c r="M423" s="212" t="s">
        <v>448</v>
      </c>
      <c r="N423" s="212" t="s">
        <v>470</v>
      </c>
      <c r="O423" s="213">
        <v>41419</v>
      </c>
      <c r="P423" s="212" t="s">
        <v>684</v>
      </c>
      <c r="Q423" s="214">
        <v>100</v>
      </c>
      <c r="R423" s="212" t="s">
        <v>445</v>
      </c>
      <c r="S423" s="212" t="s">
        <v>532</v>
      </c>
      <c r="T423" s="212" t="s">
        <v>445</v>
      </c>
      <c r="U423" s="212" t="s">
        <v>446</v>
      </c>
      <c r="V423" s="214" t="b">
        <v>1</v>
      </c>
      <c r="W423" s="214">
        <v>1989</v>
      </c>
      <c r="X423" s="214">
        <v>5</v>
      </c>
      <c r="Y423" s="214">
        <v>2</v>
      </c>
      <c r="Z423" s="214">
        <v>4</v>
      </c>
      <c r="AA423" s="212" t="s">
        <v>447</v>
      </c>
      <c r="AB423" s="212" t="s">
        <v>531</v>
      </c>
      <c r="AC423" s="212" t="s">
        <v>533</v>
      </c>
      <c r="AD423" s="214">
        <v>1.4879579999999999</v>
      </c>
      <c r="AE423" s="214">
        <v>551</v>
      </c>
      <c r="AF423" s="214">
        <v>1.9954000000000001</v>
      </c>
      <c r="AG423" s="214">
        <v>-99</v>
      </c>
      <c r="AH423" s="212" t="s">
        <v>224</v>
      </c>
      <c r="AI423" s="212" t="s">
        <v>449</v>
      </c>
      <c r="AJ423" s="212" t="s">
        <v>351</v>
      </c>
      <c r="AK423" s="212" t="s">
        <v>531</v>
      </c>
      <c r="AL423" s="212" t="s">
        <v>397</v>
      </c>
      <c r="AM423" s="214" t="b">
        <v>1</v>
      </c>
      <c r="AN423" s="214" t="b">
        <v>0</v>
      </c>
      <c r="AO423" s="212" t="s">
        <v>352</v>
      </c>
      <c r="AP423" s="212" t="s">
        <v>353</v>
      </c>
      <c r="AQ423" s="214">
        <v>84.159480000000002</v>
      </c>
      <c r="AR423" s="214" t="b">
        <v>0</v>
      </c>
      <c r="AS423" s="212" t="s">
        <v>534</v>
      </c>
      <c r="AU423" s="222" t="s">
        <v>819</v>
      </c>
    </row>
    <row r="424" spans="1:47" x14ac:dyDescent="0.25">
      <c r="A424" s="245">
        <f t="shared" si="55"/>
        <v>424</v>
      </c>
      <c r="B424" s="246" t="str">
        <f t="shared" si="48"/>
        <v>Oil Field - Tank</v>
      </c>
      <c r="C424" s="246" t="str">
        <f ca="1">IF(B424="","",VLOOKUP(D424,'Species Data'!B:E,4,FALSE))</f>
        <v>N_but</v>
      </c>
      <c r="D424" s="246">
        <f t="shared" ca="1" si="49"/>
        <v>592</v>
      </c>
      <c r="E424" s="246">
        <f t="shared" ca="1" si="50"/>
        <v>14.4739</v>
      </c>
      <c r="F424" s="246" t="str">
        <f t="shared" ca="1" si="51"/>
        <v>N-butane</v>
      </c>
      <c r="G424" s="246">
        <f t="shared" ca="1" si="52"/>
        <v>58.122199999999992</v>
      </c>
      <c r="H424" s="204">
        <f ca="1">IF(G424="","",IF(VLOOKUP(Tank!F424,'Species Data'!D:F,3,FALSE)=0,"X",IF(G424&lt;44.1,2,1)))</f>
        <v>1</v>
      </c>
      <c r="I424" s="204">
        <f t="shared" ca="1" si="53"/>
        <v>8.8589583793337763</v>
      </c>
      <c r="J424" s="247">
        <f ca="1">IF(I424="","",IF(COUNTIF($D$12:D424,D424)=1,IF(H424=1,I424*H424,IF(H424="X","X",0)),0))</f>
        <v>0</v>
      </c>
      <c r="K424" s="248">
        <f t="shared" ca="1" si="54"/>
        <v>0</v>
      </c>
      <c r="L424" s="212" t="s">
        <v>679</v>
      </c>
      <c r="M424" s="212" t="s">
        <v>448</v>
      </c>
      <c r="N424" s="212" t="s">
        <v>470</v>
      </c>
      <c r="O424" s="213">
        <v>41419</v>
      </c>
      <c r="P424" s="212" t="s">
        <v>684</v>
      </c>
      <c r="Q424" s="214">
        <v>100</v>
      </c>
      <c r="R424" s="212" t="s">
        <v>445</v>
      </c>
      <c r="S424" s="212" t="s">
        <v>532</v>
      </c>
      <c r="T424" s="212" t="s">
        <v>445</v>
      </c>
      <c r="U424" s="212" t="s">
        <v>446</v>
      </c>
      <c r="V424" s="214" t="b">
        <v>1</v>
      </c>
      <c r="W424" s="214">
        <v>1989</v>
      </c>
      <c r="X424" s="214">
        <v>5</v>
      </c>
      <c r="Y424" s="214">
        <v>2</v>
      </c>
      <c r="Z424" s="214">
        <v>4</v>
      </c>
      <c r="AA424" s="212" t="s">
        <v>447</v>
      </c>
      <c r="AB424" s="212" t="s">
        <v>531</v>
      </c>
      <c r="AC424" s="212" t="s">
        <v>533</v>
      </c>
      <c r="AD424" s="214">
        <v>1.4879579999999999</v>
      </c>
      <c r="AE424" s="214">
        <v>592</v>
      </c>
      <c r="AF424" s="214">
        <v>14.4739</v>
      </c>
      <c r="AG424" s="214">
        <v>-99</v>
      </c>
      <c r="AH424" s="212" t="s">
        <v>224</v>
      </c>
      <c r="AI424" s="212" t="s">
        <v>449</v>
      </c>
      <c r="AJ424" s="212" t="s">
        <v>273</v>
      </c>
      <c r="AK424" s="212" t="s">
        <v>531</v>
      </c>
      <c r="AL424" s="212" t="s">
        <v>377</v>
      </c>
      <c r="AM424" s="214" t="b">
        <v>1</v>
      </c>
      <c r="AN424" s="214" t="b">
        <v>0</v>
      </c>
      <c r="AO424" s="212" t="s">
        <v>274</v>
      </c>
      <c r="AP424" s="212" t="s">
        <v>275</v>
      </c>
      <c r="AQ424" s="214">
        <v>58.122199999999992</v>
      </c>
      <c r="AR424" s="214" t="b">
        <v>0</v>
      </c>
      <c r="AS424" s="212" t="s">
        <v>534</v>
      </c>
      <c r="AU424" s="222" t="s">
        <v>819</v>
      </c>
    </row>
    <row r="425" spans="1:47" x14ac:dyDescent="0.25">
      <c r="A425" s="245">
        <f t="shared" si="55"/>
        <v>425</v>
      </c>
      <c r="B425" s="246" t="str">
        <f t="shared" si="48"/>
        <v>Oil Field - Tank</v>
      </c>
      <c r="C425" s="246" t="str">
        <f ca="1">IF(B425="","",VLOOKUP(D425,'Species Data'!B:E,4,FALSE))</f>
        <v>N_dec</v>
      </c>
      <c r="D425" s="246">
        <f t="shared" ca="1" si="49"/>
        <v>598</v>
      </c>
      <c r="E425" s="246">
        <f t="shared" ca="1" si="50"/>
        <v>1.9599999999999999E-2</v>
      </c>
      <c r="F425" s="246" t="str">
        <f t="shared" ca="1" si="51"/>
        <v>N-decane</v>
      </c>
      <c r="G425" s="246">
        <f t="shared" ca="1" si="52"/>
        <v>142.28167999999999</v>
      </c>
      <c r="H425" s="204">
        <f ca="1">IF(G425="","",IF(VLOOKUP(Tank!F425,'Species Data'!D:F,3,FALSE)=0,"X",IF(G425&lt;44.1,2,1)))</f>
        <v>1</v>
      </c>
      <c r="I425" s="204">
        <f t="shared" ca="1" si="53"/>
        <v>1.7526834924281948E-2</v>
      </c>
      <c r="J425" s="247">
        <f ca="1">IF(I425="","",IF(COUNTIF($D$12:D425,D425)=1,IF(H425=1,I425*H425,IF(H425="X","X",0)),0))</f>
        <v>0</v>
      </c>
      <c r="K425" s="248">
        <f t="shared" ca="1" si="54"/>
        <v>0</v>
      </c>
      <c r="L425" s="212" t="s">
        <v>679</v>
      </c>
      <c r="M425" s="212" t="s">
        <v>448</v>
      </c>
      <c r="N425" s="212" t="s">
        <v>470</v>
      </c>
      <c r="O425" s="213">
        <v>41419</v>
      </c>
      <c r="P425" s="212" t="s">
        <v>684</v>
      </c>
      <c r="Q425" s="214">
        <v>100</v>
      </c>
      <c r="R425" s="212" t="s">
        <v>445</v>
      </c>
      <c r="S425" s="212" t="s">
        <v>532</v>
      </c>
      <c r="T425" s="212" t="s">
        <v>445</v>
      </c>
      <c r="U425" s="212" t="s">
        <v>446</v>
      </c>
      <c r="V425" s="214" t="b">
        <v>1</v>
      </c>
      <c r="W425" s="214">
        <v>1989</v>
      </c>
      <c r="X425" s="214">
        <v>5</v>
      </c>
      <c r="Y425" s="214">
        <v>2</v>
      </c>
      <c r="Z425" s="214">
        <v>4</v>
      </c>
      <c r="AA425" s="212" t="s">
        <v>447</v>
      </c>
      <c r="AB425" s="212" t="s">
        <v>531</v>
      </c>
      <c r="AC425" s="212" t="s">
        <v>533</v>
      </c>
      <c r="AD425" s="214">
        <v>1.4879579999999999</v>
      </c>
      <c r="AE425" s="214">
        <v>598</v>
      </c>
      <c r="AF425" s="214">
        <v>1.9599999999999999E-2</v>
      </c>
      <c r="AG425" s="214">
        <v>-99</v>
      </c>
      <c r="AH425" s="212" t="s">
        <v>224</v>
      </c>
      <c r="AI425" s="212" t="s">
        <v>449</v>
      </c>
      <c r="AJ425" s="212" t="s">
        <v>414</v>
      </c>
      <c r="AK425" s="212" t="s">
        <v>531</v>
      </c>
      <c r="AL425" s="212" t="s">
        <v>452</v>
      </c>
      <c r="AM425" s="214" t="b">
        <v>1</v>
      </c>
      <c r="AN425" s="214" t="b">
        <v>0</v>
      </c>
      <c r="AO425" s="212" t="s">
        <v>415</v>
      </c>
      <c r="AP425" s="212" t="s">
        <v>416</v>
      </c>
      <c r="AQ425" s="214">
        <v>142.28167999999999</v>
      </c>
      <c r="AR425" s="214" t="b">
        <v>0</v>
      </c>
      <c r="AS425" s="212" t="s">
        <v>534</v>
      </c>
      <c r="AU425" s="222" t="s">
        <v>819</v>
      </c>
    </row>
    <row r="426" spans="1:47" x14ac:dyDescent="0.25">
      <c r="A426" s="245">
        <f t="shared" si="55"/>
        <v>426</v>
      </c>
      <c r="B426" s="246" t="str">
        <f t="shared" si="48"/>
        <v>Oil Field - Tank</v>
      </c>
      <c r="C426" s="246" t="str">
        <f ca="1">IF(B426="","",VLOOKUP(D426,'Species Data'!B:E,4,FALSE))</f>
        <v>N_hep</v>
      </c>
      <c r="D426" s="246">
        <f t="shared" ca="1" si="49"/>
        <v>600</v>
      </c>
      <c r="E426" s="246">
        <f t="shared" ca="1" si="50"/>
        <v>0.65400000000000003</v>
      </c>
      <c r="F426" s="246" t="str">
        <f t="shared" ca="1" si="51"/>
        <v>N-heptane</v>
      </c>
      <c r="G426" s="246">
        <f t="shared" ca="1" si="52"/>
        <v>100.20194000000001</v>
      </c>
      <c r="H426" s="204">
        <f ca="1">IF(G426="","",IF(VLOOKUP(Tank!F426,'Species Data'!D:F,3,FALSE)=0,"X",IF(G426&lt;44.1,2,1)))</f>
        <v>1</v>
      </c>
      <c r="I426" s="204">
        <f t="shared" ca="1" si="53"/>
        <v>0.55093195561344066</v>
      </c>
      <c r="J426" s="247">
        <f ca="1">IF(I426="","",IF(COUNTIF($D$12:D426,D426)=1,IF(H426=1,I426*H426,IF(H426="X","X",0)),0))</f>
        <v>0</v>
      </c>
      <c r="K426" s="248">
        <f t="shared" ca="1" si="54"/>
        <v>0</v>
      </c>
      <c r="L426" s="212" t="s">
        <v>679</v>
      </c>
      <c r="M426" s="212" t="s">
        <v>448</v>
      </c>
      <c r="N426" s="212" t="s">
        <v>470</v>
      </c>
      <c r="O426" s="213">
        <v>41419</v>
      </c>
      <c r="P426" s="212" t="s">
        <v>684</v>
      </c>
      <c r="Q426" s="214">
        <v>100</v>
      </c>
      <c r="R426" s="212" t="s">
        <v>445</v>
      </c>
      <c r="S426" s="212" t="s">
        <v>532</v>
      </c>
      <c r="T426" s="212" t="s">
        <v>445</v>
      </c>
      <c r="U426" s="212" t="s">
        <v>446</v>
      </c>
      <c r="V426" s="214" t="b">
        <v>1</v>
      </c>
      <c r="W426" s="214">
        <v>1989</v>
      </c>
      <c r="X426" s="214">
        <v>5</v>
      </c>
      <c r="Y426" s="214">
        <v>2</v>
      </c>
      <c r="Z426" s="214">
        <v>4</v>
      </c>
      <c r="AA426" s="212" t="s">
        <v>447</v>
      </c>
      <c r="AB426" s="212" t="s">
        <v>531</v>
      </c>
      <c r="AC426" s="212" t="s">
        <v>533</v>
      </c>
      <c r="AD426" s="214">
        <v>1.4879579999999999</v>
      </c>
      <c r="AE426" s="214">
        <v>600</v>
      </c>
      <c r="AF426" s="214">
        <v>0.65400000000000003</v>
      </c>
      <c r="AG426" s="214">
        <v>-99</v>
      </c>
      <c r="AH426" s="212" t="s">
        <v>224</v>
      </c>
      <c r="AI426" s="212" t="s">
        <v>449</v>
      </c>
      <c r="AJ426" s="212" t="s">
        <v>276</v>
      </c>
      <c r="AK426" s="212" t="s">
        <v>531</v>
      </c>
      <c r="AL426" s="212" t="s">
        <v>378</v>
      </c>
      <c r="AM426" s="214" t="b">
        <v>1</v>
      </c>
      <c r="AN426" s="214" t="b">
        <v>0</v>
      </c>
      <c r="AO426" s="212" t="s">
        <v>277</v>
      </c>
      <c r="AP426" s="212" t="s">
        <v>278</v>
      </c>
      <c r="AQ426" s="214">
        <v>100.20194000000001</v>
      </c>
      <c r="AR426" s="214" t="b">
        <v>0</v>
      </c>
      <c r="AS426" s="212" t="s">
        <v>534</v>
      </c>
      <c r="AU426" s="222" t="s">
        <v>819</v>
      </c>
    </row>
    <row r="427" spans="1:47" x14ac:dyDescent="0.25">
      <c r="A427" s="245">
        <f t="shared" si="55"/>
        <v>427</v>
      </c>
      <c r="B427" s="246" t="str">
        <f t="shared" si="48"/>
        <v>Oil Field - Tank</v>
      </c>
      <c r="C427" s="246" t="str">
        <f ca="1">IF(B427="","",VLOOKUP(D427,'Species Data'!B:E,4,FALSE))</f>
        <v>N_hex</v>
      </c>
      <c r="D427" s="246">
        <f t="shared" ca="1" si="49"/>
        <v>601</v>
      </c>
      <c r="E427" s="246">
        <f t="shared" ca="1" si="50"/>
        <v>1.5427999999999999</v>
      </c>
      <c r="F427" s="246" t="str">
        <f t="shared" ca="1" si="51"/>
        <v>N-hexane</v>
      </c>
      <c r="G427" s="246">
        <f t="shared" ca="1" si="52"/>
        <v>86.175359999999998</v>
      </c>
      <c r="H427" s="204">
        <f ca="1">IF(G427="","",IF(VLOOKUP(Tank!F427,'Species Data'!D:F,3,FALSE)=0,"X",IF(G427&lt;44.1,2,1)))</f>
        <v>1</v>
      </c>
      <c r="I427" s="204">
        <f t="shared" ca="1" si="53"/>
        <v>1.4244870084086145</v>
      </c>
      <c r="J427" s="247">
        <f ca="1">IF(I427="","",IF(COUNTIF($D$12:D427,D427)=1,IF(H427=1,I427*H427,IF(H427="X","X",0)),0))</f>
        <v>0</v>
      </c>
      <c r="K427" s="248">
        <f t="shared" ca="1" si="54"/>
        <v>0</v>
      </c>
      <c r="L427" s="212" t="s">
        <v>679</v>
      </c>
      <c r="M427" s="212" t="s">
        <v>448</v>
      </c>
      <c r="N427" s="212" t="s">
        <v>470</v>
      </c>
      <c r="O427" s="213">
        <v>41419</v>
      </c>
      <c r="P427" s="212" t="s">
        <v>684</v>
      </c>
      <c r="Q427" s="214">
        <v>100</v>
      </c>
      <c r="R427" s="212" t="s">
        <v>445</v>
      </c>
      <c r="S427" s="212" t="s">
        <v>532</v>
      </c>
      <c r="T427" s="212" t="s">
        <v>445</v>
      </c>
      <c r="U427" s="212" t="s">
        <v>446</v>
      </c>
      <c r="V427" s="214" t="b">
        <v>1</v>
      </c>
      <c r="W427" s="214">
        <v>1989</v>
      </c>
      <c r="X427" s="214">
        <v>5</v>
      </c>
      <c r="Y427" s="214">
        <v>2</v>
      </c>
      <c r="Z427" s="214">
        <v>4</v>
      </c>
      <c r="AA427" s="212" t="s">
        <v>447</v>
      </c>
      <c r="AB427" s="212" t="s">
        <v>531</v>
      </c>
      <c r="AC427" s="212" t="s">
        <v>533</v>
      </c>
      <c r="AD427" s="214">
        <v>1.4879579999999999</v>
      </c>
      <c r="AE427" s="214">
        <v>601</v>
      </c>
      <c r="AF427" s="214">
        <v>1.5427999999999999</v>
      </c>
      <c r="AG427" s="214">
        <v>-99</v>
      </c>
      <c r="AH427" s="212" t="s">
        <v>224</v>
      </c>
      <c r="AI427" s="212" t="s">
        <v>449</v>
      </c>
      <c r="AJ427" s="212" t="s">
        <v>279</v>
      </c>
      <c r="AK427" s="212" t="s">
        <v>531</v>
      </c>
      <c r="AL427" s="212" t="s">
        <v>379</v>
      </c>
      <c r="AM427" s="214" t="b">
        <v>1</v>
      </c>
      <c r="AN427" s="214" t="b">
        <v>1</v>
      </c>
      <c r="AO427" s="212" t="s">
        <v>280</v>
      </c>
      <c r="AP427" s="212" t="s">
        <v>281</v>
      </c>
      <c r="AQ427" s="214">
        <v>86.175359999999998</v>
      </c>
      <c r="AR427" s="214" t="b">
        <v>0</v>
      </c>
      <c r="AS427" s="212" t="s">
        <v>534</v>
      </c>
      <c r="AU427" s="222" t="s">
        <v>819</v>
      </c>
    </row>
    <row r="428" spans="1:47" x14ac:dyDescent="0.25">
      <c r="A428" s="245">
        <f t="shared" si="55"/>
        <v>428</v>
      </c>
      <c r="B428" s="246" t="str">
        <f t="shared" si="48"/>
        <v>Oil Field - Tank</v>
      </c>
      <c r="C428" s="246" t="str">
        <f ca="1">IF(B428="","",VLOOKUP(D428,'Species Data'!B:E,4,FALSE))</f>
        <v>N_nonane</v>
      </c>
      <c r="D428" s="246">
        <f t="shared" ca="1" si="49"/>
        <v>603</v>
      </c>
      <c r="E428" s="246">
        <f t="shared" ca="1" si="50"/>
        <v>0.1024</v>
      </c>
      <c r="F428" s="246" t="str">
        <f t="shared" ca="1" si="51"/>
        <v>N-nonane</v>
      </c>
      <c r="G428" s="246">
        <f t="shared" ca="1" si="52"/>
        <v>128.2551</v>
      </c>
      <c r="H428" s="204">
        <f ca="1">IF(G428="","",IF(VLOOKUP(Tank!F428,'Species Data'!D:F,3,FALSE)=0,"X",IF(G428&lt;44.1,2,1)))</f>
        <v>1</v>
      </c>
      <c r="I428" s="204">
        <f t="shared" ca="1" si="53"/>
        <v>6.0467247152239355E-2</v>
      </c>
      <c r="J428" s="247">
        <f ca="1">IF(I428="","",IF(COUNTIF($D$12:D428,D428)=1,IF(H428=1,I428*H428,IF(H428="X","X",0)),0))</f>
        <v>0</v>
      </c>
      <c r="K428" s="248">
        <f t="shared" ca="1" si="54"/>
        <v>0</v>
      </c>
      <c r="L428" s="212" t="s">
        <v>679</v>
      </c>
      <c r="M428" s="212" t="s">
        <v>448</v>
      </c>
      <c r="N428" s="212" t="s">
        <v>470</v>
      </c>
      <c r="O428" s="213">
        <v>41419</v>
      </c>
      <c r="P428" s="212" t="s">
        <v>684</v>
      </c>
      <c r="Q428" s="214">
        <v>100</v>
      </c>
      <c r="R428" s="212" t="s">
        <v>445</v>
      </c>
      <c r="S428" s="212" t="s">
        <v>532</v>
      </c>
      <c r="T428" s="212" t="s">
        <v>445</v>
      </c>
      <c r="U428" s="212" t="s">
        <v>446</v>
      </c>
      <c r="V428" s="214" t="b">
        <v>1</v>
      </c>
      <c r="W428" s="214">
        <v>1989</v>
      </c>
      <c r="X428" s="214">
        <v>5</v>
      </c>
      <c r="Y428" s="214">
        <v>2</v>
      </c>
      <c r="Z428" s="214">
        <v>4</v>
      </c>
      <c r="AA428" s="212" t="s">
        <v>447</v>
      </c>
      <c r="AB428" s="212" t="s">
        <v>531</v>
      </c>
      <c r="AC428" s="212" t="s">
        <v>533</v>
      </c>
      <c r="AD428" s="214">
        <v>1.4879579999999999</v>
      </c>
      <c r="AE428" s="214">
        <v>603</v>
      </c>
      <c r="AF428" s="214">
        <v>0.1024</v>
      </c>
      <c r="AG428" s="214">
        <v>-99</v>
      </c>
      <c r="AH428" s="212" t="s">
        <v>224</v>
      </c>
      <c r="AI428" s="212" t="s">
        <v>449</v>
      </c>
      <c r="AJ428" s="212" t="s">
        <v>417</v>
      </c>
      <c r="AK428" s="212" t="s">
        <v>531</v>
      </c>
      <c r="AL428" s="212" t="s">
        <v>453</v>
      </c>
      <c r="AM428" s="214" t="b">
        <v>1</v>
      </c>
      <c r="AN428" s="214" t="b">
        <v>0</v>
      </c>
      <c r="AO428" s="212" t="s">
        <v>418</v>
      </c>
      <c r="AP428" s="212" t="s">
        <v>419</v>
      </c>
      <c r="AQ428" s="214">
        <v>128.2551</v>
      </c>
      <c r="AR428" s="214" t="b">
        <v>0</v>
      </c>
      <c r="AS428" s="212" t="s">
        <v>534</v>
      </c>
      <c r="AU428" s="222" t="s">
        <v>819</v>
      </c>
    </row>
    <row r="429" spans="1:47" x14ac:dyDescent="0.25">
      <c r="A429" s="245">
        <f t="shared" si="55"/>
        <v>429</v>
      </c>
      <c r="B429" s="246" t="str">
        <f t="shared" si="48"/>
        <v>Oil Field - Tank</v>
      </c>
      <c r="C429" s="246" t="str">
        <f ca="1">IF(B429="","",VLOOKUP(D429,'Species Data'!B:E,4,FALSE))</f>
        <v>N_octane</v>
      </c>
      <c r="D429" s="246">
        <f t="shared" ca="1" si="49"/>
        <v>604</v>
      </c>
      <c r="E429" s="246">
        <f t="shared" ca="1" si="50"/>
        <v>0.2432</v>
      </c>
      <c r="F429" s="246" t="str">
        <f t="shared" ca="1" si="51"/>
        <v>N-octane</v>
      </c>
      <c r="G429" s="246">
        <f t="shared" ca="1" si="52"/>
        <v>114.22852</v>
      </c>
      <c r="H429" s="204">
        <f ca="1">IF(G429="","",IF(VLOOKUP(Tank!F429,'Species Data'!D:F,3,FALSE)=0,"X",IF(G429&lt;44.1,2,1)))</f>
        <v>1</v>
      </c>
      <c r="I429" s="204">
        <f t="shared" ca="1" si="53"/>
        <v>0.21590207265989761</v>
      </c>
      <c r="J429" s="247">
        <f ca="1">IF(I429="","",IF(COUNTIF($D$12:D429,D429)=1,IF(H429=1,I429*H429,IF(H429="X","X",0)),0))</f>
        <v>0</v>
      </c>
      <c r="K429" s="248">
        <f t="shared" ca="1" si="54"/>
        <v>0</v>
      </c>
      <c r="L429" s="212" t="s">
        <v>679</v>
      </c>
      <c r="M429" s="212" t="s">
        <v>448</v>
      </c>
      <c r="N429" s="212" t="s">
        <v>470</v>
      </c>
      <c r="O429" s="213">
        <v>41419</v>
      </c>
      <c r="P429" s="212" t="s">
        <v>684</v>
      </c>
      <c r="Q429" s="214">
        <v>100</v>
      </c>
      <c r="R429" s="212" t="s">
        <v>445</v>
      </c>
      <c r="S429" s="212" t="s">
        <v>532</v>
      </c>
      <c r="T429" s="212" t="s">
        <v>445</v>
      </c>
      <c r="U429" s="212" t="s">
        <v>446</v>
      </c>
      <c r="V429" s="214" t="b">
        <v>1</v>
      </c>
      <c r="W429" s="214">
        <v>1989</v>
      </c>
      <c r="X429" s="214">
        <v>5</v>
      </c>
      <c r="Y429" s="214">
        <v>2</v>
      </c>
      <c r="Z429" s="214">
        <v>4</v>
      </c>
      <c r="AA429" s="212" t="s">
        <v>447</v>
      </c>
      <c r="AB429" s="212" t="s">
        <v>531</v>
      </c>
      <c r="AC429" s="212" t="s">
        <v>533</v>
      </c>
      <c r="AD429" s="214">
        <v>1.4879579999999999</v>
      </c>
      <c r="AE429" s="214">
        <v>604</v>
      </c>
      <c r="AF429" s="214">
        <v>0.2432</v>
      </c>
      <c r="AG429" s="214">
        <v>-99</v>
      </c>
      <c r="AH429" s="212" t="s">
        <v>224</v>
      </c>
      <c r="AI429" s="212" t="s">
        <v>449</v>
      </c>
      <c r="AJ429" s="212" t="s">
        <v>282</v>
      </c>
      <c r="AK429" s="212" t="s">
        <v>531</v>
      </c>
      <c r="AL429" s="212" t="s">
        <v>380</v>
      </c>
      <c r="AM429" s="214" t="b">
        <v>1</v>
      </c>
      <c r="AN429" s="214" t="b">
        <v>0</v>
      </c>
      <c r="AO429" s="212" t="s">
        <v>283</v>
      </c>
      <c r="AP429" s="212" t="s">
        <v>284</v>
      </c>
      <c r="AQ429" s="214">
        <v>114.22852</v>
      </c>
      <c r="AR429" s="214" t="b">
        <v>0</v>
      </c>
      <c r="AS429" s="212" t="s">
        <v>534</v>
      </c>
      <c r="AU429" s="222" t="s">
        <v>819</v>
      </c>
    </row>
    <row r="430" spans="1:47" x14ac:dyDescent="0.25">
      <c r="A430" s="245">
        <f t="shared" si="55"/>
        <v>430</v>
      </c>
      <c r="B430" s="246" t="str">
        <f t="shared" si="48"/>
        <v>Oil Field - Tank</v>
      </c>
      <c r="C430" s="246" t="str">
        <f ca="1">IF(B430="","",VLOOKUP(D430,'Species Data'!B:E,4,FALSE))</f>
        <v>N_pentane</v>
      </c>
      <c r="D430" s="246">
        <f t="shared" ca="1" si="49"/>
        <v>605</v>
      </c>
      <c r="E430" s="246">
        <f t="shared" ca="1" si="50"/>
        <v>5.1406000000000001</v>
      </c>
      <c r="F430" s="246" t="str">
        <f t="shared" ca="1" si="51"/>
        <v>N-pentane</v>
      </c>
      <c r="G430" s="246">
        <f t="shared" ca="1" si="52"/>
        <v>72.148780000000002</v>
      </c>
      <c r="H430" s="204">
        <f ca="1">IF(G430="","",IF(VLOOKUP(Tank!F430,'Species Data'!D:F,3,FALSE)=0,"X",IF(G430&lt;44.1,2,1)))</f>
        <v>1</v>
      </c>
      <c r="I430" s="204">
        <f t="shared" ca="1" si="53"/>
        <v>3.2465311666992012</v>
      </c>
      <c r="J430" s="247">
        <f ca="1">IF(I430="","",IF(COUNTIF($D$12:D430,D430)=1,IF(H430=1,I430*H430,IF(H430="X","X",0)),0))</f>
        <v>0</v>
      </c>
      <c r="K430" s="248">
        <f t="shared" ca="1" si="54"/>
        <v>0</v>
      </c>
      <c r="L430" s="212" t="s">
        <v>679</v>
      </c>
      <c r="M430" s="212" t="s">
        <v>448</v>
      </c>
      <c r="N430" s="212" t="s">
        <v>470</v>
      </c>
      <c r="O430" s="213">
        <v>41419</v>
      </c>
      <c r="P430" s="212" t="s">
        <v>684</v>
      </c>
      <c r="Q430" s="214">
        <v>100</v>
      </c>
      <c r="R430" s="212" t="s">
        <v>445</v>
      </c>
      <c r="S430" s="212" t="s">
        <v>532</v>
      </c>
      <c r="T430" s="212" t="s">
        <v>445</v>
      </c>
      <c r="U430" s="212" t="s">
        <v>446</v>
      </c>
      <c r="V430" s="214" t="b">
        <v>1</v>
      </c>
      <c r="W430" s="214">
        <v>1989</v>
      </c>
      <c r="X430" s="214">
        <v>5</v>
      </c>
      <c r="Y430" s="214">
        <v>2</v>
      </c>
      <c r="Z430" s="214">
        <v>4</v>
      </c>
      <c r="AA430" s="212" t="s">
        <v>447</v>
      </c>
      <c r="AB430" s="212" t="s">
        <v>531</v>
      </c>
      <c r="AC430" s="212" t="s">
        <v>533</v>
      </c>
      <c r="AD430" s="214">
        <v>1.4879579999999999</v>
      </c>
      <c r="AE430" s="214">
        <v>605</v>
      </c>
      <c r="AF430" s="214">
        <v>5.1406000000000001</v>
      </c>
      <c r="AG430" s="214">
        <v>-99</v>
      </c>
      <c r="AH430" s="212" t="s">
        <v>224</v>
      </c>
      <c r="AI430" s="212" t="s">
        <v>449</v>
      </c>
      <c r="AJ430" s="212" t="s">
        <v>285</v>
      </c>
      <c r="AK430" s="212" t="s">
        <v>531</v>
      </c>
      <c r="AL430" s="212" t="s">
        <v>381</v>
      </c>
      <c r="AM430" s="214" t="b">
        <v>1</v>
      </c>
      <c r="AN430" s="214" t="b">
        <v>0</v>
      </c>
      <c r="AO430" s="212" t="s">
        <v>286</v>
      </c>
      <c r="AP430" s="212" t="s">
        <v>287</v>
      </c>
      <c r="AQ430" s="214">
        <v>72.148780000000002</v>
      </c>
      <c r="AR430" s="214" t="b">
        <v>0</v>
      </c>
      <c r="AS430" s="212" t="s">
        <v>534</v>
      </c>
      <c r="AU430" s="222" t="s">
        <v>819</v>
      </c>
    </row>
    <row r="431" spans="1:47" x14ac:dyDescent="0.25">
      <c r="A431" s="245">
        <f t="shared" si="55"/>
        <v>431</v>
      </c>
      <c r="B431" s="246" t="str">
        <f t="shared" si="48"/>
        <v>Oil Field - Tank</v>
      </c>
      <c r="C431" s="246" t="str">
        <f ca="1">IF(B431="","",VLOOKUP(D431,'Species Data'!B:E,4,FALSE))</f>
        <v>N_proben</v>
      </c>
      <c r="D431" s="246">
        <f t="shared" ca="1" si="49"/>
        <v>608</v>
      </c>
      <c r="E431" s="246">
        <f t="shared" ca="1" si="50"/>
        <v>2.29E-2</v>
      </c>
      <c r="F431" s="246" t="str">
        <f t="shared" ca="1" si="51"/>
        <v>N-propylbenzene</v>
      </c>
      <c r="G431" s="246">
        <f t="shared" ca="1" si="52"/>
        <v>120.19158</v>
      </c>
      <c r="H431" s="204">
        <f ca="1">IF(G431="","",IF(VLOOKUP(Tank!F431,'Species Data'!D:F,3,FALSE)=0,"X",IF(G431&lt;44.1,2,1)))</f>
        <v>1</v>
      </c>
      <c r="I431" s="204">
        <f t="shared" ca="1" si="53"/>
        <v>2.0193527191194376E-2</v>
      </c>
      <c r="J431" s="247">
        <f ca="1">IF(I431="","",IF(COUNTIF($D$12:D431,D431)=1,IF(H431=1,I431*H431,IF(H431="X","X",0)),0))</f>
        <v>0</v>
      </c>
      <c r="K431" s="248">
        <f t="shared" ca="1" si="54"/>
        <v>0</v>
      </c>
      <c r="L431" s="212" t="s">
        <v>679</v>
      </c>
      <c r="M431" s="212" t="s">
        <v>448</v>
      </c>
      <c r="N431" s="212" t="s">
        <v>470</v>
      </c>
      <c r="O431" s="213">
        <v>41419</v>
      </c>
      <c r="P431" s="212" t="s">
        <v>684</v>
      </c>
      <c r="Q431" s="214">
        <v>100</v>
      </c>
      <c r="R431" s="212" t="s">
        <v>445</v>
      </c>
      <c r="S431" s="212" t="s">
        <v>532</v>
      </c>
      <c r="T431" s="212" t="s">
        <v>445</v>
      </c>
      <c r="U431" s="212" t="s">
        <v>446</v>
      </c>
      <c r="V431" s="214" t="b">
        <v>1</v>
      </c>
      <c r="W431" s="214">
        <v>1989</v>
      </c>
      <c r="X431" s="214">
        <v>5</v>
      </c>
      <c r="Y431" s="214">
        <v>2</v>
      </c>
      <c r="Z431" s="214">
        <v>4</v>
      </c>
      <c r="AA431" s="212" t="s">
        <v>447</v>
      </c>
      <c r="AB431" s="212" t="s">
        <v>531</v>
      </c>
      <c r="AC431" s="212" t="s">
        <v>533</v>
      </c>
      <c r="AD431" s="214">
        <v>1.4879579999999999</v>
      </c>
      <c r="AE431" s="214">
        <v>608</v>
      </c>
      <c r="AF431" s="214">
        <v>2.29E-2</v>
      </c>
      <c r="AG431" s="214">
        <v>-99</v>
      </c>
      <c r="AH431" s="212" t="s">
        <v>224</v>
      </c>
      <c r="AI431" s="212" t="s">
        <v>449</v>
      </c>
      <c r="AJ431" s="212" t="s">
        <v>420</v>
      </c>
      <c r="AK431" s="212" t="s">
        <v>531</v>
      </c>
      <c r="AL431" s="212" t="s">
        <v>454</v>
      </c>
      <c r="AM431" s="214" t="b">
        <v>1</v>
      </c>
      <c r="AN431" s="214" t="b">
        <v>0</v>
      </c>
      <c r="AO431" s="212" t="s">
        <v>421</v>
      </c>
      <c r="AP431" s="212" t="s">
        <v>422</v>
      </c>
      <c r="AQ431" s="214">
        <v>120.19158</v>
      </c>
      <c r="AR431" s="214" t="b">
        <v>0</v>
      </c>
      <c r="AS431" s="212" t="s">
        <v>534</v>
      </c>
      <c r="AU431" s="222" t="s">
        <v>819</v>
      </c>
    </row>
    <row r="432" spans="1:47" x14ac:dyDescent="0.25">
      <c r="A432" s="245">
        <f t="shared" si="55"/>
        <v>432</v>
      </c>
      <c r="B432" s="246" t="str">
        <f t="shared" si="48"/>
        <v>Oil Field - Tank</v>
      </c>
      <c r="C432" s="246" t="str">
        <f ca="1">IF(B432="","",VLOOKUP(D432,'Species Data'!B:E,4,FALSE))</f>
        <v>N_und</v>
      </c>
      <c r="D432" s="246">
        <f t="shared" ca="1" si="49"/>
        <v>610</v>
      </c>
      <c r="E432" s="246">
        <f t="shared" ca="1" si="50"/>
        <v>2.0500000000000001E-2</v>
      </c>
      <c r="F432" s="246" t="str">
        <f t="shared" ca="1" si="51"/>
        <v>N-undecane</v>
      </c>
      <c r="G432" s="246">
        <f t="shared" ca="1" si="52"/>
        <v>156.30826000000002</v>
      </c>
      <c r="H432" s="204">
        <f ca="1">IF(G432="","",IF(VLOOKUP(Tank!F432,'Species Data'!D:F,3,FALSE)=0,"X",IF(G432&lt;44.1,2,1)))</f>
        <v>1</v>
      </c>
      <c r="I432" s="204">
        <f t="shared" ca="1" si="53"/>
        <v>3.8800372483575856E-3</v>
      </c>
      <c r="J432" s="247">
        <f ca="1">IF(I432="","",IF(COUNTIF($D$12:D432,D432)=1,IF(H432=1,I432*H432,IF(H432="X","X",0)),0))</f>
        <v>0</v>
      </c>
      <c r="K432" s="248">
        <f t="shared" ca="1" si="54"/>
        <v>0</v>
      </c>
      <c r="L432" s="212" t="s">
        <v>679</v>
      </c>
      <c r="M432" s="212" t="s">
        <v>448</v>
      </c>
      <c r="N432" s="212" t="s">
        <v>470</v>
      </c>
      <c r="O432" s="213">
        <v>41419</v>
      </c>
      <c r="P432" s="212" t="s">
        <v>684</v>
      </c>
      <c r="Q432" s="214">
        <v>100</v>
      </c>
      <c r="R432" s="212" t="s">
        <v>445</v>
      </c>
      <c r="S432" s="212" t="s">
        <v>532</v>
      </c>
      <c r="T432" s="212" t="s">
        <v>445</v>
      </c>
      <c r="U432" s="212" t="s">
        <v>446</v>
      </c>
      <c r="V432" s="214" t="b">
        <v>1</v>
      </c>
      <c r="W432" s="214">
        <v>1989</v>
      </c>
      <c r="X432" s="214">
        <v>5</v>
      </c>
      <c r="Y432" s="214">
        <v>2</v>
      </c>
      <c r="Z432" s="214">
        <v>4</v>
      </c>
      <c r="AA432" s="212" t="s">
        <v>447</v>
      </c>
      <c r="AB432" s="212" t="s">
        <v>531</v>
      </c>
      <c r="AC432" s="212" t="s">
        <v>533</v>
      </c>
      <c r="AD432" s="214">
        <v>1.4879579999999999</v>
      </c>
      <c r="AE432" s="214">
        <v>610</v>
      </c>
      <c r="AF432" s="214">
        <v>2.0500000000000001E-2</v>
      </c>
      <c r="AG432" s="214">
        <v>-99</v>
      </c>
      <c r="AH432" s="212" t="s">
        <v>224</v>
      </c>
      <c r="AI432" s="212" t="s">
        <v>449</v>
      </c>
      <c r="AJ432" s="212" t="s">
        <v>430</v>
      </c>
      <c r="AK432" s="212" t="s">
        <v>531</v>
      </c>
      <c r="AL432" s="212" t="s">
        <v>458</v>
      </c>
      <c r="AM432" s="214" t="b">
        <v>1</v>
      </c>
      <c r="AN432" s="214" t="b">
        <v>0</v>
      </c>
      <c r="AO432" s="212" t="s">
        <v>431</v>
      </c>
      <c r="AP432" s="212" t="s">
        <v>432</v>
      </c>
      <c r="AQ432" s="214">
        <v>156.30826000000002</v>
      </c>
      <c r="AR432" s="214" t="b">
        <v>0</v>
      </c>
      <c r="AS432" s="212" t="s">
        <v>534</v>
      </c>
      <c r="AU432" s="222" t="s">
        <v>819</v>
      </c>
    </row>
    <row r="433" spans="1:47" x14ac:dyDescent="0.25">
      <c r="A433" s="245">
        <f t="shared" si="55"/>
        <v>433</v>
      </c>
      <c r="B433" s="246" t="str">
        <f t="shared" si="48"/>
        <v>Oil Field - Tank</v>
      </c>
      <c r="C433" s="246" t="str">
        <f ca="1">IF(B433="","",VLOOKUP(D433,'Species Data'!B:E,4,FALSE))</f>
        <v>O_xylene</v>
      </c>
      <c r="D433" s="246">
        <f t="shared" ca="1" si="49"/>
        <v>620</v>
      </c>
      <c r="E433" s="246">
        <f t="shared" ca="1" si="50"/>
        <v>4.6699999999999998E-2</v>
      </c>
      <c r="F433" s="246" t="str">
        <f t="shared" ca="1" si="51"/>
        <v>O-xylene</v>
      </c>
      <c r="G433" s="246">
        <f t="shared" ca="1" si="52"/>
        <v>106.16500000000001</v>
      </c>
      <c r="H433" s="204">
        <f ca="1">IF(G433="","",IF(VLOOKUP(Tank!F433,'Species Data'!D:F,3,FALSE)=0,"X",IF(G433&lt;44.1,2,1)))</f>
        <v>1</v>
      </c>
      <c r="I433" s="204">
        <f t="shared" ca="1" si="53"/>
        <v>5.0080480772615434E-2</v>
      </c>
      <c r="J433" s="247">
        <f ca="1">IF(I433="","",IF(COUNTIF($D$12:D433,D433)=1,IF(H433=1,I433*H433,IF(H433="X","X",0)),0))</f>
        <v>0</v>
      </c>
      <c r="K433" s="248">
        <f t="shared" ca="1" si="54"/>
        <v>0</v>
      </c>
      <c r="L433" s="212" t="s">
        <v>679</v>
      </c>
      <c r="M433" s="212" t="s">
        <v>448</v>
      </c>
      <c r="N433" s="212" t="s">
        <v>470</v>
      </c>
      <c r="O433" s="213">
        <v>41419</v>
      </c>
      <c r="P433" s="212" t="s">
        <v>684</v>
      </c>
      <c r="Q433" s="214">
        <v>100</v>
      </c>
      <c r="R433" s="212" t="s">
        <v>445</v>
      </c>
      <c r="S433" s="212" t="s">
        <v>532</v>
      </c>
      <c r="T433" s="212" t="s">
        <v>445</v>
      </c>
      <c r="U433" s="212" t="s">
        <v>446</v>
      </c>
      <c r="V433" s="214" t="b">
        <v>1</v>
      </c>
      <c r="W433" s="214">
        <v>1989</v>
      </c>
      <c r="X433" s="214">
        <v>5</v>
      </c>
      <c r="Y433" s="214">
        <v>2</v>
      </c>
      <c r="Z433" s="214">
        <v>4</v>
      </c>
      <c r="AA433" s="212" t="s">
        <v>447</v>
      </c>
      <c r="AB433" s="212" t="s">
        <v>531</v>
      </c>
      <c r="AC433" s="212" t="s">
        <v>533</v>
      </c>
      <c r="AD433" s="214">
        <v>1.4879579999999999</v>
      </c>
      <c r="AE433" s="214">
        <v>620</v>
      </c>
      <c r="AF433" s="214">
        <v>4.6699999999999998E-2</v>
      </c>
      <c r="AG433" s="214">
        <v>-99</v>
      </c>
      <c r="AH433" s="212" t="s">
        <v>224</v>
      </c>
      <c r="AI433" s="212" t="s">
        <v>449</v>
      </c>
      <c r="AJ433" s="212" t="s">
        <v>354</v>
      </c>
      <c r="AK433" s="212" t="s">
        <v>531</v>
      </c>
      <c r="AL433" s="212" t="s">
        <v>398</v>
      </c>
      <c r="AM433" s="214" t="b">
        <v>1</v>
      </c>
      <c r="AN433" s="214" t="b">
        <v>1</v>
      </c>
      <c r="AO433" s="212" t="s">
        <v>355</v>
      </c>
      <c r="AP433" s="212" t="s">
        <v>356</v>
      </c>
      <c r="AQ433" s="214">
        <v>106.16500000000001</v>
      </c>
      <c r="AR433" s="214" t="b">
        <v>0</v>
      </c>
      <c r="AS433" s="212" t="s">
        <v>534</v>
      </c>
      <c r="AU433" s="222" t="s">
        <v>819</v>
      </c>
    </row>
    <row r="434" spans="1:47" x14ac:dyDescent="0.25">
      <c r="A434" s="245">
        <f t="shared" si="55"/>
        <v>434</v>
      </c>
      <c r="B434" s="246" t="str">
        <f t="shared" si="48"/>
        <v>Oil Field - Tank</v>
      </c>
      <c r="C434" s="246" t="str">
        <f ca="1">IF(B434="","",VLOOKUP(D434,'Species Data'!B:E,4,FALSE))</f>
        <v>P_xylene</v>
      </c>
      <c r="D434" s="246">
        <f t="shared" ca="1" si="49"/>
        <v>648</v>
      </c>
      <c r="E434" s="246">
        <f t="shared" ca="1" si="50"/>
        <v>6.2E-2</v>
      </c>
      <c r="F434" s="246" t="str">
        <f t="shared" ca="1" si="51"/>
        <v>P-xylene</v>
      </c>
      <c r="G434" s="246">
        <f t="shared" ca="1" si="52"/>
        <v>106.16500000000001</v>
      </c>
      <c r="H434" s="204">
        <f ca="1">IF(G434="","",IF(VLOOKUP(Tank!F434,'Species Data'!D:F,3,FALSE)=0,"X",IF(G434&lt;44.1,2,1)))</f>
        <v>1</v>
      </c>
      <c r="I434" s="204">
        <f t="shared" ca="1" si="53"/>
        <v>8.2000787207557213E-2</v>
      </c>
      <c r="J434" s="247">
        <f ca="1">IF(I434="","",IF(COUNTIF($D$12:D434,D434)=1,IF(H434=1,I434*H434,IF(H434="X","X",0)),0))</f>
        <v>0</v>
      </c>
      <c r="K434" s="248">
        <f t="shared" ca="1" si="54"/>
        <v>0</v>
      </c>
      <c r="L434" s="212" t="s">
        <v>679</v>
      </c>
      <c r="M434" s="212" t="s">
        <v>448</v>
      </c>
      <c r="N434" s="212" t="s">
        <v>470</v>
      </c>
      <c r="O434" s="213">
        <v>41419</v>
      </c>
      <c r="P434" s="212" t="s">
        <v>684</v>
      </c>
      <c r="Q434" s="214">
        <v>100</v>
      </c>
      <c r="R434" s="212" t="s">
        <v>445</v>
      </c>
      <c r="S434" s="212" t="s">
        <v>532</v>
      </c>
      <c r="T434" s="212" t="s">
        <v>445</v>
      </c>
      <c r="U434" s="212" t="s">
        <v>446</v>
      </c>
      <c r="V434" s="214" t="b">
        <v>1</v>
      </c>
      <c r="W434" s="214">
        <v>1989</v>
      </c>
      <c r="X434" s="214">
        <v>5</v>
      </c>
      <c r="Y434" s="214">
        <v>2</v>
      </c>
      <c r="Z434" s="214">
        <v>4</v>
      </c>
      <c r="AA434" s="212" t="s">
        <v>447</v>
      </c>
      <c r="AB434" s="212" t="s">
        <v>531</v>
      </c>
      <c r="AC434" s="212" t="s">
        <v>533</v>
      </c>
      <c r="AD434" s="214">
        <v>1.4879579999999999</v>
      </c>
      <c r="AE434" s="214">
        <v>648</v>
      </c>
      <c r="AF434" s="214">
        <v>6.2E-2</v>
      </c>
      <c r="AG434" s="214">
        <v>-99</v>
      </c>
      <c r="AH434" s="212" t="s">
        <v>224</v>
      </c>
      <c r="AI434" s="212" t="s">
        <v>449</v>
      </c>
      <c r="AJ434" s="212" t="s">
        <v>433</v>
      </c>
      <c r="AK434" s="212" t="s">
        <v>531</v>
      </c>
      <c r="AL434" s="212" t="s">
        <v>459</v>
      </c>
      <c r="AM434" s="214" t="b">
        <v>0</v>
      </c>
      <c r="AN434" s="214" t="b">
        <v>1</v>
      </c>
      <c r="AO434" s="212" t="s">
        <v>434</v>
      </c>
      <c r="AP434" s="212" t="s">
        <v>435</v>
      </c>
      <c r="AQ434" s="214">
        <v>106.16500000000001</v>
      </c>
      <c r="AR434" s="214" t="b">
        <v>0</v>
      </c>
      <c r="AS434" s="212" t="s">
        <v>534</v>
      </c>
      <c r="AU434" s="222" t="s">
        <v>819</v>
      </c>
    </row>
    <row r="435" spans="1:47" x14ac:dyDescent="0.25">
      <c r="A435" s="245">
        <f t="shared" si="55"/>
        <v>435</v>
      </c>
      <c r="B435" s="246" t="str">
        <f t="shared" si="48"/>
        <v>Oil Field - Tank</v>
      </c>
      <c r="C435" s="246" t="str">
        <f ca="1">IF(B435="","",VLOOKUP(D435,'Species Data'!B:E,4,FALSE))</f>
        <v>propane</v>
      </c>
      <c r="D435" s="246">
        <f t="shared" ca="1" si="49"/>
        <v>671</v>
      </c>
      <c r="E435" s="246">
        <f t="shared" ca="1" si="50"/>
        <v>18.9621</v>
      </c>
      <c r="F435" s="246" t="str">
        <f t="shared" ca="1" si="51"/>
        <v>Propane</v>
      </c>
      <c r="G435" s="246">
        <f t="shared" ca="1" si="52"/>
        <v>44.095619999999997</v>
      </c>
      <c r="H435" s="204">
        <f ca="1">IF(G435="","",IF(VLOOKUP(Tank!F435,'Species Data'!D:F,3,FALSE)=0,"X",IF(G435&lt;44.1,2,1)))</f>
        <v>2</v>
      </c>
      <c r="I435" s="204">
        <f t="shared" ca="1" si="53"/>
        <v>10.138737331878389</v>
      </c>
      <c r="J435" s="247">
        <f ca="1">IF(I435="","",IF(COUNTIF($D$12:D435,D435)=1,IF(H435=1,I435*H435,IF(H435="X","X",0)),0))</f>
        <v>0</v>
      </c>
      <c r="K435" s="248">
        <f t="shared" ca="1" si="54"/>
        <v>0</v>
      </c>
      <c r="L435" s="212" t="s">
        <v>679</v>
      </c>
      <c r="M435" s="212" t="s">
        <v>448</v>
      </c>
      <c r="N435" s="212" t="s">
        <v>470</v>
      </c>
      <c r="O435" s="213">
        <v>41419</v>
      </c>
      <c r="P435" s="212" t="s">
        <v>684</v>
      </c>
      <c r="Q435" s="214">
        <v>100</v>
      </c>
      <c r="R435" s="212" t="s">
        <v>445</v>
      </c>
      <c r="S435" s="212" t="s">
        <v>532</v>
      </c>
      <c r="T435" s="212" t="s">
        <v>445</v>
      </c>
      <c r="U435" s="212" t="s">
        <v>446</v>
      </c>
      <c r="V435" s="214" t="b">
        <v>1</v>
      </c>
      <c r="W435" s="214">
        <v>1989</v>
      </c>
      <c r="X435" s="214">
        <v>5</v>
      </c>
      <c r="Y435" s="214">
        <v>2</v>
      </c>
      <c r="Z435" s="214">
        <v>4</v>
      </c>
      <c r="AA435" s="212" t="s">
        <v>447</v>
      </c>
      <c r="AB435" s="212" t="s">
        <v>531</v>
      </c>
      <c r="AC435" s="212" t="s">
        <v>533</v>
      </c>
      <c r="AD435" s="214">
        <v>1.4879579999999999</v>
      </c>
      <c r="AE435" s="214">
        <v>671</v>
      </c>
      <c r="AF435" s="214">
        <v>18.9621</v>
      </c>
      <c r="AG435" s="214">
        <v>-99</v>
      </c>
      <c r="AH435" s="212" t="s">
        <v>224</v>
      </c>
      <c r="AI435" s="212" t="s">
        <v>449</v>
      </c>
      <c r="AJ435" s="212" t="s">
        <v>288</v>
      </c>
      <c r="AK435" s="212" t="s">
        <v>531</v>
      </c>
      <c r="AL435" s="212" t="s">
        <v>382</v>
      </c>
      <c r="AM435" s="214" t="b">
        <v>1</v>
      </c>
      <c r="AN435" s="214" t="b">
        <v>0</v>
      </c>
      <c r="AO435" s="212" t="s">
        <v>289</v>
      </c>
      <c r="AP435" s="212" t="s">
        <v>290</v>
      </c>
      <c r="AQ435" s="214">
        <v>44.095619999999997</v>
      </c>
      <c r="AR435" s="214" t="b">
        <v>0</v>
      </c>
      <c r="AS435" s="212" t="s">
        <v>534</v>
      </c>
      <c r="AU435" s="222" t="s">
        <v>819</v>
      </c>
    </row>
    <row r="436" spans="1:47" x14ac:dyDescent="0.25">
      <c r="A436" s="245">
        <f t="shared" si="55"/>
        <v>436</v>
      </c>
      <c r="B436" s="246" t="str">
        <f t="shared" si="48"/>
        <v>Oil Field - Tank</v>
      </c>
      <c r="C436" s="246" t="str">
        <f ca="1">IF(B436="","",VLOOKUP(D436,'Species Data'!B:E,4,FALSE))</f>
        <v>T_butben</v>
      </c>
      <c r="D436" s="246">
        <f t="shared" ca="1" si="49"/>
        <v>703</v>
      </c>
      <c r="E436" s="246">
        <f t="shared" ca="1" si="50"/>
        <v>1.17E-2</v>
      </c>
      <c r="F436" s="246" t="str">
        <f t="shared" ca="1" si="51"/>
        <v>T-butylbenzene</v>
      </c>
      <c r="G436" s="246">
        <f t="shared" ca="1" si="52"/>
        <v>134.21816000000001</v>
      </c>
      <c r="H436" s="204" t="str">
        <f ca="1">IF(G436="","",IF(VLOOKUP(Tank!F436,'Species Data'!D:F,3,FALSE)=0,"X",IF(G436&lt;44.1,2,1)))</f>
        <v>X</v>
      </c>
      <c r="I436" s="204">
        <f t="shared" ca="1" si="53"/>
        <v>6.7067310512847599E-3</v>
      </c>
      <c r="J436" s="247">
        <f ca="1">IF(I436="","",IF(COUNTIF($D$12:D436,D436)=1,IF(H436=1,I436*H436,IF(H436="X","X",0)),0))</f>
        <v>0</v>
      </c>
      <c r="K436" s="248">
        <f t="shared" ca="1" si="54"/>
        <v>0</v>
      </c>
      <c r="L436" s="212" t="s">
        <v>679</v>
      </c>
      <c r="M436" s="212" t="s">
        <v>448</v>
      </c>
      <c r="N436" s="212" t="s">
        <v>470</v>
      </c>
      <c r="O436" s="213">
        <v>41419</v>
      </c>
      <c r="P436" s="212" t="s">
        <v>684</v>
      </c>
      <c r="Q436" s="214">
        <v>100</v>
      </c>
      <c r="R436" s="212" t="s">
        <v>445</v>
      </c>
      <c r="S436" s="212" t="s">
        <v>532</v>
      </c>
      <c r="T436" s="212" t="s">
        <v>445</v>
      </c>
      <c r="U436" s="212" t="s">
        <v>446</v>
      </c>
      <c r="V436" s="214" t="b">
        <v>1</v>
      </c>
      <c r="W436" s="214">
        <v>1989</v>
      </c>
      <c r="X436" s="214">
        <v>5</v>
      </c>
      <c r="Y436" s="214">
        <v>2</v>
      </c>
      <c r="Z436" s="214">
        <v>4</v>
      </c>
      <c r="AA436" s="212" t="s">
        <v>447</v>
      </c>
      <c r="AB436" s="212" t="s">
        <v>531</v>
      </c>
      <c r="AC436" s="212" t="s">
        <v>533</v>
      </c>
      <c r="AD436" s="214">
        <v>1.4879579999999999</v>
      </c>
      <c r="AE436" s="214">
        <v>703</v>
      </c>
      <c r="AF436" s="214">
        <v>1.17E-2</v>
      </c>
      <c r="AG436" s="214">
        <v>-99</v>
      </c>
      <c r="AH436" s="212" t="s">
        <v>224</v>
      </c>
      <c r="AI436" s="212" t="s">
        <v>449</v>
      </c>
      <c r="AJ436" s="212" t="s">
        <v>423</v>
      </c>
      <c r="AK436" s="212" t="s">
        <v>531</v>
      </c>
      <c r="AL436" s="212" t="s">
        <v>455</v>
      </c>
      <c r="AM436" s="214" t="b">
        <v>0</v>
      </c>
      <c r="AN436" s="214" t="b">
        <v>0</v>
      </c>
      <c r="AO436" s="212" t="s">
        <v>424</v>
      </c>
      <c r="AP436" s="212" t="s">
        <v>531</v>
      </c>
      <c r="AQ436" s="214">
        <v>134.21816000000001</v>
      </c>
      <c r="AR436" s="214" t="b">
        <v>0</v>
      </c>
      <c r="AS436" s="212" t="s">
        <v>534</v>
      </c>
      <c r="AU436" s="222" t="s">
        <v>819</v>
      </c>
    </row>
    <row r="437" spans="1:47" x14ac:dyDescent="0.25">
      <c r="A437" s="245">
        <f t="shared" si="55"/>
        <v>437</v>
      </c>
      <c r="B437" s="246" t="str">
        <f t="shared" si="48"/>
        <v>Oil Field - Tank</v>
      </c>
      <c r="C437" s="246" t="str">
        <f ca="1">IF(B437="","",VLOOKUP(D437,'Species Data'!B:E,4,FALSE))</f>
        <v>toluene</v>
      </c>
      <c r="D437" s="246">
        <f t="shared" ca="1" si="49"/>
        <v>717</v>
      </c>
      <c r="E437" s="246">
        <f t="shared" ca="1" si="50"/>
        <v>0.20219999999999999</v>
      </c>
      <c r="F437" s="246" t="str">
        <f t="shared" ca="1" si="51"/>
        <v>Toluene</v>
      </c>
      <c r="G437" s="246">
        <f t="shared" ca="1" si="52"/>
        <v>92.138419999999996</v>
      </c>
      <c r="H437" s="204">
        <f ca="1">IF(G437="","",IF(VLOOKUP(Tank!F437,'Species Data'!D:F,3,FALSE)=0,"X",IF(G437&lt;44.1,2,1)))</f>
        <v>1</v>
      </c>
      <c r="I437" s="204">
        <f t="shared" ca="1" si="53"/>
        <v>0.21631540996126902</v>
      </c>
      <c r="J437" s="247">
        <f ca="1">IF(I437="","",IF(COUNTIF($D$12:D437,D437)=1,IF(H437=1,I437*H437,IF(H437="X","X",0)),0))</f>
        <v>0</v>
      </c>
      <c r="K437" s="248">
        <f t="shared" ca="1" si="54"/>
        <v>0</v>
      </c>
      <c r="L437" s="212" t="s">
        <v>679</v>
      </c>
      <c r="M437" s="212" t="s">
        <v>448</v>
      </c>
      <c r="N437" s="212" t="s">
        <v>470</v>
      </c>
      <c r="O437" s="213">
        <v>41419</v>
      </c>
      <c r="P437" s="212" t="s">
        <v>684</v>
      </c>
      <c r="Q437" s="214">
        <v>100</v>
      </c>
      <c r="R437" s="212" t="s">
        <v>445</v>
      </c>
      <c r="S437" s="212" t="s">
        <v>532</v>
      </c>
      <c r="T437" s="212" t="s">
        <v>445</v>
      </c>
      <c r="U437" s="212" t="s">
        <v>446</v>
      </c>
      <c r="V437" s="214" t="b">
        <v>1</v>
      </c>
      <c r="W437" s="214">
        <v>1989</v>
      </c>
      <c r="X437" s="214">
        <v>5</v>
      </c>
      <c r="Y437" s="214">
        <v>2</v>
      </c>
      <c r="Z437" s="214">
        <v>4</v>
      </c>
      <c r="AA437" s="212" t="s">
        <v>447</v>
      </c>
      <c r="AB437" s="212" t="s">
        <v>531</v>
      </c>
      <c r="AC437" s="212" t="s">
        <v>533</v>
      </c>
      <c r="AD437" s="214">
        <v>1.4879579999999999</v>
      </c>
      <c r="AE437" s="214">
        <v>717</v>
      </c>
      <c r="AF437" s="214">
        <v>0.20219999999999999</v>
      </c>
      <c r="AG437" s="214">
        <v>-99</v>
      </c>
      <c r="AH437" s="212" t="s">
        <v>224</v>
      </c>
      <c r="AI437" s="212" t="s">
        <v>449</v>
      </c>
      <c r="AJ437" s="212" t="s">
        <v>294</v>
      </c>
      <c r="AK437" s="212" t="s">
        <v>531</v>
      </c>
      <c r="AL437" s="212" t="s">
        <v>383</v>
      </c>
      <c r="AM437" s="214" t="b">
        <v>1</v>
      </c>
      <c r="AN437" s="214" t="b">
        <v>1</v>
      </c>
      <c r="AO437" s="212" t="s">
        <v>295</v>
      </c>
      <c r="AP437" s="212" t="s">
        <v>296</v>
      </c>
      <c r="AQ437" s="214">
        <v>92.138419999999996</v>
      </c>
      <c r="AR437" s="214" t="b">
        <v>0</v>
      </c>
      <c r="AS437" s="212" t="s">
        <v>534</v>
      </c>
      <c r="AU437" s="222" t="s">
        <v>819</v>
      </c>
    </row>
    <row r="438" spans="1:47" x14ac:dyDescent="0.25">
      <c r="A438" s="245">
        <f t="shared" si="55"/>
        <v>438</v>
      </c>
      <c r="B438" s="246" t="str">
        <f t="shared" si="48"/>
        <v>Oil Field - Tank</v>
      </c>
      <c r="C438" s="246" t="str">
        <f ca="1">IF(B438="","",VLOOKUP(D438,'Species Data'!B:E,4,FALSE))</f>
        <v>c10_comp</v>
      </c>
      <c r="D438" s="246">
        <f t="shared" ca="1" si="49"/>
        <v>1924</v>
      </c>
      <c r="E438" s="246">
        <f t="shared" ca="1" si="50"/>
        <v>8.8999999999999996E-2</v>
      </c>
      <c r="F438" s="246" t="str">
        <f t="shared" ca="1" si="51"/>
        <v>C-10 Compounds</v>
      </c>
      <c r="G438" s="246">
        <f t="shared" ca="1" si="52"/>
        <v>142.28167999999999</v>
      </c>
      <c r="H438" s="204" t="str">
        <f ca="1">IF(G438="","",IF(VLOOKUP(Tank!F438,'Species Data'!D:F,3,FALSE)=0,"X",IF(G438&lt;44.1,2,1)))</f>
        <v>X</v>
      </c>
      <c r="I438" s="204">
        <f t="shared" ca="1" si="53"/>
        <v>0.15904819352932459</v>
      </c>
      <c r="J438" s="247">
        <f ca="1">IF(I438="","",IF(COUNTIF($D$12:D438,D438)=1,IF(H438=1,I438*H438,IF(H438="X","X",0)),0))</f>
        <v>0</v>
      </c>
      <c r="K438" s="248">
        <f t="shared" ca="1" si="54"/>
        <v>0</v>
      </c>
      <c r="L438" s="212" t="s">
        <v>679</v>
      </c>
      <c r="M438" s="212" t="s">
        <v>448</v>
      </c>
      <c r="N438" s="212" t="s">
        <v>470</v>
      </c>
      <c r="O438" s="213">
        <v>41419</v>
      </c>
      <c r="P438" s="212" t="s">
        <v>684</v>
      </c>
      <c r="Q438" s="214">
        <v>100</v>
      </c>
      <c r="R438" s="212" t="s">
        <v>445</v>
      </c>
      <c r="S438" s="212" t="s">
        <v>532</v>
      </c>
      <c r="T438" s="212" t="s">
        <v>445</v>
      </c>
      <c r="U438" s="212" t="s">
        <v>446</v>
      </c>
      <c r="V438" s="214" t="b">
        <v>1</v>
      </c>
      <c r="W438" s="214">
        <v>1989</v>
      </c>
      <c r="X438" s="214">
        <v>5</v>
      </c>
      <c r="Y438" s="214">
        <v>2</v>
      </c>
      <c r="Z438" s="214">
        <v>4</v>
      </c>
      <c r="AA438" s="212" t="s">
        <v>447</v>
      </c>
      <c r="AB438" s="212" t="s">
        <v>531</v>
      </c>
      <c r="AC438" s="212" t="s">
        <v>533</v>
      </c>
      <c r="AD438" s="214">
        <v>1.4879579999999999</v>
      </c>
      <c r="AE438" s="214">
        <v>1924</v>
      </c>
      <c r="AF438" s="214">
        <v>8.8999999999999996E-2</v>
      </c>
      <c r="AG438" s="214">
        <v>-99</v>
      </c>
      <c r="AH438" s="212" t="s">
        <v>224</v>
      </c>
      <c r="AI438" s="212" t="s">
        <v>449</v>
      </c>
      <c r="AJ438" s="212" t="s">
        <v>224</v>
      </c>
      <c r="AK438" s="212" t="s">
        <v>531</v>
      </c>
      <c r="AL438" s="212" t="s">
        <v>466</v>
      </c>
      <c r="AM438" s="214" t="b">
        <v>0</v>
      </c>
      <c r="AN438" s="214" t="b">
        <v>0</v>
      </c>
      <c r="AO438" s="212" t="s">
        <v>535</v>
      </c>
      <c r="AP438" s="212" t="s">
        <v>536</v>
      </c>
      <c r="AQ438" s="214">
        <v>142.28167999999999</v>
      </c>
      <c r="AR438" s="214" t="b">
        <v>0</v>
      </c>
      <c r="AS438" s="212" t="s">
        <v>534</v>
      </c>
      <c r="AU438" s="222" t="s">
        <v>819</v>
      </c>
    </row>
    <row r="439" spans="1:47" x14ac:dyDescent="0.25">
      <c r="A439" s="245">
        <f t="shared" si="55"/>
        <v>439</v>
      </c>
      <c r="B439" s="246" t="str">
        <f t="shared" si="48"/>
        <v>Oil Field - Tank</v>
      </c>
      <c r="C439" s="246" t="str">
        <f ca="1">IF(B439="","",VLOOKUP(D439,'Species Data'!B:E,4,FALSE))</f>
        <v>c11_comp</v>
      </c>
      <c r="D439" s="246">
        <f t="shared" ca="1" si="49"/>
        <v>1929</v>
      </c>
      <c r="E439" s="246">
        <f t="shared" ca="1" si="50"/>
        <v>5.5999999999999999E-3</v>
      </c>
      <c r="F439" s="246" t="str">
        <f t="shared" ca="1" si="51"/>
        <v>C-11 Compounds</v>
      </c>
      <c r="G439" s="246">
        <f t="shared" ca="1" si="52"/>
        <v>156.30826000000002</v>
      </c>
      <c r="H439" s="204" t="str">
        <f ca="1">IF(G439="","",IF(VLOOKUP(Tank!F439,'Species Data'!D:F,3,FALSE)=0,"X",IF(G439&lt;44.1,2,1)))</f>
        <v>X</v>
      </c>
      <c r="I439" s="204">
        <f t="shared" ca="1" si="53"/>
        <v>2.464690327693813E-2</v>
      </c>
      <c r="J439" s="247">
        <f ca="1">IF(I439="","",IF(COUNTIF($D$12:D439,D439)=1,IF(H439=1,I439*H439,IF(H439="X","X",0)),0))</f>
        <v>0</v>
      </c>
      <c r="K439" s="248">
        <f t="shared" ca="1" si="54"/>
        <v>0</v>
      </c>
      <c r="L439" s="212" t="s">
        <v>679</v>
      </c>
      <c r="M439" s="212" t="s">
        <v>448</v>
      </c>
      <c r="N439" s="212" t="s">
        <v>470</v>
      </c>
      <c r="O439" s="213">
        <v>41419</v>
      </c>
      <c r="P439" s="212" t="s">
        <v>684</v>
      </c>
      <c r="Q439" s="214">
        <v>100</v>
      </c>
      <c r="R439" s="212" t="s">
        <v>445</v>
      </c>
      <c r="S439" s="212" t="s">
        <v>532</v>
      </c>
      <c r="T439" s="212" t="s">
        <v>445</v>
      </c>
      <c r="U439" s="212" t="s">
        <v>446</v>
      </c>
      <c r="V439" s="214" t="b">
        <v>1</v>
      </c>
      <c r="W439" s="214">
        <v>1989</v>
      </c>
      <c r="X439" s="214">
        <v>5</v>
      </c>
      <c r="Y439" s="214">
        <v>2</v>
      </c>
      <c r="Z439" s="214">
        <v>4</v>
      </c>
      <c r="AA439" s="212" t="s">
        <v>447</v>
      </c>
      <c r="AB439" s="212" t="s">
        <v>531</v>
      </c>
      <c r="AC439" s="212" t="s">
        <v>533</v>
      </c>
      <c r="AD439" s="214">
        <v>1.4879579999999999</v>
      </c>
      <c r="AE439" s="214">
        <v>1929</v>
      </c>
      <c r="AF439" s="214">
        <v>5.5999999999999999E-3</v>
      </c>
      <c r="AG439" s="214">
        <v>-99</v>
      </c>
      <c r="AH439" s="212" t="s">
        <v>224</v>
      </c>
      <c r="AI439" s="212" t="s">
        <v>449</v>
      </c>
      <c r="AJ439" s="212" t="s">
        <v>224</v>
      </c>
      <c r="AK439" s="212" t="s">
        <v>531</v>
      </c>
      <c r="AL439" s="212" t="s">
        <v>467</v>
      </c>
      <c r="AM439" s="214" t="b">
        <v>0</v>
      </c>
      <c r="AN439" s="214" t="b">
        <v>0</v>
      </c>
      <c r="AO439" s="212" t="s">
        <v>468</v>
      </c>
      <c r="AP439" s="212" t="s">
        <v>469</v>
      </c>
      <c r="AQ439" s="214">
        <v>156.30826000000002</v>
      </c>
      <c r="AR439" s="214" t="b">
        <v>0</v>
      </c>
      <c r="AS439" s="212" t="s">
        <v>534</v>
      </c>
      <c r="AU439" s="222" t="s">
        <v>819</v>
      </c>
    </row>
    <row r="440" spans="1:47" x14ac:dyDescent="0.25">
      <c r="A440" s="245">
        <f t="shared" si="55"/>
        <v>440</v>
      </c>
      <c r="B440" s="246" t="str">
        <f t="shared" si="48"/>
        <v>Oil Field - Tank</v>
      </c>
      <c r="C440" s="246" t="str">
        <f ca="1">IF(B440="","",VLOOKUP(D440,'Species Data'!B:E,4,FALSE))</f>
        <v>c5_comp</v>
      </c>
      <c r="D440" s="246">
        <f t="shared" ca="1" si="49"/>
        <v>1986</v>
      </c>
      <c r="E440" s="246">
        <f t="shared" ca="1" si="50"/>
        <v>2.0335000000000001</v>
      </c>
      <c r="F440" s="246" t="str">
        <f t="shared" ca="1" si="51"/>
        <v>C-5 Compounds</v>
      </c>
      <c r="G440" s="246">
        <f t="shared" ca="1" si="52"/>
        <v>72.148780000000002</v>
      </c>
      <c r="H440" s="204" t="str">
        <f ca="1">IF(G440="","",IF(VLOOKUP(Tank!F440,'Species Data'!D:F,3,FALSE)=0,"X",IF(G440&lt;44.1,2,1)))</f>
        <v>X</v>
      </c>
      <c r="I440" s="204">
        <f t="shared" ca="1" si="53"/>
        <v>2.1162936497523712</v>
      </c>
      <c r="J440" s="247">
        <f ca="1">IF(I440="","",IF(COUNTIF($D$12:D440,D440)=1,IF(H440=1,I440*H440,IF(H440="X","X",0)),0))</f>
        <v>0</v>
      </c>
      <c r="K440" s="248">
        <f t="shared" ca="1" si="54"/>
        <v>0</v>
      </c>
      <c r="L440" s="212" t="s">
        <v>679</v>
      </c>
      <c r="M440" s="212" t="s">
        <v>448</v>
      </c>
      <c r="N440" s="212" t="s">
        <v>470</v>
      </c>
      <c r="O440" s="213">
        <v>41419</v>
      </c>
      <c r="P440" s="212" t="s">
        <v>684</v>
      </c>
      <c r="Q440" s="214">
        <v>100</v>
      </c>
      <c r="R440" s="212" t="s">
        <v>445</v>
      </c>
      <c r="S440" s="212" t="s">
        <v>532</v>
      </c>
      <c r="T440" s="212" t="s">
        <v>445</v>
      </c>
      <c r="U440" s="212" t="s">
        <v>446</v>
      </c>
      <c r="V440" s="214" t="b">
        <v>1</v>
      </c>
      <c r="W440" s="214">
        <v>1989</v>
      </c>
      <c r="X440" s="214">
        <v>5</v>
      </c>
      <c r="Y440" s="214">
        <v>2</v>
      </c>
      <c r="Z440" s="214">
        <v>4</v>
      </c>
      <c r="AA440" s="212" t="s">
        <v>447</v>
      </c>
      <c r="AB440" s="212" t="s">
        <v>531</v>
      </c>
      <c r="AC440" s="212" t="s">
        <v>533</v>
      </c>
      <c r="AD440" s="214">
        <v>1.4879579999999999</v>
      </c>
      <c r="AE440" s="214">
        <v>1986</v>
      </c>
      <c r="AF440" s="214">
        <v>2.0335000000000001</v>
      </c>
      <c r="AG440" s="214">
        <v>-99</v>
      </c>
      <c r="AH440" s="212" t="s">
        <v>224</v>
      </c>
      <c r="AI440" s="212" t="s">
        <v>449</v>
      </c>
      <c r="AJ440" s="212" t="s">
        <v>224</v>
      </c>
      <c r="AK440" s="212" t="s">
        <v>531</v>
      </c>
      <c r="AL440" s="212" t="s">
        <v>537</v>
      </c>
      <c r="AM440" s="214" t="b">
        <v>0</v>
      </c>
      <c r="AN440" s="214" t="b">
        <v>0</v>
      </c>
      <c r="AO440" s="212" t="s">
        <v>538</v>
      </c>
      <c r="AP440" s="212" t="s">
        <v>539</v>
      </c>
      <c r="AQ440" s="214">
        <v>72.148780000000002</v>
      </c>
      <c r="AR440" s="214" t="b">
        <v>0</v>
      </c>
      <c r="AS440" s="212" t="s">
        <v>534</v>
      </c>
      <c r="AU440" s="222" t="s">
        <v>819</v>
      </c>
    </row>
    <row r="441" spans="1:47" x14ac:dyDescent="0.25">
      <c r="A441" s="245">
        <f t="shared" si="55"/>
        <v>441</v>
      </c>
      <c r="B441" s="246" t="str">
        <f t="shared" si="48"/>
        <v>Oil Field - Tank</v>
      </c>
      <c r="C441" s="246" t="str">
        <f ca="1">IF(B441="","",VLOOKUP(D441,'Species Data'!B:E,4,FALSE))</f>
        <v>c6_comp</v>
      </c>
      <c r="D441" s="246">
        <f t="shared" ca="1" si="49"/>
        <v>1999</v>
      </c>
      <c r="E441" s="246">
        <f t="shared" ca="1" si="50"/>
        <v>2.4887999999999999</v>
      </c>
      <c r="F441" s="246" t="str">
        <f t="shared" ca="1" si="51"/>
        <v>C-6 Compounds</v>
      </c>
      <c r="G441" s="246">
        <f t="shared" ca="1" si="52"/>
        <v>86.175359999999998</v>
      </c>
      <c r="H441" s="204" t="str">
        <f ca="1">IF(G441="","",IF(VLOOKUP(Tank!F441,'Species Data'!D:F,3,FALSE)=0,"X",IF(G441&lt;44.1,2,1)))</f>
        <v>X</v>
      </c>
      <c r="I441" s="204">
        <f t="shared" ca="1" si="53"/>
        <v>3.9709781213899662</v>
      </c>
      <c r="J441" s="247">
        <f ca="1">IF(I441="","",IF(COUNTIF($D$12:D441,D441)=1,IF(H441=1,I441*H441,IF(H441="X","X",0)),0))</f>
        <v>0</v>
      </c>
      <c r="K441" s="248">
        <f t="shared" ca="1" si="54"/>
        <v>0</v>
      </c>
      <c r="L441" s="212" t="s">
        <v>679</v>
      </c>
      <c r="M441" s="212" t="s">
        <v>448</v>
      </c>
      <c r="N441" s="212" t="s">
        <v>470</v>
      </c>
      <c r="O441" s="213">
        <v>41419</v>
      </c>
      <c r="P441" s="212" t="s">
        <v>684</v>
      </c>
      <c r="Q441" s="214">
        <v>100</v>
      </c>
      <c r="R441" s="212" t="s">
        <v>445</v>
      </c>
      <c r="S441" s="212" t="s">
        <v>532</v>
      </c>
      <c r="T441" s="212" t="s">
        <v>445</v>
      </c>
      <c r="U441" s="212" t="s">
        <v>446</v>
      </c>
      <c r="V441" s="214" t="b">
        <v>1</v>
      </c>
      <c r="W441" s="214">
        <v>1989</v>
      </c>
      <c r="X441" s="214">
        <v>5</v>
      </c>
      <c r="Y441" s="214">
        <v>2</v>
      </c>
      <c r="Z441" s="214">
        <v>4</v>
      </c>
      <c r="AA441" s="212" t="s">
        <v>447</v>
      </c>
      <c r="AB441" s="212" t="s">
        <v>531</v>
      </c>
      <c r="AC441" s="212" t="s">
        <v>533</v>
      </c>
      <c r="AD441" s="214">
        <v>1.4879579999999999</v>
      </c>
      <c r="AE441" s="214">
        <v>1999</v>
      </c>
      <c r="AF441" s="214">
        <v>2.4887999999999999</v>
      </c>
      <c r="AG441" s="214">
        <v>-99</v>
      </c>
      <c r="AH441" s="212" t="s">
        <v>224</v>
      </c>
      <c r="AI441" s="212" t="s">
        <v>449</v>
      </c>
      <c r="AJ441" s="212" t="s">
        <v>224</v>
      </c>
      <c r="AK441" s="212" t="s">
        <v>531</v>
      </c>
      <c r="AL441" s="212" t="s">
        <v>540</v>
      </c>
      <c r="AM441" s="214" t="b">
        <v>0</v>
      </c>
      <c r="AN441" s="214" t="b">
        <v>0</v>
      </c>
      <c r="AO441" s="212" t="s">
        <v>541</v>
      </c>
      <c r="AP441" s="212" t="s">
        <v>542</v>
      </c>
      <c r="AQ441" s="214">
        <v>86.175359999999998</v>
      </c>
      <c r="AR441" s="214" t="b">
        <v>0</v>
      </c>
      <c r="AS441" s="212" t="s">
        <v>534</v>
      </c>
      <c r="AU441" s="222" t="s">
        <v>819</v>
      </c>
    </row>
    <row r="442" spans="1:47" x14ac:dyDescent="0.25">
      <c r="A442" s="245">
        <f t="shared" si="55"/>
        <v>442</v>
      </c>
      <c r="B442" s="246" t="str">
        <f t="shared" si="48"/>
        <v>Oil Field - Tank</v>
      </c>
      <c r="C442" s="246" t="str">
        <f ca="1">IF(B442="","",VLOOKUP(D442,'Species Data'!B:E,4,FALSE))</f>
        <v>c7_comp</v>
      </c>
      <c r="D442" s="246">
        <f t="shared" ca="1" si="49"/>
        <v>2005</v>
      </c>
      <c r="E442" s="246">
        <f t="shared" ca="1" si="50"/>
        <v>1.7315</v>
      </c>
      <c r="F442" s="246" t="str">
        <f t="shared" ca="1" si="51"/>
        <v>C-7 Compounds</v>
      </c>
      <c r="G442" s="246">
        <f t="shared" ca="1" si="52"/>
        <v>100.20194000000001</v>
      </c>
      <c r="H442" s="204" t="str">
        <f ca="1">IF(G442="","",IF(VLOOKUP(Tank!F442,'Species Data'!D:F,3,FALSE)=0,"X",IF(G442&lt;44.1,2,1)))</f>
        <v>X</v>
      </c>
      <c r="I442" s="204">
        <f t="shared" ca="1" si="53"/>
        <v>2.5253842436887401</v>
      </c>
      <c r="J442" s="247">
        <f ca="1">IF(I442="","",IF(COUNTIF($D$12:D442,D442)=1,IF(H442=1,I442*H442,IF(H442="X","X",0)),0))</f>
        <v>0</v>
      </c>
      <c r="K442" s="248">
        <f t="shared" ca="1" si="54"/>
        <v>0</v>
      </c>
      <c r="L442" s="212" t="s">
        <v>679</v>
      </c>
      <c r="M442" s="212" t="s">
        <v>448</v>
      </c>
      <c r="N442" s="212" t="s">
        <v>470</v>
      </c>
      <c r="O442" s="213">
        <v>41419</v>
      </c>
      <c r="P442" s="212" t="s">
        <v>684</v>
      </c>
      <c r="Q442" s="214">
        <v>100</v>
      </c>
      <c r="R442" s="212" t="s">
        <v>445</v>
      </c>
      <c r="S442" s="212" t="s">
        <v>532</v>
      </c>
      <c r="T442" s="212" t="s">
        <v>445</v>
      </c>
      <c r="U442" s="212" t="s">
        <v>446</v>
      </c>
      <c r="V442" s="214" t="b">
        <v>1</v>
      </c>
      <c r="W442" s="214">
        <v>1989</v>
      </c>
      <c r="X442" s="214">
        <v>5</v>
      </c>
      <c r="Y442" s="214">
        <v>2</v>
      </c>
      <c r="Z442" s="214">
        <v>4</v>
      </c>
      <c r="AA442" s="212" t="s">
        <v>447</v>
      </c>
      <c r="AB442" s="212" t="s">
        <v>531</v>
      </c>
      <c r="AC442" s="212" t="s">
        <v>533</v>
      </c>
      <c r="AD442" s="214">
        <v>1.4879579999999999</v>
      </c>
      <c r="AE442" s="214">
        <v>2005</v>
      </c>
      <c r="AF442" s="214">
        <v>1.7315</v>
      </c>
      <c r="AG442" s="214">
        <v>-99</v>
      </c>
      <c r="AH442" s="212" t="s">
        <v>224</v>
      </c>
      <c r="AI442" s="212" t="s">
        <v>449</v>
      </c>
      <c r="AJ442" s="212" t="s">
        <v>224</v>
      </c>
      <c r="AK442" s="212" t="s">
        <v>531</v>
      </c>
      <c r="AL442" s="212" t="s">
        <v>543</v>
      </c>
      <c r="AM442" s="214" t="b">
        <v>0</v>
      </c>
      <c r="AN442" s="214" t="b">
        <v>0</v>
      </c>
      <c r="AO442" s="212" t="s">
        <v>544</v>
      </c>
      <c r="AP442" s="212" t="s">
        <v>545</v>
      </c>
      <c r="AQ442" s="214">
        <v>100.20194000000001</v>
      </c>
      <c r="AR442" s="214" t="b">
        <v>0</v>
      </c>
      <c r="AS442" s="212" t="s">
        <v>534</v>
      </c>
      <c r="AU442" s="222" t="s">
        <v>819</v>
      </c>
    </row>
    <row r="443" spans="1:47" x14ac:dyDescent="0.25">
      <c r="A443" s="245">
        <f t="shared" si="55"/>
        <v>443</v>
      </c>
      <c r="B443" s="246" t="str">
        <f t="shared" si="48"/>
        <v>Oil Field - Tank</v>
      </c>
      <c r="C443" s="246" t="str">
        <f ca="1">IF(B443="","",VLOOKUP(D443,'Species Data'!B:E,4,FALSE))</f>
        <v>c8_comp</v>
      </c>
      <c r="D443" s="246">
        <f t="shared" ca="1" si="49"/>
        <v>2011</v>
      </c>
      <c r="E443" s="246">
        <f t="shared" ca="1" si="50"/>
        <v>0.98709999999999998</v>
      </c>
      <c r="F443" s="246" t="str">
        <f t="shared" ca="1" si="51"/>
        <v>C-8 Compounds</v>
      </c>
      <c r="G443" s="246">
        <f t="shared" ca="1" si="52"/>
        <v>113.21160686946486</v>
      </c>
      <c r="H443" s="204" t="str">
        <f ca="1">IF(G443="","",IF(VLOOKUP(Tank!F443,'Species Data'!D:F,3,FALSE)=0,"X",IF(G443&lt;44.1,2,1)))</f>
        <v>X</v>
      </c>
      <c r="I443" s="204">
        <f t="shared" ca="1" si="53"/>
        <v>1.3164259710226556</v>
      </c>
      <c r="J443" s="247">
        <f ca="1">IF(I443="","",IF(COUNTIF($D$12:D443,D443)=1,IF(H443=1,I443*H443,IF(H443="X","X",0)),0))</f>
        <v>0</v>
      </c>
      <c r="K443" s="248">
        <f t="shared" ca="1" si="54"/>
        <v>0</v>
      </c>
      <c r="L443" s="212" t="s">
        <v>679</v>
      </c>
      <c r="M443" s="212" t="s">
        <v>448</v>
      </c>
      <c r="N443" s="212" t="s">
        <v>470</v>
      </c>
      <c r="O443" s="213">
        <v>41419</v>
      </c>
      <c r="P443" s="212" t="s">
        <v>684</v>
      </c>
      <c r="Q443" s="214">
        <v>100</v>
      </c>
      <c r="R443" s="212" t="s">
        <v>445</v>
      </c>
      <c r="S443" s="212" t="s">
        <v>532</v>
      </c>
      <c r="T443" s="212" t="s">
        <v>445</v>
      </c>
      <c r="U443" s="212" t="s">
        <v>446</v>
      </c>
      <c r="V443" s="214" t="b">
        <v>1</v>
      </c>
      <c r="W443" s="214">
        <v>1989</v>
      </c>
      <c r="X443" s="214">
        <v>5</v>
      </c>
      <c r="Y443" s="214">
        <v>2</v>
      </c>
      <c r="Z443" s="214">
        <v>4</v>
      </c>
      <c r="AA443" s="212" t="s">
        <v>447</v>
      </c>
      <c r="AB443" s="212" t="s">
        <v>531</v>
      </c>
      <c r="AC443" s="212" t="s">
        <v>533</v>
      </c>
      <c r="AD443" s="214">
        <v>1.4879579999999999</v>
      </c>
      <c r="AE443" s="214">
        <v>2011</v>
      </c>
      <c r="AF443" s="214">
        <v>0.98709999999999998</v>
      </c>
      <c r="AG443" s="214">
        <v>-99</v>
      </c>
      <c r="AH443" s="212" t="s">
        <v>224</v>
      </c>
      <c r="AI443" s="212" t="s">
        <v>449</v>
      </c>
      <c r="AJ443" s="212" t="s">
        <v>224</v>
      </c>
      <c r="AK443" s="212" t="s">
        <v>531</v>
      </c>
      <c r="AL443" s="212" t="s">
        <v>546</v>
      </c>
      <c r="AM443" s="214" t="b">
        <v>0</v>
      </c>
      <c r="AN443" s="214" t="b">
        <v>0</v>
      </c>
      <c r="AO443" s="212" t="s">
        <v>547</v>
      </c>
      <c r="AP443" s="212" t="s">
        <v>548</v>
      </c>
      <c r="AQ443" s="214">
        <v>113.21160686946486</v>
      </c>
      <c r="AR443" s="214" t="b">
        <v>0</v>
      </c>
      <c r="AS443" s="212" t="s">
        <v>534</v>
      </c>
      <c r="AU443" s="222" t="s">
        <v>819</v>
      </c>
    </row>
    <row r="444" spans="1:47" x14ac:dyDescent="0.25">
      <c r="A444" s="245">
        <f t="shared" si="55"/>
        <v>444</v>
      </c>
      <c r="B444" s="246" t="str">
        <f t="shared" si="48"/>
        <v>Oil Field - Tank</v>
      </c>
      <c r="C444" s="246" t="str">
        <f ca="1">IF(B444="","",VLOOKUP(D444,'Species Data'!B:E,4,FALSE))</f>
        <v>c9_comp</v>
      </c>
      <c r="D444" s="246">
        <f t="shared" ca="1" si="49"/>
        <v>2018</v>
      </c>
      <c r="E444" s="246">
        <f t="shared" ca="1" si="50"/>
        <v>0.45119999999999999</v>
      </c>
      <c r="F444" s="246" t="str">
        <f t="shared" ca="1" si="51"/>
        <v>C-9 Compounds</v>
      </c>
      <c r="G444" s="246">
        <f t="shared" ca="1" si="52"/>
        <v>127.23917598649743</v>
      </c>
      <c r="H444" s="204" t="str">
        <f ca="1">IF(G444="","",IF(VLOOKUP(Tank!F444,'Species Data'!D:F,3,FALSE)=0,"X",IF(G444&lt;44.1,2,1)))</f>
        <v>X</v>
      </c>
      <c r="I444" s="204">
        <f t="shared" ca="1" si="53"/>
        <v>0.54975194428533192</v>
      </c>
      <c r="J444" s="247">
        <f ca="1">IF(I444="","",IF(COUNTIF($D$12:D444,D444)=1,IF(H444=1,I444*H444,IF(H444="X","X",0)),0))</f>
        <v>0</v>
      </c>
      <c r="K444" s="248">
        <f t="shared" ca="1" si="54"/>
        <v>0</v>
      </c>
      <c r="L444" s="212" t="s">
        <v>679</v>
      </c>
      <c r="M444" s="212" t="s">
        <v>448</v>
      </c>
      <c r="N444" s="212" t="s">
        <v>470</v>
      </c>
      <c r="O444" s="213">
        <v>41419</v>
      </c>
      <c r="P444" s="212" t="s">
        <v>684</v>
      </c>
      <c r="Q444" s="214">
        <v>100</v>
      </c>
      <c r="R444" s="212" t="s">
        <v>445</v>
      </c>
      <c r="S444" s="212" t="s">
        <v>532</v>
      </c>
      <c r="T444" s="212" t="s">
        <v>445</v>
      </c>
      <c r="U444" s="212" t="s">
        <v>446</v>
      </c>
      <c r="V444" s="214" t="b">
        <v>1</v>
      </c>
      <c r="W444" s="214">
        <v>1989</v>
      </c>
      <c r="X444" s="214">
        <v>5</v>
      </c>
      <c r="Y444" s="214">
        <v>2</v>
      </c>
      <c r="Z444" s="214">
        <v>4</v>
      </c>
      <c r="AA444" s="212" t="s">
        <v>447</v>
      </c>
      <c r="AB444" s="212" t="s">
        <v>531</v>
      </c>
      <c r="AC444" s="212" t="s">
        <v>533</v>
      </c>
      <c r="AD444" s="214">
        <v>1.4879579999999999</v>
      </c>
      <c r="AE444" s="214">
        <v>2018</v>
      </c>
      <c r="AF444" s="214">
        <v>0.45119999999999999</v>
      </c>
      <c r="AG444" s="214">
        <v>-99</v>
      </c>
      <c r="AH444" s="212" t="s">
        <v>224</v>
      </c>
      <c r="AI444" s="212" t="s">
        <v>449</v>
      </c>
      <c r="AJ444" s="212" t="s">
        <v>224</v>
      </c>
      <c r="AK444" s="212" t="s">
        <v>531</v>
      </c>
      <c r="AL444" s="212" t="s">
        <v>464</v>
      </c>
      <c r="AM444" s="214" t="b">
        <v>0</v>
      </c>
      <c r="AN444" s="214" t="b">
        <v>0</v>
      </c>
      <c r="AO444" s="212" t="s">
        <v>549</v>
      </c>
      <c r="AP444" s="212" t="s">
        <v>550</v>
      </c>
      <c r="AQ444" s="214">
        <v>127.23917598649743</v>
      </c>
      <c r="AR444" s="214" t="b">
        <v>0</v>
      </c>
      <c r="AS444" s="212" t="s">
        <v>534</v>
      </c>
      <c r="AU444" s="222" t="s">
        <v>819</v>
      </c>
    </row>
    <row r="445" spans="1:47" x14ac:dyDescent="0.25">
      <c r="A445" s="245">
        <f t="shared" si="55"/>
        <v>445</v>
      </c>
      <c r="B445" s="246" t="str">
        <f t="shared" si="48"/>
        <v>Oil Field - Tank</v>
      </c>
      <c r="C445" s="246" t="str">
        <f ca="1">IF(B445="","",VLOOKUP(D445,'Species Data'!B:E,4,FALSE))</f>
        <v>isobutben</v>
      </c>
      <c r="D445" s="246">
        <f t="shared" ca="1" si="49"/>
        <v>3</v>
      </c>
      <c r="E445" s="246">
        <f t="shared" ca="1" si="50"/>
        <v>6.9999999999999999E-4</v>
      </c>
      <c r="F445" s="246" t="str">
        <f t="shared" ca="1" si="51"/>
        <v>(2-methylpropyl)benzene; isobutylbenzene</v>
      </c>
      <c r="G445" s="246">
        <f t="shared" ca="1" si="52"/>
        <v>134.21816000000001</v>
      </c>
      <c r="H445" s="204" t="str">
        <f ca="1">IF(G445="","",IF(VLOOKUP(Tank!F445,'Species Data'!D:F,3,FALSE)=0,"X",IF(G445&lt;44.1,2,1)))</f>
        <v>X</v>
      </c>
      <c r="I445" s="204">
        <f t="shared" ca="1" si="53"/>
        <v>1.3866799787944635E-3</v>
      </c>
      <c r="J445" s="247">
        <f ca="1">IF(I445="","",IF(COUNTIF($D$12:D445,D445)=1,IF(H445=1,I445*H445,IF(H445="X","X",0)),0))</f>
        <v>0</v>
      </c>
      <c r="K445" s="248">
        <f t="shared" ca="1" si="54"/>
        <v>0</v>
      </c>
      <c r="L445" s="212" t="s">
        <v>679</v>
      </c>
      <c r="M445" s="212" t="s">
        <v>448</v>
      </c>
      <c r="N445" s="212" t="s">
        <v>470</v>
      </c>
      <c r="O445" s="213">
        <v>41419</v>
      </c>
      <c r="P445" s="212" t="s">
        <v>531</v>
      </c>
      <c r="Q445" s="214">
        <v>100</v>
      </c>
      <c r="R445" s="212" t="s">
        <v>445</v>
      </c>
      <c r="S445" s="212" t="s">
        <v>532</v>
      </c>
      <c r="T445" s="212" t="s">
        <v>445</v>
      </c>
      <c r="U445" s="212" t="s">
        <v>446</v>
      </c>
      <c r="V445" s="214" t="b">
        <v>1</v>
      </c>
      <c r="W445" s="214">
        <v>1989</v>
      </c>
      <c r="X445" s="214">
        <v>5</v>
      </c>
      <c r="Y445" s="214">
        <v>2</v>
      </c>
      <c r="Z445" s="214">
        <v>4</v>
      </c>
      <c r="AA445" s="212" t="s">
        <v>447</v>
      </c>
      <c r="AB445" s="212" t="s">
        <v>531</v>
      </c>
      <c r="AC445" s="212" t="s">
        <v>533</v>
      </c>
      <c r="AD445" s="214">
        <v>3.7325270000000002</v>
      </c>
      <c r="AE445" s="214">
        <v>3</v>
      </c>
      <c r="AF445" s="214">
        <v>6.9999999999999999E-4</v>
      </c>
      <c r="AG445" s="214">
        <v>-99</v>
      </c>
      <c r="AH445" s="212" t="s">
        <v>224</v>
      </c>
      <c r="AI445" s="212" t="s">
        <v>449</v>
      </c>
      <c r="AJ445" s="212" t="s">
        <v>425</v>
      </c>
      <c r="AK445" s="212" t="s">
        <v>531</v>
      </c>
      <c r="AL445" s="212" t="s">
        <v>456</v>
      </c>
      <c r="AM445" s="214" t="b">
        <v>0</v>
      </c>
      <c r="AN445" s="214" t="b">
        <v>0</v>
      </c>
      <c r="AO445" s="212" t="s">
        <v>426</v>
      </c>
      <c r="AP445" s="212" t="s">
        <v>531</v>
      </c>
      <c r="AQ445" s="214">
        <v>134.21816000000001</v>
      </c>
      <c r="AR445" s="214" t="b">
        <v>0</v>
      </c>
      <c r="AS445" s="212" t="s">
        <v>534</v>
      </c>
      <c r="AU445" s="222" t="s">
        <v>819</v>
      </c>
    </row>
    <row r="446" spans="1:47" x14ac:dyDescent="0.25">
      <c r="A446" s="245">
        <f t="shared" si="55"/>
        <v>446</v>
      </c>
      <c r="B446" s="246" t="str">
        <f t="shared" si="48"/>
        <v>Oil Field - Tank</v>
      </c>
      <c r="C446" s="246" t="str">
        <f ca="1">IF(B446="","",VLOOKUP(D446,'Species Data'!B:E,4,FALSE))</f>
        <v>trimethben123</v>
      </c>
      <c r="D446" s="246">
        <f t="shared" ca="1" si="49"/>
        <v>25</v>
      </c>
      <c r="E446" s="246">
        <f t="shared" ca="1" si="50"/>
        <v>2.0799999999999999E-2</v>
      </c>
      <c r="F446" s="246" t="str">
        <f t="shared" ca="1" si="51"/>
        <v>1,2,3-trimethylbenzene</v>
      </c>
      <c r="G446" s="246">
        <f t="shared" ca="1" si="52"/>
        <v>120.19158</v>
      </c>
      <c r="H446" s="204">
        <f ca="1">IF(G446="","",IF(VLOOKUP(Tank!F446,'Species Data'!D:F,3,FALSE)=0,"X",IF(G446&lt;44.1,2,1)))</f>
        <v>1</v>
      </c>
      <c r="I446" s="204">
        <f t="shared" ca="1" si="53"/>
        <v>1.0560101376973221E-2</v>
      </c>
      <c r="J446" s="247">
        <f ca="1">IF(I446="","",IF(COUNTIF($D$12:D446,D446)=1,IF(H446=1,I446*H446,IF(H446="X","X",0)),0))</f>
        <v>0</v>
      </c>
      <c r="K446" s="248">
        <f t="shared" ca="1" si="54"/>
        <v>0</v>
      </c>
      <c r="L446" s="212" t="s">
        <v>679</v>
      </c>
      <c r="M446" s="212" t="s">
        <v>448</v>
      </c>
      <c r="N446" s="212" t="s">
        <v>470</v>
      </c>
      <c r="O446" s="213">
        <v>41419</v>
      </c>
      <c r="P446" s="212" t="s">
        <v>531</v>
      </c>
      <c r="Q446" s="214">
        <v>100</v>
      </c>
      <c r="R446" s="212" t="s">
        <v>445</v>
      </c>
      <c r="S446" s="212" t="s">
        <v>532</v>
      </c>
      <c r="T446" s="212" t="s">
        <v>445</v>
      </c>
      <c r="U446" s="212" t="s">
        <v>446</v>
      </c>
      <c r="V446" s="214" t="b">
        <v>1</v>
      </c>
      <c r="W446" s="214">
        <v>1989</v>
      </c>
      <c r="X446" s="214">
        <v>5</v>
      </c>
      <c r="Y446" s="214">
        <v>2</v>
      </c>
      <c r="Z446" s="214">
        <v>4</v>
      </c>
      <c r="AA446" s="212" t="s">
        <v>447</v>
      </c>
      <c r="AB446" s="212" t="s">
        <v>531</v>
      </c>
      <c r="AC446" s="212" t="s">
        <v>533</v>
      </c>
      <c r="AD446" s="214">
        <v>3.7325270000000002</v>
      </c>
      <c r="AE446" s="214">
        <v>25</v>
      </c>
      <c r="AF446" s="214">
        <v>2.0799999999999999E-2</v>
      </c>
      <c r="AG446" s="214">
        <v>-99</v>
      </c>
      <c r="AH446" s="212" t="s">
        <v>224</v>
      </c>
      <c r="AI446" s="212" t="s">
        <v>449</v>
      </c>
      <c r="AJ446" s="212" t="s">
        <v>627</v>
      </c>
      <c r="AK446" s="212" t="s">
        <v>531</v>
      </c>
      <c r="AL446" s="212" t="s">
        <v>628</v>
      </c>
      <c r="AM446" s="214" t="b">
        <v>1</v>
      </c>
      <c r="AN446" s="214" t="b">
        <v>0</v>
      </c>
      <c r="AO446" s="212" t="s">
        <v>629</v>
      </c>
      <c r="AP446" s="212" t="s">
        <v>630</v>
      </c>
      <c r="AQ446" s="214">
        <v>120.19158</v>
      </c>
      <c r="AR446" s="214" t="b">
        <v>0</v>
      </c>
      <c r="AS446" s="212" t="s">
        <v>534</v>
      </c>
      <c r="AU446" s="222" t="s">
        <v>819</v>
      </c>
    </row>
    <row r="447" spans="1:47" x14ac:dyDescent="0.25">
      <c r="A447" s="245">
        <f t="shared" si="55"/>
        <v>447</v>
      </c>
      <c r="B447" s="246" t="str">
        <f t="shared" si="48"/>
        <v>Oil Field - Tank</v>
      </c>
      <c r="C447" s="246" t="str">
        <f ca="1">IF(B447="","",VLOOKUP(D447,'Species Data'!B:E,4,FALSE))</f>
        <v>trimetben124</v>
      </c>
      <c r="D447" s="246">
        <f t="shared" ca="1" si="49"/>
        <v>30</v>
      </c>
      <c r="E447" s="246">
        <f t="shared" ca="1" si="50"/>
        <v>8.9999999999999998E-4</v>
      </c>
      <c r="F447" s="246" t="str">
        <f t="shared" ca="1" si="51"/>
        <v>1,2,4-trimethylbenzene  (1,3,4-trimethylbenzene)</v>
      </c>
      <c r="G447" s="246">
        <f t="shared" ca="1" si="52"/>
        <v>120.19158</v>
      </c>
      <c r="H447" s="204">
        <f ca="1">IF(G447="","",IF(VLOOKUP(Tank!F447,'Species Data'!D:F,3,FALSE)=0,"X",IF(G447&lt;44.1,2,1)))</f>
        <v>1</v>
      </c>
      <c r="I447" s="204">
        <f t="shared" ca="1" si="53"/>
        <v>1.1400109441050636E-2</v>
      </c>
      <c r="J447" s="247">
        <f ca="1">IF(I447="","",IF(COUNTIF($D$12:D447,D447)=1,IF(H447=1,I447*H447,IF(H447="X","X",0)),0))</f>
        <v>0</v>
      </c>
      <c r="K447" s="248">
        <f t="shared" ca="1" si="54"/>
        <v>0</v>
      </c>
      <c r="L447" s="212" t="s">
        <v>679</v>
      </c>
      <c r="M447" s="212" t="s">
        <v>448</v>
      </c>
      <c r="N447" s="212" t="s">
        <v>470</v>
      </c>
      <c r="O447" s="213">
        <v>41419</v>
      </c>
      <c r="P447" s="212" t="s">
        <v>531</v>
      </c>
      <c r="Q447" s="214">
        <v>100</v>
      </c>
      <c r="R447" s="212" t="s">
        <v>445</v>
      </c>
      <c r="S447" s="212" t="s">
        <v>532</v>
      </c>
      <c r="T447" s="212" t="s">
        <v>445</v>
      </c>
      <c r="U447" s="212" t="s">
        <v>446</v>
      </c>
      <c r="V447" s="214" t="b">
        <v>1</v>
      </c>
      <c r="W447" s="214">
        <v>1989</v>
      </c>
      <c r="X447" s="214">
        <v>5</v>
      </c>
      <c r="Y447" s="214">
        <v>2</v>
      </c>
      <c r="Z447" s="214">
        <v>4</v>
      </c>
      <c r="AA447" s="212" t="s">
        <v>447</v>
      </c>
      <c r="AB447" s="212" t="s">
        <v>531</v>
      </c>
      <c r="AC447" s="212" t="s">
        <v>533</v>
      </c>
      <c r="AD447" s="214">
        <v>3.7325270000000002</v>
      </c>
      <c r="AE447" s="214">
        <v>30</v>
      </c>
      <c r="AF447" s="214">
        <v>8.9999999999999998E-4</v>
      </c>
      <c r="AG447" s="214">
        <v>-99</v>
      </c>
      <c r="AH447" s="212" t="s">
        <v>224</v>
      </c>
      <c r="AI447" s="212" t="s">
        <v>449</v>
      </c>
      <c r="AJ447" s="212" t="s">
        <v>359</v>
      </c>
      <c r="AK447" s="212" t="s">
        <v>531</v>
      </c>
      <c r="AL447" s="212" t="s">
        <v>531</v>
      </c>
      <c r="AM447" s="214" t="b">
        <v>1</v>
      </c>
      <c r="AN447" s="214" t="b">
        <v>0</v>
      </c>
      <c r="AO447" s="212" t="s">
        <v>360</v>
      </c>
      <c r="AP447" s="212" t="s">
        <v>361</v>
      </c>
      <c r="AQ447" s="214">
        <v>120.19158</v>
      </c>
      <c r="AR447" s="214" t="b">
        <v>0</v>
      </c>
      <c r="AS447" s="212" t="s">
        <v>534</v>
      </c>
      <c r="AU447" s="222" t="s">
        <v>819</v>
      </c>
    </row>
    <row r="448" spans="1:47" x14ac:dyDescent="0.25">
      <c r="A448" s="245">
        <f t="shared" si="55"/>
        <v>448</v>
      </c>
      <c r="B448" s="246" t="str">
        <f t="shared" si="48"/>
        <v>Oil Field - Tank</v>
      </c>
      <c r="C448" s="246" t="str">
        <f ca="1">IF(B448="","",VLOOKUP(D448,'Species Data'!B:E,4,FALSE))</f>
        <v>trimethben135</v>
      </c>
      <c r="D448" s="246">
        <f t="shared" ca="1" si="49"/>
        <v>44</v>
      </c>
      <c r="E448" s="246">
        <f t="shared" ca="1" si="50"/>
        <v>5.9999999999999995E-4</v>
      </c>
      <c r="F448" s="246" t="str">
        <f t="shared" ca="1" si="51"/>
        <v>1,3,5-trimethylbenzene</v>
      </c>
      <c r="G448" s="246">
        <f t="shared" ca="1" si="52"/>
        <v>120.19158</v>
      </c>
      <c r="H448" s="204">
        <f ca="1">IF(G448="","",IF(VLOOKUP(Tank!F448,'Species Data'!D:F,3,FALSE)=0,"X",IF(G448&lt;44.1,2,1)))</f>
        <v>1</v>
      </c>
      <c r="I448" s="204">
        <f t="shared" ca="1" si="53"/>
        <v>1.3046791915869061E-2</v>
      </c>
      <c r="J448" s="247">
        <f ca="1">IF(I448="","",IF(COUNTIF($D$12:D448,D448)=1,IF(H448=1,I448*H448,IF(H448="X","X",0)),0))</f>
        <v>0</v>
      </c>
      <c r="K448" s="248">
        <f t="shared" ca="1" si="54"/>
        <v>0</v>
      </c>
      <c r="L448" s="212" t="s">
        <v>679</v>
      </c>
      <c r="M448" s="212" t="s">
        <v>448</v>
      </c>
      <c r="N448" s="212" t="s">
        <v>470</v>
      </c>
      <c r="O448" s="213">
        <v>41419</v>
      </c>
      <c r="P448" s="212" t="s">
        <v>531</v>
      </c>
      <c r="Q448" s="214">
        <v>100</v>
      </c>
      <c r="R448" s="212" t="s">
        <v>445</v>
      </c>
      <c r="S448" s="212" t="s">
        <v>532</v>
      </c>
      <c r="T448" s="212" t="s">
        <v>445</v>
      </c>
      <c r="U448" s="212" t="s">
        <v>446</v>
      </c>
      <c r="V448" s="214" t="b">
        <v>1</v>
      </c>
      <c r="W448" s="214">
        <v>1989</v>
      </c>
      <c r="X448" s="214">
        <v>5</v>
      </c>
      <c r="Y448" s="214">
        <v>2</v>
      </c>
      <c r="Z448" s="214">
        <v>4</v>
      </c>
      <c r="AA448" s="212" t="s">
        <v>447</v>
      </c>
      <c r="AB448" s="212" t="s">
        <v>531</v>
      </c>
      <c r="AC448" s="212" t="s">
        <v>533</v>
      </c>
      <c r="AD448" s="214">
        <v>3.7325270000000002</v>
      </c>
      <c r="AE448" s="214">
        <v>44</v>
      </c>
      <c r="AF448" s="214">
        <v>5.9999999999999995E-4</v>
      </c>
      <c r="AG448" s="214">
        <v>-99</v>
      </c>
      <c r="AH448" s="212" t="s">
        <v>224</v>
      </c>
      <c r="AI448" s="212" t="s">
        <v>449</v>
      </c>
      <c r="AJ448" s="212" t="s">
        <v>400</v>
      </c>
      <c r="AK448" s="212" t="s">
        <v>531</v>
      </c>
      <c r="AL448" s="212" t="s">
        <v>401</v>
      </c>
      <c r="AM448" s="214" t="b">
        <v>1</v>
      </c>
      <c r="AN448" s="214" t="b">
        <v>0</v>
      </c>
      <c r="AO448" s="212" t="s">
        <v>402</v>
      </c>
      <c r="AP448" s="212" t="s">
        <v>403</v>
      </c>
      <c r="AQ448" s="214">
        <v>120.19158</v>
      </c>
      <c r="AR448" s="214" t="b">
        <v>0</v>
      </c>
      <c r="AS448" s="212" t="s">
        <v>534</v>
      </c>
      <c r="AU448" s="222" t="s">
        <v>819</v>
      </c>
    </row>
    <row r="449" spans="1:47" x14ac:dyDescent="0.25">
      <c r="A449" s="245">
        <f t="shared" si="55"/>
        <v>449</v>
      </c>
      <c r="B449" s="246" t="str">
        <f t="shared" si="48"/>
        <v>Oil Field - Tank</v>
      </c>
      <c r="C449" s="246" t="str">
        <f ca="1">IF(B449="","",VLOOKUP(D449,'Species Data'!B:E,4,FALSE))</f>
        <v>dietben13</v>
      </c>
      <c r="D449" s="246">
        <f t="shared" ca="1" si="49"/>
        <v>51</v>
      </c>
      <c r="E449" s="246">
        <f t="shared" ca="1" si="50"/>
        <v>5.9999999999999995E-4</v>
      </c>
      <c r="F449" s="246" t="str">
        <f t="shared" ca="1" si="51"/>
        <v>1,3-diethylbenzene (meta)</v>
      </c>
      <c r="G449" s="246">
        <f t="shared" ca="1" si="52"/>
        <v>134.21816000000001</v>
      </c>
      <c r="H449" s="204" t="str">
        <f ca="1">IF(G449="","",IF(VLOOKUP(Tank!F449,'Species Data'!D:F,3,FALSE)=0,"X",IF(G449&lt;44.1,2,1)))</f>
        <v>X</v>
      </c>
      <c r="I449" s="204">
        <f t="shared" ca="1" si="53"/>
        <v>1.9800190081824794E-3</v>
      </c>
      <c r="J449" s="247">
        <f ca="1">IF(I449="","",IF(COUNTIF($D$12:D449,D449)=1,IF(H449=1,I449*H449,IF(H449="X","X",0)),0))</f>
        <v>0</v>
      </c>
      <c r="K449" s="248">
        <f t="shared" ca="1" si="54"/>
        <v>0</v>
      </c>
      <c r="L449" s="212" t="s">
        <v>679</v>
      </c>
      <c r="M449" s="212" t="s">
        <v>448</v>
      </c>
      <c r="N449" s="212" t="s">
        <v>470</v>
      </c>
      <c r="O449" s="213">
        <v>41419</v>
      </c>
      <c r="P449" s="212" t="s">
        <v>531</v>
      </c>
      <c r="Q449" s="214">
        <v>100</v>
      </c>
      <c r="R449" s="212" t="s">
        <v>445</v>
      </c>
      <c r="S449" s="212" t="s">
        <v>532</v>
      </c>
      <c r="T449" s="212" t="s">
        <v>445</v>
      </c>
      <c r="U449" s="212" t="s">
        <v>446</v>
      </c>
      <c r="V449" s="214" t="b">
        <v>1</v>
      </c>
      <c r="W449" s="214">
        <v>1989</v>
      </c>
      <c r="X449" s="214">
        <v>5</v>
      </c>
      <c r="Y449" s="214">
        <v>2</v>
      </c>
      <c r="Z449" s="214">
        <v>4</v>
      </c>
      <c r="AA449" s="212" t="s">
        <v>447</v>
      </c>
      <c r="AB449" s="212" t="s">
        <v>531</v>
      </c>
      <c r="AC449" s="212" t="s">
        <v>533</v>
      </c>
      <c r="AD449" s="214">
        <v>3.7325270000000002</v>
      </c>
      <c r="AE449" s="214">
        <v>51</v>
      </c>
      <c r="AF449" s="214">
        <v>5.9999999999999995E-4</v>
      </c>
      <c r="AG449" s="214">
        <v>-99</v>
      </c>
      <c r="AH449" s="212" t="s">
        <v>224</v>
      </c>
      <c r="AI449" s="212" t="s">
        <v>449</v>
      </c>
      <c r="AJ449" s="212" t="s">
        <v>634</v>
      </c>
      <c r="AK449" s="212" t="s">
        <v>531</v>
      </c>
      <c r="AL449" s="212" t="s">
        <v>635</v>
      </c>
      <c r="AM449" s="214" t="b">
        <v>1</v>
      </c>
      <c r="AN449" s="214" t="b">
        <v>0</v>
      </c>
      <c r="AO449" s="212" t="s">
        <v>636</v>
      </c>
      <c r="AP449" s="212" t="s">
        <v>637</v>
      </c>
      <c r="AQ449" s="214">
        <v>134.21816000000001</v>
      </c>
      <c r="AR449" s="214" t="b">
        <v>0</v>
      </c>
      <c r="AS449" s="212" t="s">
        <v>534</v>
      </c>
      <c r="AU449" s="222" t="s">
        <v>819</v>
      </c>
    </row>
    <row r="450" spans="1:47" x14ac:dyDescent="0.25">
      <c r="A450" s="245">
        <f t="shared" ref="A450:A458" si="56">IF(B450="","",A449+1)</f>
        <v>450</v>
      </c>
      <c r="B450" s="246" t="str">
        <f t="shared" si="48"/>
        <v>Oil Field - Tank</v>
      </c>
      <c r="C450" s="246" t="str">
        <f ca="1">IF(B450="","",VLOOKUP(D450,'Species Data'!B:E,4,FALSE))</f>
        <v>ethben12</v>
      </c>
      <c r="D450" s="246">
        <f t="shared" ref="D450:D458" ca="1" si="57">IF(B450="","",INDIRECT("AE"&amp;$A450))</f>
        <v>80</v>
      </c>
      <c r="E450" s="246">
        <f t="shared" ref="E450:E458" ca="1" si="58">IF(D450="","",INDIRECT("AF"&amp;$A450))</f>
        <v>2E-3</v>
      </c>
      <c r="F450" s="246" t="str">
        <f t="shared" ref="F450:F458" ca="1" si="59">IF(E450="","",INDIRECT("AO"&amp;$A450))</f>
        <v>1-Methyl-2-ethylbenzene</v>
      </c>
      <c r="G450" s="246">
        <f t="shared" ref="G450:G458" ca="1" si="60">IF(F450="","",INDIRECT("AQ"&amp;$A450))</f>
        <v>120.19158</v>
      </c>
      <c r="H450" s="204">
        <f ca="1">IF(G450="","",IF(VLOOKUP(Tank!F450,'Species Data'!D:F,3,FALSE)=0,"X",IF(G450&lt;44.1,2,1)))</f>
        <v>1</v>
      </c>
      <c r="I450" s="204">
        <f t="shared" ref="I450:I458" ca="1" si="61">IF(H450="","",SUMIF(D:D,D450,E:E)/($E$9/100))</f>
        <v>1.2980124609196252E-2</v>
      </c>
      <c r="J450" s="247">
        <f ca="1">IF(I450="","",IF(COUNTIF($D$12:D450,D450)=1,IF(H450=1,I450*H450,IF(H450="X","X",0)),0))</f>
        <v>0</v>
      </c>
      <c r="K450" s="248">
        <f t="shared" ca="1" si="54"/>
        <v>0</v>
      </c>
      <c r="L450" s="212" t="s">
        <v>679</v>
      </c>
      <c r="M450" s="212" t="s">
        <v>448</v>
      </c>
      <c r="N450" s="212" t="s">
        <v>470</v>
      </c>
      <c r="O450" s="213">
        <v>41419</v>
      </c>
      <c r="P450" s="212" t="s">
        <v>531</v>
      </c>
      <c r="Q450" s="214">
        <v>100</v>
      </c>
      <c r="R450" s="212" t="s">
        <v>445</v>
      </c>
      <c r="S450" s="212" t="s">
        <v>532</v>
      </c>
      <c r="T450" s="212" t="s">
        <v>445</v>
      </c>
      <c r="U450" s="212" t="s">
        <v>446</v>
      </c>
      <c r="V450" s="214" t="b">
        <v>1</v>
      </c>
      <c r="W450" s="214">
        <v>1989</v>
      </c>
      <c r="X450" s="214">
        <v>5</v>
      </c>
      <c r="Y450" s="214">
        <v>2</v>
      </c>
      <c r="Z450" s="214">
        <v>4</v>
      </c>
      <c r="AA450" s="212" t="s">
        <v>447</v>
      </c>
      <c r="AB450" s="212" t="s">
        <v>531</v>
      </c>
      <c r="AC450" s="212" t="s">
        <v>533</v>
      </c>
      <c r="AD450" s="214">
        <v>3.7325270000000002</v>
      </c>
      <c r="AE450" s="214">
        <v>80</v>
      </c>
      <c r="AF450" s="214">
        <v>2E-3</v>
      </c>
      <c r="AG450" s="214">
        <v>-99</v>
      </c>
      <c r="AH450" s="212" t="s">
        <v>224</v>
      </c>
      <c r="AI450" s="212" t="s">
        <v>449</v>
      </c>
      <c r="AJ450" s="212" t="s">
        <v>408</v>
      </c>
      <c r="AK450" s="212" t="s">
        <v>531</v>
      </c>
      <c r="AL450" s="212" t="s">
        <v>450</v>
      </c>
      <c r="AM450" s="214" t="b">
        <v>1</v>
      </c>
      <c r="AN450" s="214" t="b">
        <v>0</v>
      </c>
      <c r="AO450" s="212" t="s">
        <v>409</v>
      </c>
      <c r="AP450" s="212" t="s">
        <v>410</v>
      </c>
      <c r="AQ450" s="214">
        <v>120.19158</v>
      </c>
      <c r="AR450" s="214" t="b">
        <v>0</v>
      </c>
      <c r="AS450" s="212" t="s">
        <v>534</v>
      </c>
      <c r="AU450" s="222" t="s">
        <v>819</v>
      </c>
    </row>
    <row r="451" spans="1:47" x14ac:dyDescent="0.25">
      <c r="A451" s="245">
        <f t="shared" si="56"/>
        <v>451</v>
      </c>
      <c r="B451" s="246" t="str">
        <f t="shared" si="48"/>
        <v>Oil Field - Tank</v>
      </c>
      <c r="C451" s="246" t="str">
        <f ca="1">IF(B451="","",VLOOKUP(D451,'Species Data'!B:E,4,FALSE))</f>
        <v>ethben13</v>
      </c>
      <c r="D451" s="246">
        <f t="shared" ca="1" si="57"/>
        <v>89</v>
      </c>
      <c r="E451" s="246">
        <f t="shared" ca="1" si="58"/>
        <v>1.54E-2</v>
      </c>
      <c r="F451" s="246" t="str">
        <f t="shared" ca="1" si="59"/>
        <v>1-Methyl-3-ethylbenzene (3-Ethyltoluene)</v>
      </c>
      <c r="G451" s="246">
        <f t="shared" ca="1" si="60"/>
        <v>120.19158</v>
      </c>
      <c r="H451" s="204">
        <f ca="1">IF(G451="","",IF(VLOOKUP(Tank!F451,'Species Data'!D:F,3,FALSE)=0,"X",IF(G451&lt;44.1,2,1)))</f>
        <v>1</v>
      </c>
      <c r="I451" s="204">
        <f t="shared" ca="1" si="61"/>
        <v>1.0893437910337275E-2</v>
      </c>
      <c r="J451" s="247">
        <f ca="1">IF(I451="","",IF(COUNTIF($D$12:D451,D451)=1,IF(H451=1,I451*H451,IF(H451="X","X",0)),0))</f>
        <v>0</v>
      </c>
      <c r="K451" s="248">
        <f t="shared" ca="1" si="54"/>
        <v>0</v>
      </c>
      <c r="L451" s="212" t="s">
        <v>679</v>
      </c>
      <c r="M451" s="212" t="s">
        <v>448</v>
      </c>
      <c r="N451" s="212" t="s">
        <v>470</v>
      </c>
      <c r="O451" s="213">
        <v>41419</v>
      </c>
      <c r="P451" s="212" t="s">
        <v>531</v>
      </c>
      <c r="Q451" s="214">
        <v>100</v>
      </c>
      <c r="R451" s="212" t="s">
        <v>445</v>
      </c>
      <c r="S451" s="212" t="s">
        <v>532</v>
      </c>
      <c r="T451" s="212" t="s">
        <v>445</v>
      </c>
      <c r="U451" s="212" t="s">
        <v>446</v>
      </c>
      <c r="V451" s="214" t="b">
        <v>1</v>
      </c>
      <c r="W451" s="214">
        <v>1989</v>
      </c>
      <c r="X451" s="214">
        <v>5</v>
      </c>
      <c r="Y451" s="214">
        <v>2</v>
      </c>
      <c r="Z451" s="214">
        <v>4</v>
      </c>
      <c r="AA451" s="212" t="s">
        <v>447</v>
      </c>
      <c r="AB451" s="212" t="s">
        <v>531</v>
      </c>
      <c r="AC451" s="212" t="s">
        <v>533</v>
      </c>
      <c r="AD451" s="214">
        <v>3.7325270000000002</v>
      </c>
      <c r="AE451" s="214">
        <v>89</v>
      </c>
      <c r="AF451" s="214">
        <v>1.54E-2</v>
      </c>
      <c r="AG451" s="214">
        <v>-99</v>
      </c>
      <c r="AH451" s="212" t="s">
        <v>224</v>
      </c>
      <c r="AI451" s="212" t="s">
        <v>449</v>
      </c>
      <c r="AJ451" s="212" t="s">
        <v>411</v>
      </c>
      <c r="AK451" s="212" t="s">
        <v>531</v>
      </c>
      <c r="AL451" s="212" t="s">
        <v>451</v>
      </c>
      <c r="AM451" s="214" t="b">
        <v>1</v>
      </c>
      <c r="AN451" s="214" t="b">
        <v>0</v>
      </c>
      <c r="AO451" s="212" t="s">
        <v>412</v>
      </c>
      <c r="AP451" s="212" t="s">
        <v>413</v>
      </c>
      <c r="AQ451" s="214">
        <v>120.19158</v>
      </c>
      <c r="AR451" s="214" t="b">
        <v>0</v>
      </c>
      <c r="AS451" s="212" t="s">
        <v>534</v>
      </c>
      <c r="AU451" s="222" t="s">
        <v>819</v>
      </c>
    </row>
    <row r="452" spans="1:47" x14ac:dyDescent="0.25">
      <c r="A452" s="245">
        <f t="shared" si="56"/>
        <v>452</v>
      </c>
      <c r="B452" s="246" t="str">
        <f t="shared" si="48"/>
        <v>Oil Field - Tank</v>
      </c>
      <c r="C452" s="246" t="str">
        <f ca="1">IF(B452="","",VLOOKUP(D452,'Species Data'!B:E,4,FALSE))</f>
        <v>dimetbut22</v>
      </c>
      <c r="D452" s="246">
        <f t="shared" ca="1" si="57"/>
        <v>122</v>
      </c>
      <c r="E452" s="246">
        <f t="shared" ca="1" si="58"/>
        <v>6.0400000000000002E-2</v>
      </c>
      <c r="F452" s="246" t="str">
        <f t="shared" ca="1" si="59"/>
        <v>2,2-dimethylbutane</v>
      </c>
      <c r="G452" s="246">
        <f t="shared" ca="1" si="60"/>
        <v>86.175359999999998</v>
      </c>
      <c r="H452" s="204">
        <f ca="1">IF(G452="","",IF(VLOOKUP(Tank!F452,'Species Data'!D:F,3,FALSE)=0,"X",IF(G452&lt;44.1,2,1)))</f>
        <v>1</v>
      </c>
      <c r="I452" s="204">
        <f t="shared" ca="1" si="61"/>
        <v>8.538748638653601E-2</v>
      </c>
      <c r="J452" s="247">
        <f ca="1">IF(I452="","",IF(COUNTIF($D$12:D452,D452)=1,IF(H452=1,I452*H452,IF(H452="X","X",0)),0))</f>
        <v>0</v>
      </c>
      <c r="K452" s="248">
        <f t="shared" ca="1" si="54"/>
        <v>0</v>
      </c>
      <c r="L452" s="212" t="s">
        <v>679</v>
      </c>
      <c r="M452" s="212" t="s">
        <v>448</v>
      </c>
      <c r="N452" s="212" t="s">
        <v>470</v>
      </c>
      <c r="O452" s="213">
        <v>41419</v>
      </c>
      <c r="P452" s="212" t="s">
        <v>531</v>
      </c>
      <c r="Q452" s="214">
        <v>100</v>
      </c>
      <c r="R452" s="212" t="s">
        <v>445</v>
      </c>
      <c r="S452" s="212" t="s">
        <v>532</v>
      </c>
      <c r="T452" s="212" t="s">
        <v>445</v>
      </c>
      <c r="U452" s="212" t="s">
        <v>446</v>
      </c>
      <c r="V452" s="214" t="b">
        <v>1</v>
      </c>
      <c r="W452" s="214">
        <v>1989</v>
      </c>
      <c r="X452" s="214">
        <v>5</v>
      </c>
      <c r="Y452" s="214">
        <v>2</v>
      </c>
      <c r="Z452" s="214">
        <v>4</v>
      </c>
      <c r="AA452" s="212" t="s">
        <v>447</v>
      </c>
      <c r="AB452" s="212" t="s">
        <v>531</v>
      </c>
      <c r="AC452" s="212" t="s">
        <v>533</v>
      </c>
      <c r="AD452" s="214">
        <v>3.7325270000000002</v>
      </c>
      <c r="AE452" s="214">
        <v>122</v>
      </c>
      <c r="AF452" s="214">
        <v>6.0400000000000002E-2</v>
      </c>
      <c r="AG452" s="214">
        <v>-99</v>
      </c>
      <c r="AH452" s="212" t="s">
        <v>224</v>
      </c>
      <c r="AI452" s="212" t="s">
        <v>449</v>
      </c>
      <c r="AJ452" s="212" t="s">
        <v>301</v>
      </c>
      <c r="AK452" s="212" t="s">
        <v>531</v>
      </c>
      <c r="AL452" s="212" t="s">
        <v>384</v>
      </c>
      <c r="AM452" s="214" t="b">
        <v>1</v>
      </c>
      <c r="AN452" s="214" t="b">
        <v>0</v>
      </c>
      <c r="AO452" s="212" t="s">
        <v>302</v>
      </c>
      <c r="AP452" s="212" t="s">
        <v>303</v>
      </c>
      <c r="AQ452" s="214">
        <v>86.175359999999998</v>
      </c>
      <c r="AR452" s="214" t="b">
        <v>0</v>
      </c>
      <c r="AS452" s="212" t="s">
        <v>534</v>
      </c>
      <c r="AU452" s="222" t="s">
        <v>819</v>
      </c>
    </row>
    <row r="453" spans="1:47" x14ac:dyDescent="0.25">
      <c r="A453" s="245">
        <f t="shared" si="56"/>
        <v>453</v>
      </c>
      <c r="B453" s="246" t="str">
        <f t="shared" si="48"/>
        <v>Oil Field - Tank</v>
      </c>
      <c r="C453" s="246" t="str">
        <f ca="1">IF(B453="","",VLOOKUP(D453,'Species Data'!B:E,4,FALSE))</f>
        <v>dimethpro</v>
      </c>
      <c r="D453" s="246">
        <f t="shared" ca="1" si="57"/>
        <v>127</v>
      </c>
      <c r="E453" s="246">
        <f t="shared" ca="1" si="58"/>
        <v>2.5600000000000001E-2</v>
      </c>
      <c r="F453" s="246" t="str">
        <f t="shared" ca="1" si="59"/>
        <v>2,2-dimethylpropane</v>
      </c>
      <c r="G453" s="246">
        <f t="shared" ca="1" si="60"/>
        <v>72.148780000000002</v>
      </c>
      <c r="H453" s="204">
        <f ca="1">IF(G453="","",IF(VLOOKUP(Tank!F453,'Species Data'!D:F,3,FALSE)=0,"X",IF(G453&lt;44.1,2,1)))</f>
        <v>1</v>
      </c>
      <c r="I453" s="204">
        <f t="shared" ca="1" si="61"/>
        <v>9.7614270430329483E-2</v>
      </c>
      <c r="J453" s="247">
        <f ca="1">IF(I453="","",IF(COUNTIF($D$12:D453,D453)=1,IF(H453=1,I453*H453,IF(H453="X","X",0)),0))</f>
        <v>0</v>
      </c>
      <c r="K453" s="248">
        <f t="shared" ca="1" si="54"/>
        <v>0</v>
      </c>
      <c r="L453" s="212" t="s">
        <v>679</v>
      </c>
      <c r="M453" s="212" t="s">
        <v>448</v>
      </c>
      <c r="N453" s="212" t="s">
        <v>470</v>
      </c>
      <c r="O453" s="213">
        <v>41419</v>
      </c>
      <c r="P453" s="212" t="s">
        <v>531</v>
      </c>
      <c r="Q453" s="214">
        <v>100</v>
      </c>
      <c r="R453" s="212" t="s">
        <v>445</v>
      </c>
      <c r="S453" s="212" t="s">
        <v>532</v>
      </c>
      <c r="T453" s="212" t="s">
        <v>445</v>
      </c>
      <c r="U453" s="212" t="s">
        <v>446</v>
      </c>
      <c r="V453" s="214" t="b">
        <v>1</v>
      </c>
      <c r="W453" s="214">
        <v>1989</v>
      </c>
      <c r="X453" s="214">
        <v>5</v>
      </c>
      <c r="Y453" s="214">
        <v>2</v>
      </c>
      <c r="Z453" s="214">
        <v>4</v>
      </c>
      <c r="AA453" s="212" t="s">
        <v>447</v>
      </c>
      <c r="AB453" s="212" t="s">
        <v>531</v>
      </c>
      <c r="AC453" s="212" t="s">
        <v>533</v>
      </c>
      <c r="AD453" s="214">
        <v>3.7325270000000002</v>
      </c>
      <c r="AE453" s="214">
        <v>127</v>
      </c>
      <c r="AF453" s="214">
        <v>2.5600000000000001E-2</v>
      </c>
      <c r="AG453" s="214">
        <v>-99</v>
      </c>
      <c r="AH453" s="212" t="s">
        <v>224</v>
      </c>
      <c r="AI453" s="212" t="s">
        <v>449</v>
      </c>
      <c r="AJ453" s="212" t="s">
        <v>441</v>
      </c>
      <c r="AK453" s="212" t="s">
        <v>531</v>
      </c>
      <c r="AL453" s="212" t="s">
        <v>462</v>
      </c>
      <c r="AM453" s="214" t="b">
        <v>0</v>
      </c>
      <c r="AN453" s="214" t="b">
        <v>0</v>
      </c>
      <c r="AO453" s="212" t="s">
        <v>442</v>
      </c>
      <c r="AP453" s="212" t="s">
        <v>531</v>
      </c>
      <c r="AQ453" s="214">
        <v>72.148780000000002</v>
      </c>
      <c r="AR453" s="214" t="b">
        <v>0</v>
      </c>
      <c r="AS453" s="212" t="s">
        <v>534</v>
      </c>
      <c r="AU453" s="222" t="s">
        <v>819</v>
      </c>
    </row>
    <row r="454" spans="1:47" x14ac:dyDescent="0.25">
      <c r="A454" s="245">
        <f t="shared" si="56"/>
        <v>454</v>
      </c>
      <c r="B454" s="246" t="str">
        <f t="shared" si="48"/>
        <v>Oil Field - Tank</v>
      </c>
      <c r="C454" s="246" t="str">
        <f ca="1">IF(B454="","",VLOOKUP(D454,'Species Data'!B:E,4,FALSE))</f>
        <v>trimentpen3</v>
      </c>
      <c r="D454" s="246">
        <f t="shared" ca="1" si="57"/>
        <v>130</v>
      </c>
      <c r="E454" s="246">
        <f t="shared" ca="1" si="58"/>
        <v>2.2200000000000001E-2</v>
      </c>
      <c r="F454" s="246" t="str">
        <f t="shared" ca="1" si="59"/>
        <v>2,3,4-trimethylpentane</v>
      </c>
      <c r="G454" s="246">
        <f t="shared" ca="1" si="60"/>
        <v>114.22852</v>
      </c>
      <c r="H454" s="204">
        <f ca="1">IF(G454="","",IF(VLOOKUP(Tank!F454,'Species Data'!D:F,3,FALSE)=0,"X",IF(G454&lt;44.1,2,1)))</f>
        <v>1</v>
      </c>
      <c r="I454" s="204">
        <f t="shared" ca="1" si="61"/>
        <v>0.22004211240427912</v>
      </c>
      <c r="J454" s="247">
        <f ca="1">IF(I454="","",IF(COUNTIF($D$12:D454,D454)=1,IF(H454=1,I454*H454,IF(H454="X","X",0)),0))</f>
        <v>0</v>
      </c>
      <c r="K454" s="248">
        <f t="shared" ca="1" si="54"/>
        <v>0</v>
      </c>
      <c r="L454" s="212" t="s">
        <v>679</v>
      </c>
      <c r="M454" s="212" t="s">
        <v>448</v>
      </c>
      <c r="N454" s="212" t="s">
        <v>470</v>
      </c>
      <c r="O454" s="213">
        <v>41419</v>
      </c>
      <c r="P454" s="212" t="s">
        <v>531</v>
      </c>
      <c r="Q454" s="214">
        <v>100</v>
      </c>
      <c r="R454" s="212" t="s">
        <v>445</v>
      </c>
      <c r="S454" s="212" t="s">
        <v>532</v>
      </c>
      <c r="T454" s="212" t="s">
        <v>445</v>
      </c>
      <c r="U454" s="212" t="s">
        <v>446</v>
      </c>
      <c r="V454" s="214" t="b">
        <v>1</v>
      </c>
      <c r="W454" s="214">
        <v>1989</v>
      </c>
      <c r="X454" s="214">
        <v>5</v>
      </c>
      <c r="Y454" s="214">
        <v>2</v>
      </c>
      <c r="Z454" s="214">
        <v>4</v>
      </c>
      <c r="AA454" s="212" t="s">
        <v>447</v>
      </c>
      <c r="AB454" s="212" t="s">
        <v>531</v>
      </c>
      <c r="AC454" s="212" t="s">
        <v>533</v>
      </c>
      <c r="AD454" s="214">
        <v>3.7325270000000002</v>
      </c>
      <c r="AE454" s="214">
        <v>130</v>
      </c>
      <c r="AF454" s="214">
        <v>2.2200000000000001E-2</v>
      </c>
      <c r="AG454" s="214">
        <v>-99</v>
      </c>
      <c r="AH454" s="212" t="s">
        <v>224</v>
      </c>
      <c r="AI454" s="212" t="s">
        <v>449</v>
      </c>
      <c r="AJ454" s="212" t="s">
        <v>404</v>
      </c>
      <c r="AK454" s="212" t="s">
        <v>531</v>
      </c>
      <c r="AL454" s="212" t="s">
        <v>405</v>
      </c>
      <c r="AM454" s="214" t="b">
        <v>1</v>
      </c>
      <c r="AN454" s="214" t="b">
        <v>0</v>
      </c>
      <c r="AO454" s="212" t="s">
        <v>406</v>
      </c>
      <c r="AP454" s="212" t="s">
        <v>407</v>
      </c>
      <c r="AQ454" s="214">
        <v>114.22852</v>
      </c>
      <c r="AR454" s="214" t="b">
        <v>0</v>
      </c>
      <c r="AS454" s="212" t="s">
        <v>534</v>
      </c>
      <c r="AU454" s="222" t="s">
        <v>819</v>
      </c>
    </row>
    <row r="455" spans="1:47" x14ac:dyDescent="0.25">
      <c r="A455" s="245">
        <f t="shared" si="56"/>
        <v>455</v>
      </c>
      <c r="B455" s="246" t="str">
        <f t="shared" si="48"/>
        <v>Oil Field - Tank</v>
      </c>
      <c r="C455" s="246" t="str">
        <f ca="1">IF(B455="","",VLOOKUP(D455,'Species Data'!B:E,4,FALSE))</f>
        <v>dimetbut</v>
      </c>
      <c r="D455" s="246">
        <f t="shared" ca="1" si="57"/>
        <v>136</v>
      </c>
      <c r="E455" s="246">
        <f t="shared" ca="1" si="58"/>
        <v>0.25219999999999998</v>
      </c>
      <c r="F455" s="246" t="str">
        <f t="shared" ca="1" si="59"/>
        <v>2,3-dimethylbutane</v>
      </c>
      <c r="G455" s="246">
        <f t="shared" ca="1" si="60"/>
        <v>86.175359999999998</v>
      </c>
      <c r="H455" s="204">
        <f ca="1">IF(G455="","",IF(VLOOKUP(Tank!F455,'Species Data'!D:F,3,FALSE)=0,"X",IF(G455&lt;44.1,2,1)))</f>
        <v>1</v>
      </c>
      <c r="I455" s="204">
        <f t="shared" ca="1" si="61"/>
        <v>0.22725551498627725</v>
      </c>
      <c r="J455" s="247">
        <f ca="1">IF(I455="","",IF(COUNTIF($D$12:D455,D455)=1,IF(H455=1,I455*H455,IF(H455="X","X",0)),0))</f>
        <v>0</v>
      </c>
      <c r="K455" s="248">
        <f t="shared" ca="1" si="54"/>
        <v>0</v>
      </c>
      <c r="L455" s="212" t="s">
        <v>679</v>
      </c>
      <c r="M455" s="212" t="s">
        <v>448</v>
      </c>
      <c r="N455" s="212" t="s">
        <v>470</v>
      </c>
      <c r="O455" s="213">
        <v>41419</v>
      </c>
      <c r="P455" s="212" t="s">
        <v>531</v>
      </c>
      <c r="Q455" s="214">
        <v>100</v>
      </c>
      <c r="R455" s="212" t="s">
        <v>445</v>
      </c>
      <c r="S455" s="212" t="s">
        <v>532</v>
      </c>
      <c r="T455" s="212" t="s">
        <v>445</v>
      </c>
      <c r="U455" s="212" t="s">
        <v>446</v>
      </c>
      <c r="V455" s="214" t="b">
        <v>1</v>
      </c>
      <c r="W455" s="214">
        <v>1989</v>
      </c>
      <c r="X455" s="214">
        <v>5</v>
      </c>
      <c r="Y455" s="214">
        <v>2</v>
      </c>
      <c r="Z455" s="214">
        <v>4</v>
      </c>
      <c r="AA455" s="212" t="s">
        <v>447</v>
      </c>
      <c r="AB455" s="212" t="s">
        <v>531</v>
      </c>
      <c r="AC455" s="212" t="s">
        <v>533</v>
      </c>
      <c r="AD455" s="214">
        <v>3.7325270000000002</v>
      </c>
      <c r="AE455" s="214">
        <v>136</v>
      </c>
      <c r="AF455" s="214">
        <v>0.25219999999999998</v>
      </c>
      <c r="AG455" s="214">
        <v>-99</v>
      </c>
      <c r="AH455" s="212" t="s">
        <v>224</v>
      </c>
      <c r="AI455" s="212" t="s">
        <v>449</v>
      </c>
      <c r="AJ455" s="212" t="s">
        <v>304</v>
      </c>
      <c r="AK455" s="212" t="s">
        <v>531</v>
      </c>
      <c r="AL455" s="212" t="s">
        <v>620</v>
      </c>
      <c r="AM455" s="214" t="b">
        <v>1</v>
      </c>
      <c r="AN455" s="214" t="b">
        <v>0</v>
      </c>
      <c r="AO455" s="212" t="s">
        <v>305</v>
      </c>
      <c r="AP455" s="212" t="s">
        <v>306</v>
      </c>
      <c r="AQ455" s="214">
        <v>86.175359999999998</v>
      </c>
      <c r="AR455" s="214" t="b">
        <v>0</v>
      </c>
      <c r="AS455" s="212" t="s">
        <v>534</v>
      </c>
      <c r="AU455" s="222" t="s">
        <v>819</v>
      </c>
    </row>
    <row r="456" spans="1:47" x14ac:dyDescent="0.25">
      <c r="A456" s="245">
        <f t="shared" si="56"/>
        <v>456</v>
      </c>
      <c r="B456" s="246" t="str">
        <f t="shared" si="48"/>
        <v>Oil Field - Tank</v>
      </c>
      <c r="C456" s="246" t="str">
        <f ca="1">IF(B456="","",VLOOKUP(D456,'Species Data'!B:E,4,FALSE))</f>
        <v>dimethhex23</v>
      </c>
      <c r="D456" s="246">
        <f t="shared" ca="1" si="57"/>
        <v>138</v>
      </c>
      <c r="E456" s="246">
        <f t="shared" ca="1" si="58"/>
        <v>2.7E-2</v>
      </c>
      <c r="F456" s="246" t="str">
        <f t="shared" ca="1" si="59"/>
        <v>2,3-dimethylhexane</v>
      </c>
      <c r="G456" s="246">
        <f t="shared" ca="1" si="60"/>
        <v>114.22852</v>
      </c>
      <c r="H456" s="204">
        <f ca="1">IF(G456="","",IF(VLOOKUP(Tank!F456,'Species Data'!D:F,3,FALSE)=0,"X",IF(G456&lt;44.1,2,1)))</f>
        <v>1</v>
      </c>
      <c r="I456" s="204">
        <f t="shared" ca="1" si="61"/>
        <v>2.958028397072613E-2</v>
      </c>
      <c r="J456" s="247">
        <f ca="1">IF(I456="","",IF(COUNTIF($D$12:D456,D456)=1,IF(H456=1,I456*H456,IF(H456="X","X",0)),0))</f>
        <v>0</v>
      </c>
      <c r="K456" s="248">
        <f t="shared" ca="1" si="54"/>
        <v>0</v>
      </c>
      <c r="L456" s="212" t="s">
        <v>679</v>
      </c>
      <c r="M456" s="212" t="s">
        <v>448</v>
      </c>
      <c r="N456" s="212" t="s">
        <v>470</v>
      </c>
      <c r="O456" s="213">
        <v>41419</v>
      </c>
      <c r="P456" s="212" t="s">
        <v>531</v>
      </c>
      <c r="Q456" s="214">
        <v>100</v>
      </c>
      <c r="R456" s="212" t="s">
        <v>445</v>
      </c>
      <c r="S456" s="212" t="s">
        <v>532</v>
      </c>
      <c r="T456" s="212" t="s">
        <v>445</v>
      </c>
      <c r="U456" s="212" t="s">
        <v>446</v>
      </c>
      <c r="V456" s="214" t="b">
        <v>1</v>
      </c>
      <c r="W456" s="214">
        <v>1989</v>
      </c>
      <c r="X456" s="214">
        <v>5</v>
      </c>
      <c r="Y456" s="214">
        <v>2</v>
      </c>
      <c r="Z456" s="214">
        <v>4</v>
      </c>
      <c r="AA456" s="212" t="s">
        <v>447</v>
      </c>
      <c r="AB456" s="212" t="s">
        <v>531</v>
      </c>
      <c r="AC456" s="212" t="s">
        <v>533</v>
      </c>
      <c r="AD456" s="214">
        <v>3.7325270000000002</v>
      </c>
      <c r="AE456" s="214">
        <v>138</v>
      </c>
      <c r="AF456" s="214">
        <v>2.7E-2</v>
      </c>
      <c r="AG456" s="214">
        <v>-99</v>
      </c>
      <c r="AH456" s="212" t="s">
        <v>224</v>
      </c>
      <c r="AI456" s="212" t="s">
        <v>449</v>
      </c>
      <c r="AJ456" s="212" t="s">
        <v>443</v>
      </c>
      <c r="AK456" s="212" t="s">
        <v>531</v>
      </c>
      <c r="AL456" s="212" t="s">
        <v>463</v>
      </c>
      <c r="AM456" s="214" t="b">
        <v>0</v>
      </c>
      <c r="AN456" s="214" t="b">
        <v>0</v>
      </c>
      <c r="AO456" s="212" t="s">
        <v>444</v>
      </c>
      <c r="AP456" s="212" t="s">
        <v>531</v>
      </c>
      <c r="AQ456" s="214">
        <v>114.22852</v>
      </c>
      <c r="AR456" s="214" t="b">
        <v>0</v>
      </c>
      <c r="AS456" s="212" t="s">
        <v>534</v>
      </c>
      <c r="AU456" s="222" t="s">
        <v>819</v>
      </c>
    </row>
    <row r="457" spans="1:47" x14ac:dyDescent="0.25">
      <c r="A457" s="245">
        <f t="shared" si="56"/>
        <v>457</v>
      </c>
      <c r="B457" s="246" t="str">
        <f t="shared" si="48"/>
        <v>Oil Field - Tank</v>
      </c>
      <c r="C457" s="246" t="str">
        <f ca="1">IF(B457="","",VLOOKUP(D457,'Species Data'!B:E,4,FALSE))</f>
        <v>dimetpen3</v>
      </c>
      <c r="D457" s="246">
        <f t="shared" ca="1" si="57"/>
        <v>140</v>
      </c>
      <c r="E457" s="246">
        <f t="shared" ca="1" si="58"/>
        <v>0.26290000000000002</v>
      </c>
      <c r="F457" s="246" t="str">
        <f t="shared" ca="1" si="59"/>
        <v>2,3-dimethylpentane</v>
      </c>
      <c r="G457" s="246">
        <f t="shared" ca="1" si="60"/>
        <v>100.20194000000001</v>
      </c>
      <c r="H457" s="204">
        <f ca="1">IF(G457="","",IF(VLOOKUP(Tank!F457,'Species Data'!D:F,3,FALSE)=0,"X",IF(G457&lt;44.1,2,1)))</f>
        <v>1</v>
      </c>
      <c r="I457" s="204">
        <f t="shared" ca="1" si="61"/>
        <v>0.24488235087056845</v>
      </c>
      <c r="J457" s="247">
        <f ca="1">IF(I457="","",IF(COUNTIF($D$12:D457,D457)=1,IF(H457=1,I457*H457,IF(H457="X","X",0)),0))</f>
        <v>0</v>
      </c>
      <c r="K457" s="248">
        <f t="shared" ca="1" si="54"/>
        <v>0</v>
      </c>
      <c r="L457" s="212" t="s">
        <v>679</v>
      </c>
      <c r="M457" s="212" t="s">
        <v>448</v>
      </c>
      <c r="N457" s="212" t="s">
        <v>470</v>
      </c>
      <c r="O457" s="213">
        <v>41419</v>
      </c>
      <c r="P457" s="212" t="s">
        <v>531</v>
      </c>
      <c r="Q457" s="214">
        <v>100</v>
      </c>
      <c r="R457" s="212" t="s">
        <v>445</v>
      </c>
      <c r="S457" s="212" t="s">
        <v>532</v>
      </c>
      <c r="T457" s="212" t="s">
        <v>445</v>
      </c>
      <c r="U457" s="212" t="s">
        <v>446</v>
      </c>
      <c r="V457" s="214" t="b">
        <v>1</v>
      </c>
      <c r="W457" s="214">
        <v>1989</v>
      </c>
      <c r="X457" s="214">
        <v>5</v>
      </c>
      <c r="Y457" s="214">
        <v>2</v>
      </c>
      <c r="Z457" s="214">
        <v>4</v>
      </c>
      <c r="AA457" s="212" t="s">
        <v>447</v>
      </c>
      <c r="AB457" s="212" t="s">
        <v>531</v>
      </c>
      <c r="AC457" s="212" t="s">
        <v>533</v>
      </c>
      <c r="AD457" s="214">
        <v>3.7325270000000002</v>
      </c>
      <c r="AE457" s="214">
        <v>140</v>
      </c>
      <c r="AF457" s="214">
        <v>0.26290000000000002</v>
      </c>
      <c r="AG457" s="214">
        <v>-99</v>
      </c>
      <c r="AH457" s="212" t="s">
        <v>224</v>
      </c>
      <c r="AI457" s="212" t="s">
        <v>449</v>
      </c>
      <c r="AJ457" s="212" t="s">
        <v>307</v>
      </c>
      <c r="AK457" s="212" t="s">
        <v>531</v>
      </c>
      <c r="AL457" s="212" t="s">
        <v>385</v>
      </c>
      <c r="AM457" s="214" t="b">
        <v>1</v>
      </c>
      <c r="AN457" s="214" t="b">
        <v>0</v>
      </c>
      <c r="AO457" s="212" t="s">
        <v>308</v>
      </c>
      <c r="AP457" s="212" t="s">
        <v>309</v>
      </c>
      <c r="AQ457" s="214">
        <v>100.20194000000001</v>
      </c>
      <c r="AR457" s="214" t="b">
        <v>0</v>
      </c>
      <c r="AS457" s="212" t="s">
        <v>534</v>
      </c>
      <c r="AU457" s="222" t="s">
        <v>819</v>
      </c>
    </row>
    <row r="458" spans="1:47" x14ac:dyDescent="0.25">
      <c r="A458" s="245">
        <f t="shared" si="56"/>
        <v>458</v>
      </c>
      <c r="B458" s="246" t="str">
        <f t="shared" si="48"/>
        <v>Oil Field - Tank</v>
      </c>
      <c r="C458" s="246" t="str">
        <f ca="1">IF(B458="","",VLOOKUP(D458,'Species Data'!B:E,4,FALSE))</f>
        <v>dimethhex24</v>
      </c>
      <c r="D458" s="246">
        <f t="shared" ca="1" si="57"/>
        <v>149</v>
      </c>
      <c r="E458" s="246">
        <f t="shared" ca="1" si="58"/>
        <v>3.8199999999999998E-2</v>
      </c>
      <c r="F458" s="246" t="str">
        <f t="shared" ca="1" si="59"/>
        <v>2,4-dimethylhexane</v>
      </c>
      <c r="G458" s="246">
        <f t="shared" ca="1" si="60"/>
        <v>114.22852</v>
      </c>
      <c r="H458" s="204">
        <f ca="1">IF(G458="","",IF(VLOOKUP(Tank!F458,'Species Data'!D:F,3,FALSE)=0,"X",IF(G458&lt;44.1,2,1)))</f>
        <v>1</v>
      </c>
      <c r="I458" s="204">
        <f t="shared" ca="1" si="61"/>
        <v>6.6793974555489091E-2</v>
      </c>
      <c r="J458" s="247">
        <f ca="1">IF(I458="","",IF(COUNTIF($D$12:D458,D458)=1,IF(H458=1,I458*H458,IF(H458="X","X",0)),0))</f>
        <v>0</v>
      </c>
      <c r="K458" s="248">
        <f t="shared" ca="1" si="54"/>
        <v>0</v>
      </c>
      <c r="L458" s="212" t="s">
        <v>679</v>
      </c>
      <c r="M458" s="212" t="s">
        <v>448</v>
      </c>
      <c r="N458" s="212" t="s">
        <v>470</v>
      </c>
      <c r="O458" s="213">
        <v>41419</v>
      </c>
      <c r="P458" s="212" t="s">
        <v>531</v>
      </c>
      <c r="Q458" s="214">
        <v>100</v>
      </c>
      <c r="R458" s="212" t="s">
        <v>445</v>
      </c>
      <c r="S458" s="212" t="s">
        <v>532</v>
      </c>
      <c r="T458" s="212" t="s">
        <v>445</v>
      </c>
      <c r="U458" s="212" t="s">
        <v>446</v>
      </c>
      <c r="V458" s="214" t="b">
        <v>1</v>
      </c>
      <c r="W458" s="214">
        <v>1989</v>
      </c>
      <c r="X458" s="214">
        <v>5</v>
      </c>
      <c r="Y458" s="214">
        <v>2</v>
      </c>
      <c r="Z458" s="214">
        <v>4</v>
      </c>
      <c r="AA458" s="212" t="s">
        <v>447</v>
      </c>
      <c r="AB458" s="212" t="s">
        <v>531</v>
      </c>
      <c r="AC458" s="212" t="s">
        <v>533</v>
      </c>
      <c r="AD458" s="214">
        <v>3.7325270000000002</v>
      </c>
      <c r="AE458" s="214">
        <v>149</v>
      </c>
      <c r="AF458" s="214">
        <v>3.8199999999999998E-2</v>
      </c>
      <c r="AG458" s="214">
        <v>-99</v>
      </c>
      <c r="AH458" s="212" t="s">
        <v>224</v>
      </c>
      <c r="AI458" s="212" t="s">
        <v>449</v>
      </c>
      <c r="AJ458" s="212" t="s">
        <v>427</v>
      </c>
      <c r="AK458" s="212" t="s">
        <v>531</v>
      </c>
      <c r="AL458" s="212" t="s">
        <v>457</v>
      </c>
      <c r="AM458" s="214" t="b">
        <v>0</v>
      </c>
      <c r="AN458" s="214" t="b">
        <v>0</v>
      </c>
      <c r="AO458" s="212" t="s">
        <v>428</v>
      </c>
      <c r="AP458" s="212" t="s">
        <v>429</v>
      </c>
      <c r="AQ458" s="214">
        <v>114.22852</v>
      </c>
      <c r="AR458" s="214" t="b">
        <v>0</v>
      </c>
      <c r="AS458" s="212" t="s">
        <v>534</v>
      </c>
      <c r="AU458" s="222" t="s">
        <v>819</v>
      </c>
    </row>
    <row r="459" spans="1:47" x14ac:dyDescent="0.25">
      <c r="A459" s="245">
        <f t="shared" ref="A459:A484" si="62">IF(B459="","",A458+1)</f>
        <v>459</v>
      </c>
      <c r="B459" s="246" t="str">
        <f t="shared" si="48"/>
        <v>Oil Field - Tank</v>
      </c>
      <c r="C459" s="246" t="str">
        <f ca="1">IF(B459="","",VLOOKUP(D459,'Species Data'!B:E,4,FALSE))</f>
        <v>dimetpen4</v>
      </c>
      <c r="D459" s="246">
        <f t="shared" ref="D459:D484" ca="1" si="63">IF(B459="","",INDIRECT("AE"&amp;$A459))</f>
        <v>152</v>
      </c>
      <c r="E459" s="246">
        <f t="shared" ref="E459:E484" ca="1" si="64">IF(D459="","",INDIRECT("AF"&amp;$A459))</f>
        <v>6.8699999999999997E-2</v>
      </c>
      <c r="F459" s="246" t="str">
        <f t="shared" ref="F459:F484" ca="1" si="65">IF(E459="","",INDIRECT("AO"&amp;$A459))</f>
        <v>2,4-dimethylpentane</v>
      </c>
      <c r="G459" s="246">
        <f t="shared" ref="G459:G484" ca="1" si="66">IF(F459="","",INDIRECT("AQ"&amp;$A459))</f>
        <v>100.20194000000001</v>
      </c>
      <c r="H459" s="204">
        <f ca="1">IF(G459="","",IF(VLOOKUP(Tank!F459,'Species Data'!D:F,3,FALSE)=0,"X",IF(G459&lt;44.1,2,1)))</f>
        <v>1</v>
      </c>
      <c r="I459" s="204">
        <f t="shared" ref="I459:I484" ca="1" si="67">IF(H459="","",SUMIF(D:D,D459,E:E)/($E$9/100))</f>
        <v>7.947409628465768E-2</v>
      </c>
      <c r="J459" s="247">
        <f ca="1">IF(I459="","",IF(COUNTIF($D$12:D459,D459)=1,IF(H459=1,I459*H459,IF(H459="X","X",0)),0))</f>
        <v>0</v>
      </c>
      <c r="K459" s="248">
        <f t="shared" ca="1" si="54"/>
        <v>0</v>
      </c>
      <c r="L459" s="212" t="s">
        <v>679</v>
      </c>
      <c r="M459" s="212" t="s">
        <v>448</v>
      </c>
      <c r="N459" s="212" t="s">
        <v>470</v>
      </c>
      <c r="O459" s="213">
        <v>41419</v>
      </c>
      <c r="P459" s="212" t="s">
        <v>531</v>
      </c>
      <c r="Q459" s="214">
        <v>100</v>
      </c>
      <c r="R459" s="212" t="s">
        <v>445</v>
      </c>
      <c r="S459" s="212" t="s">
        <v>532</v>
      </c>
      <c r="T459" s="212" t="s">
        <v>445</v>
      </c>
      <c r="U459" s="212" t="s">
        <v>446</v>
      </c>
      <c r="V459" s="214" t="b">
        <v>1</v>
      </c>
      <c r="W459" s="214">
        <v>1989</v>
      </c>
      <c r="X459" s="214">
        <v>5</v>
      </c>
      <c r="Y459" s="214">
        <v>2</v>
      </c>
      <c r="Z459" s="214">
        <v>4</v>
      </c>
      <c r="AA459" s="212" t="s">
        <v>447</v>
      </c>
      <c r="AB459" s="212" t="s">
        <v>531</v>
      </c>
      <c r="AC459" s="212" t="s">
        <v>533</v>
      </c>
      <c r="AD459" s="214">
        <v>3.7325270000000002</v>
      </c>
      <c r="AE459" s="214">
        <v>152</v>
      </c>
      <c r="AF459" s="214">
        <v>6.8699999999999997E-2</v>
      </c>
      <c r="AG459" s="214">
        <v>-99</v>
      </c>
      <c r="AH459" s="212" t="s">
        <v>224</v>
      </c>
      <c r="AI459" s="212" t="s">
        <v>449</v>
      </c>
      <c r="AJ459" s="212" t="s">
        <v>310</v>
      </c>
      <c r="AK459" s="212" t="s">
        <v>531</v>
      </c>
      <c r="AL459" s="212" t="s">
        <v>386</v>
      </c>
      <c r="AM459" s="214" t="b">
        <v>1</v>
      </c>
      <c r="AN459" s="214" t="b">
        <v>0</v>
      </c>
      <c r="AO459" s="212" t="s">
        <v>311</v>
      </c>
      <c r="AP459" s="212" t="s">
        <v>312</v>
      </c>
      <c r="AQ459" s="214">
        <v>100.20194000000001</v>
      </c>
      <c r="AR459" s="214" t="b">
        <v>0</v>
      </c>
      <c r="AS459" s="212" t="s">
        <v>534</v>
      </c>
      <c r="AU459" s="222" t="s">
        <v>819</v>
      </c>
    </row>
    <row r="460" spans="1:47" x14ac:dyDescent="0.25">
      <c r="A460" s="245">
        <f t="shared" si="62"/>
        <v>460</v>
      </c>
      <c r="B460" s="246" t="str">
        <f t="shared" ref="B460:B523" si="68">IF(ROW(A460)-(ROW($A$12))&lt;$B$10,$B$9,"")</f>
        <v>Oil Field - Tank</v>
      </c>
      <c r="C460" s="246" t="str">
        <f ca="1">IF(B460="","",VLOOKUP(D460,'Species Data'!B:E,4,FALSE))</f>
        <v>methep2</v>
      </c>
      <c r="D460" s="246">
        <f t="shared" ca="1" si="63"/>
        <v>193</v>
      </c>
      <c r="E460" s="246">
        <f t="shared" ca="1" si="64"/>
        <v>8.2600000000000007E-2</v>
      </c>
      <c r="F460" s="246" t="str">
        <f t="shared" ca="1" si="65"/>
        <v>2-methylheptane</v>
      </c>
      <c r="G460" s="246">
        <f t="shared" ca="1" si="66"/>
        <v>114.22852</v>
      </c>
      <c r="H460" s="204">
        <f ca="1">IF(G460="","",IF(VLOOKUP(Tank!F460,'Species Data'!D:F,3,FALSE)=0,"X",IF(G460&lt;44.1,2,1)))</f>
        <v>1</v>
      </c>
      <c r="I460" s="204">
        <f t="shared" ca="1" si="67"/>
        <v>0.11845447049625013</v>
      </c>
      <c r="J460" s="247">
        <f ca="1">IF(I460="","",IF(COUNTIF($D$12:D460,D460)=1,IF(H460=1,I460*H460,IF(H460="X","X",0)),0))</f>
        <v>0</v>
      </c>
      <c r="K460" s="248">
        <f t="shared" ca="1" si="54"/>
        <v>0</v>
      </c>
      <c r="L460" s="212" t="s">
        <v>679</v>
      </c>
      <c r="M460" s="212" t="s">
        <v>448</v>
      </c>
      <c r="N460" s="212" t="s">
        <v>470</v>
      </c>
      <c r="O460" s="213">
        <v>41419</v>
      </c>
      <c r="P460" s="212" t="s">
        <v>531</v>
      </c>
      <c r="Q460" s="214">
        <v>100</v>
      </c>
      <c r="R460" s="212" t="s">
        <v>445</v>
      </c>
      <c r="S460" s="212" t="s">
        <v>532</v>
      </c>
      <c r="T460" s="212" t="s">
        <v>445</v>
      </c>
      <c r="U460" s="212" t="s">
        <v>446</v>
      </c>
      <c r="V460" s="214" t="b">
        <v>1</v>
      </c>
      <c r="W460" s="214">
        <v>1989</v>
      </c>
      <c r="X460" s="214">
        <v>5</v>
      </c>
      <c r="Y460" s="214">
        <v>2</v>
      </c>
      <c r="Z460" s="214">
        <v>4</v>
      </c>
      <c r="AA460" s="212" t="s">
        <v>447</v>
      </c>
      <c r="AB460" s="212" t="s">
        <v>531</v>
      </c>
      <c r="AC460" s="212" t="s">
        <v>533</v>
      </c>
      <c r="AD460" s="214">
        <v>3.7325270000000002</v>
      </c>
      <c r="AE460" s="214">
        <v>193</v>
      </c>
      <c r="AF460" s="214">
        <v>8.2600000000000007E-2</v>
      </c>
      <c r="AG460" s="214">
        <v>-99</v>
      </c>
      <c r="AH460" s="212" t="s">
        <v>224</v>
      </c>
      <c r="AI460" s="212" t="s">
        <v>449</v>
      </c>
      <c r="AJ460" s="212" t="s">
        <v>313</v>
      </c>
      <c r="AK460" s="212" t="s">
        <v>531</v>
      </c>
      <c r="AL460" s="212" t="s">
        <v>387</v>
      </c>
      <c r="AM460" s="214" t="b">
        <v>1</v>
      </c>
      <c r="AN460" s="214" t="b">
        <v>0</v>
      </c>
      <c r="AO460" s="212" t="s">
        <v>314</v>
      </c>
      <c r="AP460" s="212" t="s">
        <v>315</v>
      </c>
      <c r="AQ460" s="214">
        <v>114.22852</v>
      </c>
      <c r="AR460" s="214" t="b">
        <v>0</v>
      </c>
      <c r="AS460" s="212" t="s">
        <v>534</v>
      </c>
      <c r="AU460" s="222" t="s">
        <v>819</v>
      </c>
    </row>
    <row r="461" spans="1:47" x14ac:dyDescent="0.25">
      <c r="A461" s="245">
        <f t="shared" si="62"/>
        <v>461</v>
      </c>
      <c r="B461" s="246" t="str">
        <f t="shared" si="68"/>
        <v>Oil Field - Tank</v>
      </c>
      <c r="C461" s="246" t="str">
        <f ca="1">IF(B461="","",VLOOKUP(D461,'Species Data'!B:E,4,FALSE))</f>
        <v>twomethex</v>
      </c>
      <c r="D461" s="246">
        <f t="shared" ca="1" si="63"/>
        <v>194</v>
      </c>
      <c r="E461" s="246">
        <f t="shared" ca="1" si="64"/>
        <v>0.14549999999999999</v>
      </c>
      <c r="F461" s="246" t="str">
        <f t="shared" ca="1" si="65"/>
        <v>2-methylhexane</v>
      </c>
      <c r="G461" s="246">
        <f t="shared" ca="1" si="66"/>
        <v>100.20194000000001</v>
      </c>
      <c r="H461" s="204">
        <f ca="1">IF(G461="","",IF(VLOOKUP(Tank!F461,'Species Data'!D:F,3,FALSE)=0,"X",IF(G461&lt;44.1,2,1)))</f>
        <v>1</v>
      </c>
      <c r="I461" s="204">
        <f t="shared" ca="1" si="67"/>
        <v>0.30248957056654424</v>
      </c>
      <c r="J461" s="247">
        <f ca="1">IF(I461="","",IF(COUNTIF($D$12:D461,D461)=1,IF(H461=1,I461*H461,IF(H461="X","X",0)),0))</f>
        <v>0</v>
      </c>
      <c r="K461" s="248">
        <f t="shared" ref="K461:K524" ca="1" si="69">IF(J461="","",IF(J461="X",0,J461/$J$9*100))</f>
        <v>0</v>
      </c>
      <c r="L461" s="212" t="s">
        <v>679</v>
      </c>
      <c r="M461" s="212" t="s">
        <v>448</v>
      </c>
      <c r="N461" s="212" t="s">
        <v>470</v>
      </c>
      <c r="O461" s="213">
        <v>41419</v>
      </c>
      <c r="P461" s="212" t="s">
        <v>531</v>
      </c>
      <c r="Q461" s="214">
        <v>100</v>
      </c>
      <c r="R461" s="212" t="s">
        <v>445</v>
      </c>
      <c r="S461" s="212" t="s">
        <v>532</v>
      </c>
      <c r="T461" s="212" t="s">
        <v>445</v>
      </c>
      <c r="U461" s="212" t="s">
        <v>446</v>
      </c>
      <c r="V461" s="214" t="b">
        <v>1</v>
      </c>
      <c r="W461" s="214">
        <v>1989</v>
      </c>
      <c r="X461" s="214">
        <v>5</v>
      </c>
      <c r="Y461" s="214">
        <v>2</v>
      </c>
      <c r="Z461" s="214">
        <v>4</v>
      </c>
      <c r="AA461" s="212" t="s">
        <v>447</v>
      </c>
      <c r="AB461" s="212" t="s">
        <v>531</v>
      </c>
      <c r="AC461" s="212" t="s">
        <v>533</v>
      </c>
      <c r="AD461" s="214">
        <v>3.7325270000000002</v>
      </c>
      <c r="AE461" s="214">
        <v>194</v>
      </c>
      <c r="AF461" s="214">
        <v>0.14549999999999999</v>
      </c>
      <c r="AG461" s="214">
        <v>-99</v>
      </c>
      <c r="AH461" s="212" t="s">
        <v>224</v>
      </c>
      <c r="AI461" s="212" t="s">
        <v>449</v>
      </c>
      <c r="AJ461" s="212" t="s">
        <v>316</v>
      </c>
      <c r="AK461" s="212" t="s">
        <v>531</v>
      </c>
      <c r="AL461" s="212" t="s">
        <v>388</v>
      </c>
      <c r="AM461" s="214" t="b">
        <v>1</v>
      </c>
      <c r="AN461" s="214" t="b">
        <v>0</v>
      </c>
      <c r="AO461" s="212" t="s">
        <v>317</v>
      </c>
      <c r="AP461" s="212" t="s">
        <v>318</v>
      </c>
      <c r="AQ461" s="214">
        <v>100.20194000000001</v>
      </c>
      <c r="AR461" s="214" t="b">
        <v>0</v>
      </c>
      <c r="AS461" s="212" t="s">
        <v>534</v>
      </c>
      <c r="AU461" s="222" t="s">
        <v>819</v>
      </c>
    </row>
    <row r="462" spans="1:47" x14ac:dyDescent="0.25">
      <c r="A462" s="245">
        <f t="shared" si="62"/>
        <v>462</v>
      </c>
      <c r="B462" s="246" t="str">
        <f t="shared" si="68"/>
        <v>Oil Field - Tank</v>
      </c>
      <c r="C462" s="246" t="str">
        <f ca="1">IF(B462="","",VLOOKUP(D462,'Species Data'!B:E,4,FALSE))</f>
        <v>twometpen</v>
      </c>
      <c r="D462" s="246">
        <f t="shared" ca="1" si="63"/>
        <v>199</v>
      </c>
      <c r="E462" s="246">
        <f t="shared" ca="1" si="64"/>
        <v>0.80620000000000003</v>
      </c>
      <c r="F462" s="246" t="str">
        <f t="shared" ca="1" si="65"/>
        <v>2-methylpentane (isohexane)</v>
      </c>
      <c r="G462" s="246">
        <f t="shared" ca="1" si="66"/>
        <v>86.175359999999998</v>
      </c>
      <c r="H462" s="204">
        <f ca="1">IF(G462="","",IF(VLOOKUP(Tank!F462,'Species Data'!D:F,3,FALSE)=0,"X",IF(G462&lt;44.1,2,1)))</f>
        <v>1</v>
      </c>
      <c r="I462" s="204">
        <f t="shared" ca="1" si="67"/>
        <v>0.93120227287515311</v>
      </c>
      <c r="J462" s="247">
        <f ca="1">IF(I462="","",IF(COUNTIF($D$12:D462,D462)=1,IF(H462=1,I462*H462,IF(H462="X","X",0)),0))</f>
        <v>0</v>
      </c>
      <c r="K462" s="248">
        <f t="shared" ca="1" si="69"/>
        <v>0</v>
      </c>
      <c r="L462" s="212" t="s">
        <v>679</v>
      </c>
      <c r="M462" s="212" t="s">
        <v>448</v>
      </c>
      <c r="N462" s="212" t="s">
        <v>470</v>
      </c>
      <c r="O462" s="213">
        <v>41419</v>
      </c>
      <c r="P462" s="212" t="s">
        <v>531</v>
      </c>
      <c r="Q462" s="214">
        <v>100</v>
      </c>
      <c r="R462" s="212" t="s">
        <v>445</v>
      </c>
      <c r="S462" s="212" t="s">
        <v>532</v>
      </c>
      <c r="T462" s="212" t="s">
        <v>445</v>
      </c>
      <c r="U462" s="212" t="s">
        <v>446</v>
      </c>
      <c r="V462" s="214" t="b">
        <v>1</v>
      </c>
      <c r="W462" s="214">
        <v>1989</v>
      </c>
      <c r="X462" s="214">
        <v>5</v>
      </c>
      <c r="Y462" s="214">
        <v>2</v>
      </c>
      <c r="Z462" s="214">
        <v>4</v>
      </c>
      <c r="AA462" s="212" t="s">
        <v>447</v>
      </c>
      <c r="AB462" s="212" t="s">
        <v>531</v>
      </c>
      <c r="AC462" s="212" t="s">
        <v>533</v>
      </c>
      <c r="AD462" s="214">
        <v>3.7325270000000002</v>
      </c>
      <c r="AE462" s="214">
        <v>199</v>
      </c>
      <c r="AF462" s="214">
        <v>0.80620000000000003</v>
      </c>
      <c r="AG462" s="214">
        <v>-99</v>
      </c>
      <c r="AH462" s="212" t="s">
        <v>224</v>
      </c>
      <c r="AI462" s="212" t="s">
        <v>449</v>
      </c>
      <c r="AJ462" s="212" t="s">
        <v>319</v>
      </c>
      <c r="AK462" s="212" t="s">
        <v>531</v>
      </c>
      <c r="AL462" s="212" t="s">
        <v>389</v>
      </c>
      <c r="AM462" s="214" t="b">
        <v>1</v>
      </c>
      <c r="AN462" s="214" t="b">
        <v>0</v>
      </c>
      <c r="AO462" s="212" t="s">
        <v>320</v>
      </c>
      <c r="AP462" s="212" t="s">
        <v>321</v>
      </c>
      <c r="AQ462" s="214">
        <v>86.175359999999998</v>
      </c>
      <c r="AR462" s="214" t="b">
        <v>0</v>
      </c>
      <c r="AS462" s="212" t="s">
        <v>534</v>
      </c>
      <c r="AU462" s="222" t="s">
        <v>819</v>
      </c>
    </row>
    <row r="463" spans="1:47" x14ac:dyDescent="0.25">
      <c r="A463" s="245">
        <f t="shared" si="62"/>
        <v>463</v>
      </c>
      <c r="B463" s="246" t="str">
        <f t="shared" si="68"/>
        <v>Oil Field - Tank</v>
      </c>
      <c r="C463" s="246" t="str">
        <f ca="1">IF(B463="","",VLOOKUP(D463,'Species Data'!B:E,4,FALSE))</f>
        <v>ethylhexane</v>
      </c>
      <c r="D463" s="246">
        <f t="shared" ca="1" si="63"/>
        <v>226</v>
      </c>
      <c r="E463" s="246">
        <f t="shared" ca="1" si="64"/>
        <v>3.5099999999999999E-2</v>
      </c>
      <c r="F463" s="246" t="str">
        <f t="shared" ca="1" si="65"/>
        <v>3-ethylhexane</v>
      </c>
      <c r="G463" s="246">
        <f t="shared" ca="1" si="66"/>
        <v>114.22852</v>
      </c>
      <c r="H463" s="204" t="str">
        <f ca="1">IF(G463="","",IF(VLOOKUP(Tank!F463,'Species Data'!D:F,3,FALSE)=0,"X",IF(G463&lt;44.1,2,1)))</f>
        <v>X</v>
      </c>
      <c r="I463" s="204">
        <f t="shared" ca="1" si="67"/>
        <v>9.0107531698970997E-2</v>
      </c>
      <c r="J463" s="247">
        <f ca="1">IF(I463="","",IF(COUNTIF($D$12:D463,D463)=1,IF(H463=1,I463*H463,IF(H463="X","X",0)),0))</f>
        <v>0</v>
      </c>
      <c r="K463" s="248">
        <f t="shared" ca="1" si="69"/>
        <v>0</v>
      </c>
      <c r="L463" s="212" t="s">
        <v>679</v>
      </c>
      <c r="M463" s="212" t="s">
        <v>448</v>
      </c>
      <c r="N463" s="212" t="s">
        <v>470</v>
      </c>
      <c r="O463" s="213">
        <v>41419</v>
      </c>
      <c r="P463" s="212" t="s">
        <v>531</v>
      </c>
      <c r="Q463" s="214">
        <v>100</v>
      </c>
      <c r="R463" s="212" t="s">
        <v>445</v>
      </c>
      <c r="S463" s="212" t="s">
        <v>532</v>
      </c>
      <c r="T463" s="212" t="s">
        <v>445</v>
      </c>
      <c r="U463" s="212" t="s">
        <v>446</v>
      </c>
      <c r="V463" s="214" t="b">
        <v>1</v>
      </c>
      <c r="W463" s="214">
        <v>1989</v>
      </c>
      <c r="X463" s="214">
        <v>5</v>
      </c>
      <c r="Y463" s="214">
        <v>2</v>
      </c>
      <c r="Z463" s="214">
        <v>4</v>
      </c>
      <c r="AA463" s="212" t="s">
        <v>447</v>
      </c>
      <c r="AB463" s="212" t="s">
        <v>531</v>
      </c>
      <c r="AC463" s="212" t="s">
        <v>533</v>
      </c>
      <c r="AD463" s="214">
        <v>3.7325270000000002</v>
      </c>
      <c r="AE463" s="214">
        <v>226</v>
      </c>
      <c r="AF463" s="214">
        <v>3.5099999999999999E-2</v>
      </c>
      <c r="AG463" s="214">
        <v>-99</v>
      </c>
      <c r="AH463" s="212" t="s">
        <v>224</v>
      </c>
      <c r="AI463" s="212" t="s">
        <v>449</v>
      </c>
      <c r="AJ463" s="212" t="s">
        <v>439</v>
      </c>
      <c r="AK463" s="212" t="s">
        <v>531</v>
      </c>
      <c r="AL463" s="212" t="s">
        <v>461</v>
      </c>
      <c r="AM463" s="214" t="b">
        <v>0</v>
      </c>
      <c r="AN463" s="214" t="b">
        <v>0</v>
      </c>
      <c r="AO463" s="212" t="s">
        <v>440</v>
      </c>
      <c r="AP463" s="212" t="s">
        <v>531</v>
      </c>
      <c r="AQ463" s="214">
        <v>114.22852</v>
      </c>
      <c r="AR463" s="214" t="b">
        <v>0</v>
      </c>
      <c r="AS463" s="212" t="s">
        <v>534</v>
      </c>
      <c r="AU463" s="222" t="s">
        <v>819</v>
      </c>
    </row>
    <row r="464" spans="1:47" x14ac:dyDescent="0.25">
      <c r="A464" s="245">
        <f t="shared" si="62"/>
        <v>464</v>
      </c>
      <c r="B464" s="246" t="str">
        <f t="shared" si="68"/>
        <v>Oil Field - Tank</v>
      </c>
      <c r="C464" s="246" t="str">
        <f ca="1">IF(B464="","",VLOOKUP(D464,'Species Data'!B:E,4,FALSE))</f>
        <v>threemethex</v>
      </c>
      <c r="D464" s="246">
        <f t="shared" ca="1" si="63"/>
        <v>245</v>
      </c>
      <c r="E464" s="246">
        <f t="shared" ca="1" si="64"/>
        <v>0.25059999999999999</v>
      </c>
      <c r="F464" s="246" t="str">
        <f t="shared" ca="1" si="65"/>
        <v>3-methylhexane</v>
      </c>
      <c r="G464" s="246">
        <f t="shared" ca="1" si="66"/>
        <v>100.20194000000001</v>
      </c>
      <c r="H464" s="204">
        <f ca="1">IF(G464="","",IF(VLOOKUP(Tank!F464,'Species Data'!D:F,3,FALSE)=0,"X",IF(G464&lt;44.1,2,1)))</f>
        <v>1</v>
      </c>
      <c r="I464" s="204">
        <f t="shared" ca="1" si="67"/>
        <v>0.33724323753508045</v>
      </c>
      <c r="J464" s="247">
        <f ca="1">IF(I464="","",IF(COUNTIF($D$12:D464,D464)=1,IF(H464=1,I464*H464,IF(H464="X","X",0)),0))</f>
        <v>0</v>
      </c>
      <c r="K464" s="248">
        <f t="shared" ca="1" si="69"/>
        <v>0</v>
      </c>
      <c r="L464" s="212" t="s">
        <v>679</v>
      </c>
      <c r="M464" s="212" t="s">
        <v>448</v>
      </c>
      <c r="N464" s="212" t="s">
        <v>470</v>
      </c>
      <c r="O464" s="213">
        <v>41419</v>
      </c>
      <c r="P464" s="212" t="s">
        <v>531</v>
      </c>
      <c r="Q464" s="214">
        <v>100</v>
      </c>
      <c r="R464" s="212" t="s">
        <v>445</v>
      </c>
      <c r="S464" s="212" t="s">
        <v>532</v>
      </c>
      <c r="T464" s="212" t="s">
        <v>445</v>
      </c>
      <c r="U464" s="212" t="s">
        <v>446</v>
      </c>
      <c r="V464" s="214" t="b">
        <v>1</v>
      </c>
      <c r="W464" s="214">
        <v>1989</v>
      </c>
      <c r="X464" s="214">
        <v>5</v>
      </c>
      <c r="Y464" s="214">
        <v>2</v>
      </c>
      <c r="Z464" s="214">
        <v>4</v>
      </c>
      <c r="AA464" s="212" t="s">
        <v>447</v>
      </c>
      <c r="AB464" s="212" t="s">
        <v>531</v>
      </c>
      <c r="AC464" s="212" t="s">
        <v>533</v>
      </c>
      <c r="AD464" s="214">
        <v>3.7325270000000002</v>
      </c>
      <c r="AE464" s="214">
        <v>245</v>
      </c>
      <c r="AF464" s="214">
        <v>0.25059999999999999</v>
      </c>
      <c r="AG464" s="214">
        <v>-99</v>
      </c>
      <c r="AH464" s="212" t="s">
        <v>224</v>
      </c>
      <c r="AI464" s="212" t="s">
        <v>449</v>
      </c>
      <c r="AJ464" s="212" t="s">
        <v>325</v>
      </c>
      <c r="AK464" s="212" t="s">
        <v>531</v>
      </c>
      <c r="AL464" s="212" t="s">
        <v>390</v>
      </c>
      <c r="AM464" s="214" t="b">
        <v>1</v>
      </c>
      <c r="AN464" s="214" t="b">
        <v>0</v>
      </c>
      <c r="AO464" s="212" t="s">
        <v>326</v>
      </c>
      <c r="AP464" s="212" t="s">
        <v>327</v>
      </c>
      <c r="AQ464" s="214">
        <v>100.20194000000001</v>
      </c>
      <c r="AR464" s="214" t="b">
        <v>0</v>
      </c>
      <c r="AS464" s="212" t="s">
        <v>534</v>
      </c>
      <c r="AU464" s="222" t="s">
        <v>819</v>
      </c>
    </row>
    <row r="465" spans="1:47" x14ac:dyDescent="0.25">
      <c r="A465" s="245">
        <f t="shared" si="62"/>
        <v>465</v>
      </c>
      <c r="B465" s="246" t="str">
        <f t="shared" si="68"/>
        <v>Oil Field - Tank</v>
      </c>
      <c r="C465" s="246" t="str">
        <f ca="1">IF(B465="","",VLOOKUP(D465,'Species Data'!B:E,4,FALSE))</f>
        <v>threemetpen</v>
      </c>
      <c r="D465" s="246">
        <f t="shared" ca="1" si="63"/>
        <v>248</v>
      </c>
      <c r="E465" s="246">
        <f t="shared" ca="1" si="64"/>
        <v>0.6593</v>
      </c>
      <c r="F465" s="246" t="str">
        <f t="shared" ca="1" si="65"/>
        <v>3-methylpentane</v>
      </c>
      <c r="G465" s="246">
        <f t="shared" ca="1" si="66"/>
        <v>86.175359999999998</v>
      </c>
      <c r="H465" s="204">
        <f ca="1">IF(G465="","",IF(VLOOKUP(Tank!F465,'Species Data'!D:F,3,FALSE)=0,"X",IF(G465&lt;44.1,2,1)))</f>
        <v>1</v>
      </c>
      <c r="I465" s="204">
        <f t="shared" ca="1" si="67"/>
        <v>0.72479362468546382</v>
      </c>
      <c r="J465" s="247">
        <f ca="1">IF(I465="","",IF(COUNTIF($D$12:D465,D465)=1,IF(H465=1,I465*H465,IF(H465="X","X",0)),0))</f>
        <v>0</v>
      </c>
      <c r="K465" s="248">
        <f t="shared" ca="1" si="69"/>
        <v>0</v>
      </c>
      <c r="L465" s="212" t="s">
        <v>679</v>
      </c>
      <c r="M465" s="212" t="s">
        <v>448</v>
      </c>
      <c r="N465" s="212" t="s">
        <v>470</v>
      </c>
      <c r="O465" s="213">
        <v>41419</v>
      </c>
      <c r="P465" s="212" t="s">
        <v>531</v>
      </c>
      <c r="Q465" s="214">
        <v>100</v>
      </c>
      <c r="R465" s="212" t="s">
        <v>445</v>
      </c>
      <c r="S465" s="212" t="s">
        <v>532</v>
      </c>
      <c r="T465" s="212" t="s">
        <v>445</v>
      </c>
      <c r="U465" s="212" t="s">
        <v>446</v>
      </c>
      <c r="V465" s="214" t="b">
        <v>1</v>
      </c>
      <c r="W465" s="214">
        <v>1989</v>
      </c>
      <c r="X465" s="214">
        <v>5</v>
      </c>
      <c r="Y465" s="214">
        <v>2</v>
      </c>
      <c r="Z465" s="214">
        <v>4</v>
      </c>
      <c r="AA465" s="212" t="s">
        <v>447</v>
      </c>
      <c r="AB465" s="212" t="s">
        <v>531</v>
      </c>
      <c r="AC465" s="212" t="s">
        <v>533</v>
      </c>
      <c r="AD465" s="214">
        <v>3.7325270000000002</v>
      </c>
      <c r="AE465" s="214">
        <v>248</v>
      </c>
      <c r="AF465" s="214">
        <v>0.6593</v>
      </c>
      <c r="AG465" s="214">
        <v>-99</v>
      </c>
      <c r="AH465" s="212" t="s">
        <v>224</v>
      </c>
      <c r="AI465" s="212" t="s">
        <v>449</v>
      </c>
      <c r="AJ465" s="212" t="s">
        <v>328</v>
      </c>
      <c r="AK465" s="212" t="s">
        <v>531</v>
      </c>
      <c r="AL465" s="212" t="s">
        <v>391</v>
      </c>
      <c r="AM465" s="214" t="b">
        <v>1</v>
      </c>
      <c r="AN465" s="214" t="b">
        <v>0</v>
      </c>
      <c r="AO465" s="212" t="s">
        <v>329</v>
      </c>
      <c r="AP465" s="212" t="s">
        <v>330</v>
      </c>
      <c r="AQ465" s="214">
        <v>86.175359999999998</v>
      </c>
      <c r="AR465" s="214" t="b">
        <v>0</v>
      </c>
      <c r="AS465" s="212" t="s">
        <v>534</v>
      </c>
      <c r="AU465" s="222" t="s">
        <v>819</v>
      </c>
    </row>
    <row r="466" spans="1:47" x14ac:dyDescent="0.25">
      <c r="A466" s="245">
        <f t="shared" si="62"/>
        <v>466</v>
      </c>
      <c r="B466" s="246" t="str">
        <f t="shared" si="68"/>
        <v>Oil Field - Tank</v>
      </c>
      <c r="C466" s="246" t="str">
        <f ca="1">IF(B466="","",VLOOKUP(D466,'Species Data'!B:E,4,FALSE))</f>
        <v>benzene</v>
      </c>
      <c r="D466" s="246">
        <f t="shared" ca="1" si="63"/>
        <v>302</v>
      </c>
      <c r="E466" s="246">
        <f t="shared" ca="1" si="64"/>
        <v>3.9399999999999998E-2</v>
      </c>
      <c r="F466" s="246" t="str">
        <f t="shared" ca="1" si="65"/>
        <v>Benzene</v>
      </c>
      <c r="G466" s="246">
        <f t="shared" ca="1" si="66"/>
        <v>78.111840000000001</v>
      </c>
      <c r="H466" s="204">
        <f ca="1">IF(G466="","",IF(VLOOKUP(Tank!F466,'Species Data'!D:F,3,FALSE)=0,"X",IF(G466&lt;44.1,2,1)))</f>
        <v>1</v>
      </c>
      <c r="I466" s="204">
        <f t="shared" ca="1" si="67"/>
        <v>0.24518902048126334</v>
      </c>
      <c r="J466" s="247">
        <f ca="1">IF(I466="","",IF(COUNTIF($D$12:D466,D466)=1,IF(H466=1,I466*H466,IF(H466="X","X",0)),0))</f>
        <v>0</v>
      </c>
      <c r="K466" s="248">
        <f t="shared" ca="1" si="69"/>
        <v>0</v>
      </c>
      <c r="L466" s="212" t="s">
        <v>679</v>
      </c>
      <c r="M466" s="212" t="s">
        <v>448</v>
      </c>
      <c r="N466" s="212" t="s">
        <v>470</v>
      </c>
      <c r="O466" s="213">
        <v>41419</v>
      </c>
      <c r="P466" s="212" t="s">
        <v>531</v>
      </c>
      <c r="Q466" s="214">
        <v>100</v>
      </c>
      <c r="R466" s="212" t="s">
        <v>445</v>
      </c>
      <c r="S466" s="212" t="s">
        <v>532</v>
      </c>
      <c r="T466" s="212" t="s">
        <v>445</v>
      </c>
      <c r="U466" s="212" t="s">
        <v>446</v>
      </c>
      <c r="V466" s="214" t="b">
        <v>1</v>
      </c>
      <c r="W466" s="214">
        <v>1989</v>
      </c>
      <c r="X466" s="214">
        <v>5</v>
      </c>
      <c r="Y466" s="214">
        <v>2</v>
      </c>
      <c r="Z466" s="214">
        <v>4</v>
      </c>
      <c r="AA466" s="212" t="s">
        <v>447</v>
      </c>
      <c r="AB466" s="212" t="s">
        <v>531</v>
      </c>
      <c r="AC466" s="212" t="s">
        <v>533</v>
      </c>
      <c r="AD466" s="214">
        <v>3.7325270000000002</v>
      </c>
      <c r="AE466" s="214">
        <v>302</v>
      </c>
      <c r="AF466" s="214">
        <v>3.9399999999999998E-2</v>
      </c>
      <c r="AG466" s="214">
        <v>-99</v>
      </c>
      <c r="AH466" s="212" t="s">
        <v>224</v>
      </c>
      <c r="AI466" s="212" t="s">
        <v>449</v>
      </c>
      <c r="AJ466" s="212" t="s">
        <v>262</v>
      </c>
      <c r="AK466" s="212" t="s">
        <v>531</v>
      </c>
      <c r="AL466" s="212" t="s">
        <v>373</v>
      </c>
      <c r="AM466" s="214" t="b">
        <v>1</v>
      </c>
      <c r="AN466" s="214" t="b">
        <v>1</v>
      </c>
      <c r="AO466" s="212" t="s">
        <v>263</v>
      </c>
      <c r="AP466" s="212" t="s">
        <v>264</v>
      </c>
      <c r="AQ466" s="214">
        <v>78.111840000000001</v>
      </c>
      <c r="AR466" s="214" t="b">
        <v>0</v>
      </c>
      <c r="AS466" s="212" t="s">
        <v>534</v>
      </c>
      <c r="AU466" s="222" t="s">
        <v>819</v>
      </c>
    </row>
    <row r="467" spans="1:47" x14ac:dyDescent="0.25">
      <c r="A467" s="245">
        <f t="shared" si="62"/>
        <v>467</v>
      </c>
      <c r="B467" s="246" t="str">
        <f t="shared" si="68"/>
        <v>Oil Field - Tank</v>
      </c>
      <c r="C467" s="246" t="str">
        <f ca="1">IF(B467="","",VLOOKUP(D467,'Species Data'!B:E,4,FALSE))</f>
        <v>cyclohexane</v>
      </c>
      <c r="D467" s="246">
        <f t="shared" ca="1" si="63"/>
        <v>385</v>
      </c>
      <c r="E467" s="246">
        <f t="shared" ca="1" si="64"/>
        <v>1.77E-2</v>
      </c>
      <c r="F467" s="246" t="str">
        <f t="shared" ca="1" si="65"/>
        <v>Cyclohexane</v>
      </c>
      <c r="G467" s="246">
        <f t="shared" ca="1" si="66"/>
        <v>84.159480000000002</v>
      </c>
      <c r="H467" s="204">
        <f ca="1">IF(G467="","",IF(VLOOKUP(Tank!F467,'Species Data'!D:F,3,FALSE)=0,"X",IF(G467&lt;44.1,2,1)))</f>
        <v>1</v>
      </c>
      <c r="I467" s="204">
        <f t="shared" ca="1" si="67"/>
        <v>1.8406843372363042E-2</v>
      </c>
      <c r="J467" s="247">
        <f ca="1">IF(I467="","",IF(COUNTIF($D$12:D467,D467)=1,IF(H467=1,I467*H467,IF(H467="X","X",0)),0))</f>
        <v>0</v>
      </c>
      <c r="K467" s="248">
        <f t="shared" ca="1" si="69"/>
        <v>0</v>
      </c>
      <c r="L467" s="212" t="s">
        <v>679</v>
      </c>
      <c r="M467" s="212" t="s">
        <v>448</v>
      </c>
      <c r="N467" s="212" t="s">
        <v>470</v>
      </c>
      <c r="O467" s="213">
        <v>41419</v>
      </c>
      <c r="P467" s="212" t="s">
        <v>531</v>
      </c>
      <c r="Q467" s="214">
        <v>100</v>
      </c>
      <c r="R467" s="212" t="s">
        <v>445</v>
      </c>
      <c r="S467" s="212" t="s">
        <v>532</v>
      </c>
      <c r="T467" s="212" t="s">
        <v>445</v>
      </c>
      <c r="U467" s="212" t="s">
        <v>446</v>
      </c>
      <c r="V467" s="214" t="b">
        <v>1</v>
      </c>
      <c r="W467" s="214">
        <v>1989</v>
      </c>
      <c r="X467" s="214">
        <v>5</v>
      </c>
      <c r="Y467" s="214">
        <v>2</v>
      </c>
      <c r="Z467" s="214">
        <v>4</v>
      </c>
      <c r="AA467" s="212" t="s">
        <v>447</v>
      </c>
      <c r="AB467" s="212" t="s">
        <v>531</v>
      </c>
      <c r="AC467" s="212" t="s">
        <v>533</v>
      </c>
      <c r="AD467" s="214">
        <v>3.7325270000000002</v>
      </c>
      <c r="AE467" s="214">
        <v>385</v>
      </c>
      <c r="AF467" s="214">
        <v>1.77E-2</v>
      </c>
      <c r="AG467" s="214">
        <v>-99</v>
      </c>
      <c r="AH467" s="212" t="s">
        <v>224</v>
      </c>
      <c r="AI467" s="212" t="s">
        <v>449</v>
      </c>
      <c r="AJ467" s="212" t="s">
        <v>331</v>
      </c>
      <c r="AK467" s="212" t="s">
        <v>531</v>
      </c>
      <c r="AL467" s="212" t="s">
        <v>392</v>
      </c>
      <c r="AM467" s="214" t="b">
        <v>1</v>
      </c>
      <c r="AN467" s="214" t="b">
        <v>0</v>
      </c>
      <c r="AO467" s="212" t="s">
        <v>332</v>
      </c>
      <c r="AP467" s="212" t="s">
        <v>333</v>
      </c>
      <c r="AQ467" s="214">
        <v>84.159480000000002</v>
      </c>
      <c r="AR467" s="214" t="b">
        <v>0</v>
      </c>
      <c r="AS467" s="212" t="s">
        <v>534</v>
      </c>
      <c r="AU467" s="222" t="s">
        <v>819</v>
      </c>
    </row>
    <row r="468" spans="1:47" x14ac:dyDescent="0.25">
      <c r="A468" s="245">
        <f t="shared" si="62"/>
        <v>468</v>
      </c>
      <c r="B468" s="246" t="str">
        <f t="shared" si="68"/>
        <v>Oil Field - Tank</v>
      </c>
      <c r="C468" s="246" t="str">
        <f ca="1">IF(B468="","",VLOOKUP(D468,'Species Data'!B:E,4,FALSE))</f>
        <v>ethane</v>
      </c>
      <c r="D468" s="246">
        <f t="shared" ca="1" si="63"/>
        <v>438</v>
      </c>
      <c r="E468" s="246">
        <f t="shared" ca="1" si="64"/>
        <v>3.4826999999999999</v>
      </c>
      <c r="F468" s="246" t="str">
        <f t="shared" ca="1" si="65"/>
        <v>Ethane</v>
      </c>
      <c r="G468" s="246">
        <f t="shared" ca="1" si="66"/>
        <v>30.069040000000005</v>
      </c>
      <c r="H468" s="204">
        <f ca="1">IF(G468="","",IF(VLOOKUP(Tank!F468,'Species Data'!D:F,3,FALSE)=0,"X",IF(G468&lt;44.1,2,1)))</f>
        <v>2</v>
      </c>
      <c r="I468" s="204">
        <f t="shared" ca="1" si="67"/>
        <v>5.717421553913586</v>
      </c>
      <c r="J468" s="247">
        <f ca="1">IF(I468="","",IF(COUNTIF($D$12:D468,D468)=1,IF(H468=1,I468*H468,IF(H468="X","X",0)),0))</f>
        <v>0</v>
      </c>
      <c r="K468" s="248">
        <f t="shared" ca="1" si="69"/>
        <v>0</v>
      </c>
      <c r="L468" s="212" t="s">
        <v>679</v>
      </c>
      <c r="M468" s="212" t="s">
        <v>448</v>
      </c>
      <c r="N468" s="212" t="s">
        <v>470</v>
      </c>
      <c r="O468" s="213">
        <v>41419</v>
      </c>
      <c r="P468" s="212" t="s">
        <v>531</v>
      </c>
      <c r="Q468" s="214">
        <v>100</v>
      </c>
      <c r="R468" s="212" t="s">
        <v>445</v>
      </c>
      <c r="S468" s="212" t="s">
        <v>532</v>
      </c>
      <c r="T468" s="212" t="s">
        <v>445</v>
      </c>
      <c r="U468" s="212" t="s">
        <v>446</v>
      </c>
      <c r="V468" s="214" t="b">
        <v>1</v>
      </c>
      <c r="W468" s="214">
        <v>1989</v>
      </c>
      <c r="X468" s="214">
        <v>5</v>
      </c>
      <c r="Y468" s="214">
        <v>2</v>
      </c>
      <c r="Z468" s="214">
        <v>4</v>
      </c>
      <c r="AA468" s="212" t="s">
        <v>447</v>
      </c>
      <c r="AB468" s="212" t="s">
        <v>531</v>
      </c>
      <c r="AC468" s="212" t="s">
        <v>533</v>
      </c>
      <c r="AD468" s="214">
        <v>3.7325270000000002</v>
      </c>
      <c r="AE468" s="214">
        <v>438</v>
      </c>
      <c r="AF468" s="214">
        <v>3.4826999999999999</v>
      </c>
      <c r="AG468" s="214">
        <v>-99</v>
      </c>
      <c r="AH468" s="212" t="s">
        <v>224</v>
      </c>
      <c r="AI468" s="212" t="s">
        <v>449</v>
      </c>
      <c r="AJ468" s="212" t="s">
        <v>265</v>
      </c>
      <c r="AK468" s="212" t="s">
        <v>531</v>
      </c>
      <c r="AL468" s="212" t="s">
        <v>374</v>
      </c>
      <c r="AM468" s="214" t="b">
        <v>1</v>
      </c>
      <c r="AN468" s="214" t="b">
        <v>0</v>
      </c>
      <c r="AO468" s="212" t="s">
        <v>266</v>
      </c>
      <c r="AP468" s="212" t="s">
        <v>267</v>
      </c>
      <c r="AQ468" s="214">
        <v>30.069040000000005</v>
      </c>
      <c r="AR468" s="214" t="b">
        <v>1</v>
      </c>
      <c r="AS468" s="212" t="s">
        <v>534</v>
      </c>
      <c r="AU468" s="222" t="s">
        <v>819</v>
      </c>
    </row>
    <row r="469" spans="1:47" x14ac:dyDescent="0.25">
      <c r="A469" s="245">
        <f t="shared" si="62"/>
        <v>469</v>
      </c>
      <c r="B469" s="246" t="str">
        <f t="shared" si="68"/>
        <v>Oil Field - Tank</v>
      </c>
      <c r="C469" s="246" t="str">
        <f ca="1">IF(B469="","",VLOOKUP(D469,'Species Data'!B:E,4,FALSE))</f>
        <v>ethyl_benz</v>
      </c>
      <c r="D469" s="246">
        <f t="shared" ca="1" si="63"/>
        <v>449</v>
      </c>
      <c r="E469" s="246">
        <f t="shared" ca="1" si="64"/>
        <v>7.0400000000000004E-2</v>
      </c>
      <c r="F469" s="246" t="str">
        <f t="shared" ca="1" si="65"/>
        <v>Ethylbenzene</v>
      </c>
      <c r="G469" s="246">
        <f t="shared" ca="1" si="66"/>
        <v>106.16500000000001</v>
      </c>
      <c r="H469" s="204">
        <f ca="1">IF(G469="","",IF(VLOOKUP(Tank!F469,'Species Data'!D:F,3,FALSE)=0,"X",IF(G469&lt;44.1,2,1)))</f>
        <v>1</v>
      </c>
      <c r="I469" s="204">
        <f t="shared" ca="1" si="67"/>
        <v>0.12062115796311647</v>
      </c>
      <c r="J469" s="247">
        <f ca="1">IF(I469="","",IF(COUNTIF($D$12:D469,D469)=1,IF(H469=1,I469*H469,IF(H469="X","X",0)),0))</f>
        <v>0</v>
      </c>
      <c r="K469" s="248">
        <f t="shared" ca="1" si="69"/>
        <v>0</v>
      </c>
      <c r="L469" s="212" t="s">
        <v>679</v>
      </c>
      <c r="M469" s="212" t="s">
        <v>448</v>
      </c>
      <c r="N469" s="212" t="s">
        <v>470</v>
      </c>
      <c r="O469" s="213">
        <v>41419</v>
      </c>
      <c r="P469" s="212" t="s">
        <v>531</v>
      </c>
      <c r="Q469" s="214">
        <v>100</v>
      </c>
      <c r="R469" s="212" t="s">
        <v>445</v>
      </c>
      <c r="S469" s="212" t="s">
        <v>532</v>
      </c>
      <c r="T469" s="212" t="s">
        <v>445</v>
      </c>
      <c r="U469" s="212" t="s">
        <v>446</v>
      </c>
      <c r="V469" s="214" t="b">
        <v>1</v>
      </c>
      <c r="W469" s="214">
        <v>1989</v>
      </c>
      <c r="X469" s="214">
        <v>5</v>
      </c>
      <c r="Y469" s="214">
        <v>2</v>
      </c>
      <c r="Z469" s="214">
        <v>4</v>
      </c>
      <c r="AA469" s="212" t="s">
        <v>447</v>
      </c>
      <c r="AB469" s="212" t="s">
        <v>531</v>
      </c>
      <c r="AC469" s="212" t="s">
        <v>533</v>
      </c>
      <c r="AD469" s="214">
        <v>3.7325270000000002</v>
      </c>
      <c r="AE469" s="214">
        <v>449</v>
      </c>
      <c r="AF469" s="214">
        <v>7.0400000000000004E-2</v>
      </c>
      <c r="AG469" s="214">
        <v>-99</v>
      </c>
      <c r="AH469" s="212" t="s">
        <v>224</v>
      </c>
      <c r="AI469" s="212" t="s">
        <v>449</v>
      </c>
      <c r="AJ469" s="212" t="s">
        <v>337</v>
      </c>
      <c r="AK469" s="212" t="s">
        <v>531</v>
      </c>
      <c r="AL469" s="212" t="s">
        <v>394</v>
      </c>
      <c r="AM469" s="214" t="b">
        <v>1</v>
      </c>
      <c r="AN469" s="214" t="b">
        <v>1</v>
      </c>
      <c r="AO469" s="212" t="s">
        <v>338</v>
      </c>
      <c r="AP469" s="212" t="s">
        <v>339</v>
      </c>
      <c r="AQ469" s="214">
        <v>106.16500000000001</v>
      </c>
      <c r="AR469" s="214" t="b">
        <v>0</v>
      </c>
      <c r="AS469" s="212" t="s">
        <v>534</v>
      </c>
      <c r="AU469" s="222" t="s">
        <v>819</v>
      </c>
    </row>
    <row r="470" spans="1:47" x14ac:dyDescent="0.25">
      <c r="A470" s="245">
        <f t="shared" si="62"/>
        <v>470</v>
      </c>
      <c r="B470" s="246" t="str">
        <f t="shared" si="68"/>
        <v>Oil Field - Tank</v>
      </c>
      <c r="C470" s="246" t="str">
        <f ca="1">IF(B470="","",VLOOKUP(D470,'Species Data'!B:E,4,FALSE))</f>
        <v>isobut</v>
      </c>
      <c r="D470" s="246">
        <f t="shared" ca="1" si="63"/>
        <v>491</v>
      </c>
      <c r="E470" s="246">
        <f t="shared" ca="1" si="64"/>
        <v>2.2601</v>
      </c>
      <c r="F470" s="246" t="str">
        <f t="shared" ca="1" si="65"/>
        <v>Isobutane</v>
      </c>
      <c r="G470" s="246">
        <f t="shared" ca="1" si="66"/>
        <v>58.122199999999992</v>
      </c>
      <c r="H470" s="204">
        <f ca="1">IF(G470="","",IF(VLOOKUP(Tank!F470,'Species Data'!D:F,3,FALSE)=0,"X",IF(G470&lt;44.1,2,1)))</f>
        <v>1</v>
      </c>
      <c r="I470" s="204">
        <f t="shared" ca="1" si="67"/>
        <v>3.2562712602040991</v>
      </c>
      <c r="J470" s="247">
        <f ca="1">IF(I470="","",IF(COUNTIF($D$12:D470,D470)=1,IF(H470=1,I470*H470,IF(H470="X","X",0)),0))</f>
        <v>0</v>
      </c>
      <c r="K470" s="248">
        <f t="shared" ca="1" si="69"/>
        <v>0</v>
      </c>
      <c r="L470" s="212" t="s">
        <v>679</v>
      </c>
      <c r="M470" s="212" t="s">
        <v>448</v>
      </c>
      <c r="N470" s="212" t="s">
        <v>470</v>
      </c>
      <c r="O470" s="213">
        <v>41419</v>
      </c>
      <c r="P470" s="212" t="s">
        <v>531</v>
      </c>
      <c r="Q470" s="214">
        <v>100</v>
      </c>
      <c r="R470" s="212" t="s">
        <v>445</v>
      </c>
      <c r="S470" s="212" t="s">
        <v>532</v>
      </c>
      <c r="T470" s="212" t="s">
        <v>445</v>
      </c>
      <c r="U470" s="212" t="s">
        <v>446</v>
      </c>
      <c r="V470" s="214" t="b">
        <v>1</v>
      </c>
      <c r="W470" s="214">
        <v>1989</v>
      </c>
      <c r="X470" s="214">
        <v>5</v>
      </c>
      <c r="Y470" s="214">
        <v>2</v>
      </c>
      <c r="Z470" s="214">
        <v>4</v>
      </c>
      <c r="AA470" s="212" t="s">
        <v>447</v>
      </c>
      <c r="AB470" s="212" t="s">
        <v>531</v>
      </c>
      <c r="AC470" s="212" t="s">
        <v>533</v>
      </c>
      <c r="AD470" s="214">
        <v>3.7325270000000002</v>
      </c>
      <c r="AE470" s="214">
        <v>491</v>
      </c>
      <c r="AF470" s="214">
        <v>2.2601</v>
      </c>
      <c r="AG470" s="214">
        <v>-99</v>
      </c>
      <c r="AH470" s="212" t="s">
        <v>224</v>
      </c>
      <c r="AI470" s="212" t="s">
        <v>449</v>
      </c>
      <c r="AJ470" s="212" t="s">
        <v>268</v>
      </c>
      <c r="AK470" s="212" t="s">
        <v>531</v>
      </c>
      <c r="AL470" s="212" t="s">
        <v>375</v>
      </c>
      <c r="AM470" s="214" t="b">
        <v>1</v>
      </c>
      <c r="AN470" s="214" t="b">
        <v>0</v>
      </c>
      <c r="AO470" s="212" t="s">
        <v>269</v>
      </c>
      <c r="AP470" s="212" t="s">
        <v>270</v>
      </c>
      <c r="AQ470" s="214">
        <v>58.122199999999992</v>
      </c>
      <c r="AR470" s="214" t="b">
        <v>0</v>
      </c>
      <c r="AS470" s="212" t="s">
        <v>534</v>
      </c>
      <c r="AU470" s="222" t="s">
        <v>819</v>
      </c>
    </row>
    <row r="471" spans="1:47" x14ac:dyDescent="0.25">
      <c r="A471" s="245">
        <f t="shared" si="62"/>
        <v>471</v>
      </c>
      <c r="B471" s="246" t="str">
        <f t="shared" si="68"/>
        <v>Oil Field - Tank</v>
      </c>
      <c r="C471" s="246" t="str">
        <f ca="1">IF(B471="","",VLOOKUP(D471,'Species Data'!B:E,4,FALSE))</f>
        <v>i_but</v>
      </c>
      <c r="D471" s="246">
        <f t="shared" ca="1" si="63"/>
        <v>499</v>
      </c>
      <c r="E471" s="246">
        <f t="shared" ca="1" si="64"/>
        <v>6.9999999999999999E-4</v>
      </c>
      <c r="F471" s="246" t="str">
        <f t="shared" ca="1" si="65"/>
        <v>Isomers of butylbenzene</v>
      </c>
      <c r="G471" s="246">
        <f t="shared" ca="1" si="66"/>
        <v>134.21816000000001</v>
      </c>
      <c r="H471" s="204">
        <f ca="1">IF(G471="","",IF(VLOOKUP(Tank!F471,'Species Data'!D:F,3,FALSE)=0,"X",IF(G471&lt;44.1,2,1)))</f>
        <v>1</v>
      </c>
      <c r="I471" s="204">
        <f t="shared" ca="1" si="67"/>
        <v>1.7466834348276415E-3</v>
      </c>
      <c r="J471" s="247">
        <f ca="1">IF(I471="","",IF(COUNTIF($D$12:D471,D471)=1,IF(H471=1,I471*H471,IF(H471="X","X",0)),0))</f>
        <v>0</v>
      </c>
      <c r="K471" s="248">
        <f t="shared" ca="1" si="69"/>
        <v>0</v>
      </c>
      <c r="L471" s="212" t="s">
        <v>679</v>
      </c>
      <c r="M471" s="212" t="s">
        <v>448</v>
      </c>
      <c r="N471" s="212" t="s">
        <v>470</v>
      </c>
      <c r="O471" s="213">
        <v>41419</v>
      </c>
      <c r="P471" s="212" t="s">
        <v>531</v>
      </c>
      <c r="Q471" s="214">
        <v>100</v>
      </c>
      <c r="R471" s="212" t="s">
        <v>445</v>
      </c>
      <c r="S471" s="212" t="s">
        <v>532</v>
      </c>
      <c r="T471" s="212" t="s">
        <v>445</v>
      </c>
      <c r="U471" s="212" t="s">
        <v>446</v>
      </c>
      <c r="V471" s="214" t="b">
        <v>1</v>
      </c>
      <c r="W471" s="214">
        <v>1989</v>
      </c>
      <c r="X471" s="214">
        <v>5</v>
      </c>
      <c r="Y471" s="214">
        <v>2</v>
      </c>
      <c r="Z471" s="214">
        <v>4</v>
      </c>
      <c r="AA471" s="212" t="s">
        <v>447</v>
      </c>
      <c r="AB471" s="212" t="s">
        <v>531</v>
      </c>
      <c r="AC471" s="212" t="s">
        <v>533</v>
      </c>
      <c r="AD471" s="214">
        <v>3.7325270000000002</v>
      </c>
      <c r="AE471" s="214">
        <v>499</v>
      </c>
      <c r="AF471" s="214">
        <v>6.9999999999999999E-4</v>
      </c>
      <c r="AG471" s="214">
        <v>-99</v>
      </c>
      <c r="AH471" s="212" t="s">
        <v>224</v>
      </c>
      <c r="AI471" s="212" t="s">
        <v>449</v>
      </c>
      <c r="AJ471" s="212" t="s">
        <v>531</v>
      </c>
      <c r="AK471" s="212" t="s">
        <v>642</v>
      </c>
      <c r="AL471" s="212" t="s">
        <v>643</v>
      </c>
      <c r="AM471" s="214" t="b">
        <v>0</v>
      </c>
      <c r="AN471" s="214" t="b">
        <v>0</v>
      </c>
      <c r="AO471" s="212" t="s">
        <v>644</v>
      </c>
      <c r="AP471" s="212" t="s">
        <v>531</v>
      </c>
      <c r="AQ471" s="214">
        <v>134.21816000000001</v>
      </c>
      <c r="AR471" s="214" t="b">
        <v>0</v>
      </c>
      <c r="AS471" s="212" t="s">
        <v>534</v>
      </c>
      <c r="AU471" s="222" t="s">
        <v>819</v>
      </c>
    </row>
    <row r="472" spans="1:47" x14ac:dyDescent="0.25">
      <c r="A472" s="245">
        <f t="shared" si="62"/>
        <v>472</v>
      </c>
      <c r="B472" s="246" t="str">
        <f t="shared" si="68"/>
        <v>Oil Field - Tank</v>
      </c>
      <c r="C472" s="246" t="str">
        <f ca="1">IF(B472="","",VLOOKUP(D472,'Species Data'!B:E,4,FALSE))</f>
        <v>isopentane</v>
      </c>
      <c r="D472" s="246">
        <f t="shared" ca="1" si="63"/>
        <v>508</v>
      </c>
      <c r="E472" s="246">
        <f t="shared" ca="1" si="64"/>
        <v>2.5186999999999999</v>
      </c>
      <c r="F472" s="246" t="str">
        <f t="shared" ca="1" si="65"/>
        <v>Isopentane (2-Methylbutane)</v>
      </c>
      <c r="G472" s="246">
        <f t="shared" ca="1" si="66"/>
        <v>72.148780000000002</v>
      </c>
      <c r="H472" s="204">
        <f ca="1">IF(G472="","",IF(VLOOKUP(Tank!F472,'Species Data'!D:F,3,FALSE)=0,"X",IF(G472&lt;44.1,2,1)))</f>
        <v>1</v>
      </c>
      <c r="I472" s="204">
        <f t="shared" ca="1" si="67"/>
        <v>3.397999287459827</v>
      </c>
      <c r="J472" s="247">
        <f ca="1">IF(I472="","",IF(COUNTIF($D$12:D472,D472)=1,IF(H472=1,I472*H472,IF(H472="X","X",0)),0))</f>
        <v>0</v>
      </c>
      <c r="K472" s="248">
        <f t="shared" ca="1" si="69"/>
        <v>0</v>
      </c>
      <c r="L472" s="212" t="s">
        <v>679</v>
      </c>
      <c r="M472" s="212" t="s">
        <v>448</v>
      </c>
      <c r="N472" s="212" t="s">
        <v>470</v>
      </c>
      <c r="O472" s="213">
        <v>41419</v>
      </c>
      <c r="P472" s="212" t="s">
        <v>531</v>
      </c>
      <c r="Q472" s="214">
        <v>100</v>
      </c>
      <c r="R472" s="212" t="s">
        <v>445</v>
      </c>
      <c r="S472" s="212" t="s">
        <v>532</v>
      </c>
      <c r="T472" s="212" t="s">
        <v>445</v>
      </c>
      <c r="U472" s="212" t="s">
        <v>446</v>
      </c>
      <c r="V472" s="214" t="b">
        <v>1</v>
      </c>
      <c r="W472" s="214">
        <v>1989</v>
      </c>
      <c r="X472" s="214">
        <v>5</v>
      </c>
      <c r="Y472" s="214">
        <v>2</v>
      </c>
      <c r="Z472" s="214">
        <v>4</v>
      </c>
      <c r="AA472" s="212" t="s">
        <v>447</v>
      </c>
      <c r="AB472" s="212" t="s">
        <v>531</v>
      </c>
      <c r="AC472" s="212" t="s">
        <v>533</v>
      </c>
      <c r="AD472" s="214">
        <v>3.7325270000000002</v>
      </c>
      <c r="AE472" s="214">
        <v>508</v>
      </c>
      <c r="AF472" s="214">
        <v>2.5186999999999999</v>
      </c>
      <c r="AG472" s="214">
        <v>-99</v>
      </c>
      <c r="AH472" s="212" t="s">
        <v>224</v>
      </c>
      <c r="AI472" s="212" t="s">
        <v>449</v>
      </c>
      <c r="AJ472" s="212" t="s">
        <v>342</v>
      </c>
      <c r="AK472" s="212" t="s">
        <v>531</v>
      </c>
      <c r="AL472" s="212" t="s">
        <v>395</v>
      </c>
      <c r="AM472" s="214" t="b">
        <v>1</v>
      </c>
      <c r="AN472" s="214" t="b">
        <v>0</v>
      </c>
      <c r="AO472" s="212" t="s">
        <v>343</v>
      </c>
      <c r="AP472" s="212" t="s">
        <v>344</v>
      </c>
      <c r="AQ472" s="214">
        <v>72.148780000000002</v>
      </c>
      <c r="AR472" s="214" t="b">
        <v>0</v>
      </c>
      <c r="AS472" s="212" t="s">
        <v>534</v>
      </c>
      <c r="AU472" s="222" t="s">
        <v>819</v>
      </c>
    </row>
    <row r="473" spans="1:47" x14ac:dyDescent="0.25">
      <c r="A473" s="245">
        <f t="shared" si="62"/>
        <v>473</v>
      </c>
      <c r="B473" s="246" t="str">
        <f t="shared" si="68"/>
        <v>Oil Field - Tank</v>
      </c>
      <c r="C473" s="246" t="str">
        <f ca="1">IF(B473="","",VLOOKUP(D473,'Species Data'!B:E,4,FALSE))</f>
        <v>isopben</v>
      </c>
      <c r="D473" s="246">
        <f t="shared" ca="1" si="63"/>
        <v>514</v>
      </c>
      <c r="E473" s="246">
        <f t="shared" ca="1" si="64"/>
        <v>5.0000000000000001E-4</v>
      </c>
      <c r="F473" s="246" t="str">
        <f t="shared" ca="1" si="65"/>
        <v>Isopropylbenzene (cumene)</v>
      </c>
      <c r="G473" s="246">
        <f t="shared" ca="1" si="66"/>
        <v>120.19158</v>
      </c>
      <c r="H473" s="204">
        <f ca="1">IF(G473="","",IF(VLOOKUP(Tank!F473,'Species Data'!D:F,3,FALSE)=0,"X",IF(G473&lt;44.1,2,1)))</f>
        <v>1</v>
      </c>
      <c r="I473" s="204">
        <f t="shared" ca="1" si="67"/>
        <v>4.0067051310359253E-3</v>
      </c>
      <c r="J473" s="247">
        <f ca="1">IF(I473="","",IF(COUNTIF($D$12:D473,D473)=1,IF(H473=1,I473*H473,IF(H473="X","X",0)),0))</f>
        <v>0</v>
      </c>
      <c r="K473" s="248">
        <f t="shared" ca="1" si="69"/>
        <v>0</v>
      </c>
      <c r="L473" s="212" t="s">
        <v>679</v>
      </c>
      <c r="M473" s="212" t="s">
        <v>448</v>
      </c>
      <c r="N473" s="212" t="s">
        <v>470</v>
      </c>
      <c r="O473" s="213">
        <v>41419</v>
      </c>
      <c r="P473" s="212" t="s">
        <v>531</v>
      </c>
      <c r="Q473" s="214">
        <v>100</v>
      </c>
      <c r="R473" s="212" t="s">
        <v>445</v>
      </c>
      <c r="S473" s="212" t="s">
        <v>532</v>
      </c>
      <c r="T473" s="212" t="s">
        <v>445</v>
      </c>
      <c r="U473" s="212" t="s">
        <v>446</v>
      </c>
      <c r="V473" s="214" t="b">
        <v>1</v>
      </c>
      <c r="W473" s="214">
        <v>1989</v>
      </c>
      <c r="X473" s="214">
        <v>5</v>
      </c>
      <c r="Y473" s="214">
        <v>2</v>
      </c>
      <c r="Z473" s="214">
        <v>4</v>
      </c>
      <c r="AA473" s="212" t="s">
        <v>447</v>
      </c>
      <c r="AB473" s="212" t="s">
        <v>531</v>
      </c>
      <c r="AC473" s="212" t="s">
        <v>533</v>
      </c>
      <c r="AD473" s="214">
        <v>3.7325270000000002</v>
      </c>
      <c r="AE473" s="214">
        <v>514</v>
      </c>
      <c r="AF473" s="214">
        <v>5.0000000000000001E-4</v>
      </c>
      <c r="AG473" s="214">
        <v>-99</v>
      </c>
      <c r="AH473" s="212" t="s">
        <v>224</v>
      </c>
      <c r="AI473" s="212" t="s">
        <v>449</v>
      </c>
      <c r="AJ473" s="212" t="s">
        <v>362</v>
      </c>
      <c r="AK473" s="212" t="s">
        <v>531</v>
      </c>
      <c r="AL473" s="212" t="s">
        <v>399</v>
      </c>
      <c r="AM473" s="214" t="b">
        <v>1</v>
      </c>
      <c r="AN473" s="214" t="b">
        <v>1</v>
      </c>
      <c r="AO473" s="212" t="s">
        <v>363</v>
      </c>
      <c r="AP473" s="212" t="s">
        <v>364</v>
      </c>
      <c r="AQ473" s="214">
        <v>120.19158</v>
      </c>
      <c r="AR473" s="214" t="b">
        <v>0</v>
      </c>
      <c r="AS473" s="212" t="s">
        <v>534</v>
      </c>
      <c r="AU473" s="222" t="s">
        <v>819</v>
      </c>
    </row>
    <row r="474" spans="1:47" x14ac:dyDescent="0.25">
      <c r="A474" s="245">
        <f t="shared" si="62"/>
        <v>474</v>
      </c>
      <c r="B474" s="246" t="str">
        <f t="shared" si="68"/>
        <v>Oil Field - Tank</v>
      </c>
      <c r="C474" s="246" t="str">
        <f ca="1">IF(B474="","",VLOOKUP(D474,'Species Data'!B:E,4,FALSE))</f>
        <v>M_xylene</v>
      </c>
      <c r="D474" s="246">
        <f t="shared" ca="1" si="63"/>
        <v>524</v>
      </c>
      <c r="E474" s="246">
        <f t="shared" ca="1" si="64"/>
        <v>2.93E-2</v>
      </c>
      <c r="F474" s="246" t="str">
        <f t="shared" ca="1" si="65"/>
        <v>M-xylene</v>
      </c>
      <c r="G474" s="246">
        <f t="shared" ca="1" si="66"/>
        <v>106.16500000000001</v>
      </c>
      <c r="H474" s="204">
        <f ca="1">IF(G474="","",IF(VLOOKUP(Tank!F474,'Species Data'!D:F,3,FALSE)=0,"X",IF(G474&lt;44.1,2,1)))</f>
        <v>1</v>
      </c>
      <c r="I474" s="204">
        <f t="shared" ca="1" si="67"/>
        <v>7.6727403249737883E-2</v>
      </c>
      <c r="J474" s="247">
        <f ca="1">IF(I474="","",IF(COUNTIF($D$12:D474,D474)=1,IF(H474=1,I474*H474,IF(H474="X","X",0)),0))</f>
        <v>0</v>
      </c>
      <c r="K474" s="248">
        <f t="shared" ca="1" si="69"/>
        <v>0</v>
      </c>
      <c r="L474" s="212" t="s">
        <v>679</v>
      </c>
      <c r="M474" s="212" t="s">
        <v>448</v>
      </c>
      <c r="N474" s="212" t="s">
        <v>470</v>
      </c>
      <c r="O474" s="213">
        <v>41419</v>
      </c>
      <c r="P474" s="212" t="s">
        <v>531</v>
      </c>
      <c r="Q474" s="214">
        <v>100</v>
      </c>
      <c r="R474" s="212" t="s">
        <v>445</v>
      </c>
      <c r="S474" s="212" t="s">
        <v>532</v>
      </c>
      <c r="T474" s="212" t="s">
        <v>445</v>
      </c>
      <c r="U474" s="212" t="s">
        <v>446</v>
      </c>
      <c r="V474" s="214" t="b">
        <v>1</v>
      </c>
      <c r="W474" s="214">
        <v>1989</v>
      </c>
      <c r="X474" s="214">
        <v>5</v>
      </c>
      <c r="Y474" s="214">
        <v>2</v>
      </c>
      <c r="Z474" s="214">
        <v>4</v>
      </c>
      <c r="AA474" s="212" t="s">
        <v>447</v>
      </c>
      <c r="AB474" s="212" t="s">
        <v>531</v>
      </c>
      <c r="AC474" s="212" t="s">
        <v>533</v>
      </c>
      <c r="AD474" s="214">
        <v>3.7325270000000002</v>
      </c>
      <c r="AE474" s="214">
        <v>524</v>
      </c>
      <c r="AF474" s="214">
        <v>2.93E-2</v>
      </c>
      <c r="AG474" s="214">
        <v>-99</v>
      </c>
      <c r="AH474" s="212" t="s">
        <v>224</v>
      </c>
      <c r="AI474" s="212" t="s">
        <v>449</v>
      </c>
      <c r="AJ474" s="212" t="s">
        <v>436</v>
      </c>
      <c r="AK474" s="212" t="s">
        <v>531</v>
      </c>
      <c r="AL474" s="212" t="s">
        <v>460</v>
      </c>
      <c r="AM474" s="214" t="b">
        <v>0</v>
      </c>
      <c r="AN474" s="214" t="b">
        <v>1</v>
      </c>
      <c r="AO474" s="212" t="s">
        <v>437</v>
      </c>
      <c r="AP474" s="212" t="s">
        <v>438</v>
      </c>
      <c r="AQ474" s="214">
        <v>106.16500000000001</v>
      </c>
      <c r="AR474" s="214" t="b">
        <v>0</v>
      </c>
      <c r="AS474" s="212" t="s">
        <v>534</v>
      </c>
      <c r="AU474" s="222" t="s">
        <v>819</v>
      </c>
    </row>
    <row r="475" spans="1:47" x14ac:dyDescent="0.25">
      <c r="A475" s="245">
        <f t="shared" si="62"/>
        <v>475</v>
      </c>
      <c r="B475" s="246" t="str">
        <f t="shared" si="68"/>
        <v>Oil Field - Tank</v>
      </c>
      <c r="C475" s="246" t="str">
        <f ca="1">IF(B475="","",VLOOKUP(D475,'Species Data'!B:E,4,FALSE))</f>
        <v>methane</v>
      </c>
      <c r="D475" s="246">
        <f t="shared" ca="1" si="63"/>
        <v>529</v>
      </c>
      <c r="E475" s="246">
        <f t="shared" ca="1" si="64"/>
        <v>69.725800000000007</v>
      </c>
      <c r="F475" s="246" t="str">
        <f t="shared" ca="1" si="65"/>
        <v>Methane</v>
      </c>
      <c r="G475" s="246">
        <f t="shared" ca="1" si="66"/>
        <v>16.042459999999998</v>
      </c>
      <c r="H475" s="204">
        <f ca="1">IF(G475="","",IF(VLOOKUP(Tank!F475,'Species Data'!D:F,3,FALSE)=0,"X",IF(G475&lt;44.1,2,1)))</f>
        <v>2</v>
      </c>
      <c r="I475" s="204">
        <f t="shared" ca="1" si="67"/>
        <v>44.518760713436194</v>
      </c>
      <c r="J475" s="247">
        <f ca="1">IF(I475="","",IF(COUNTIF($D$12:D475,D475)=1,IF(H475=1,I475*H475,IF(H475="X","X",0)),0))</f>
        <v>0</v>
      </c>
      <c r="K475" s="248">
        <f t="shared" ca="1" si="69"/>
        <v>0</v>
      </c>
      <c r="L475" s="212" t="s">
        <v>679</v>
      </c>
      <c r="M475" s="212" t="s">
        <v>448</v>
      </c>
      <c r="N475" s="212" t="s">
        <v>470</v>
      </c>
      <c r="O475" s="213">
        <v>41419</v>
      </c>
      <c r="P475" s="212" t="s">
        <v>531</v>
      </c>
      <c r="Q475" s="214">
        <v>100</v>
      </c>
      <c r="R475" s="212" t="s">
        <v>445</v>
      </c>
      <c r="S475" s="212" t="s">
        <v>532</v>
      </c>
      <c r="T475" s="212" t="s">
        <v>445</v>
      </c>
      <c r="U475" s="212" t="s">
        <v>446</v>
      </c>
      <c r="V475" s="214" t="b">
        <v>1</v>
      </c>
      <c r="W475" s="214">
        <v>1989</v>
      </c>
      <c r="X475" s="214">
        <v>5</v>
      </c>
      <c r="Y475" s="214">
        <v>2</v>
      </c>
      <c r="Z475" s="214">
        <v>4</v>
      </c>
      <c r="AA475" s="212" t="s">
        <v>447</v>
      </c>
      <c r="AB475" s="212" t="s">
        <v>531</v>
      </c>
      <c r="AC475" s="212" t="s">
        <v>533</v>
      </c>
      <c r="AD475" s="214">
        <v>3.7325270000000002</v>
      </c>
      <c r="AE475" s="214">
        <v>529</v>
      </c>
      <c r="AF475" s="214">
        <v>69.725800000000007</v>
      </c>
      <c r="AG475" s="214">
        <v>-99</v>
      </c>
      <c r="AH475" s="212" t="s">
        <v>224</v>
      </c>
      <c r="AI475" s="212" t="s">
        <v>449</v>
      </c>
      <c r="AJ475" s="212" t="s">
        <v>271</v>
      </c>
      <c r="AK475" s="212" t="s">
        <v>531</v>
      </c>
      <c r="AL475" s="212" t="s">
        <v>376</v>
      </c>
      <c r="AM475" s="214" t="b">
        <v>0</v>
      </c>
      <c r="AN475" s="214" t="b">
        <v>0</v>
      </c>
      <c r="AO475" s="212" t="s">
        <v>272</v>
      </c>
      <c r="AP475" s="212" t="s">
        <v>531</v>
      </c>
      <c r="AQ475" s="214">
        <v>16.042459999999998</v>
      </c>
      <c r="AR475" s="214" t="b">
        <v>1</v>
      </c>
      <c r="AS475" s="212" t="s">
        <v>534</v>
      </c>
      <c r="AU475" s="222" t="s">
        <v>819</v>
      </c>
    </row>
    <row r="476" spans="1:47" x14ac:dyDescent="0.25">
      <c r="A476" s="245">
        <f t="shared" si="62"/>
        <v>476</v>
      </c>
      <c r="B476" s="246" t="str">
        <f t="shared" si="68"/>
        <v>Oil Field - Tank</v>
      </c>
      <c r="C476" s="246" t="str">
        <f ca="1">IF(B476="","",VLOOKUP(D476,'Species Data'!B:E,4,FALSE))</f>
        <v>methcychex</v>
      </c>
      <c r="D476" s="246">
        <f t="shared" ca="1" si="63"/>
        <v>550</v>
      </c>
      <c r="E476" s="246">
        <f t="shared" ca="1" si="64"/>
        <v>0.13220000000000001</v>
      </c>
      <c r="F476" s="246" t="str">
        <f t="shared" ca="1" si="65"/>
        <v>Methylcyclohexane</v>
      </c>
      <c r="G476" s="246">
        <f t="shared" ca="1" si="66"/>
        <v>98.186059999999998</v>
      </c>
      <c r="H476" s="204">
        <f ca="1">IF(G476="","",IF(VLOOKUP(Tank!F476,'Species Data'!D:F,3,FALSE)=0,"X",IF(G476&lt;44.1,2,1)))</f>
        <v>1</v>
      </c>
      <c r="I476" s="204">
        <f t="shared" ca="1" si="67"/>
        <v>0.52063166473064815</v>
      </c>
      <c r="J476" s="247">
        <f ca="1">IF(I476="","",IF(COUNTIF($D$12:D476,D476)=1,IF(H476=1,I476*H476,IF(H476="X","X",0)),0))</f>
        <v>0</v>
      </c>
      <c r="K476" s="248">
        <f t="shared" ca="1" si="69"/>
        <v>0</v>
      </c>
      <c r="L476" s="212" t="s">
        <v>679</v>
      </c>
      <c r="M476" s="212" t="s">
        <v>448</v>
      </c>
      <c r="N476" s="212" t="s">
        <v>470</v>
      </c>
      <c r="O476" s="213">
        <v>41419</v>
      </c>
      <c r="P476" s="212" t="s">
        <v>531</v>
      </c>
      <c r="Q476" s="214">
        <v>100</v>
      </c>
      <c r="R476" s="212" t="s">
        <v>445</v>
      </c>
      <c r="S476" s="212" t="s">
        <v>532</v>
      </c>
      <c r="T476" s="212" t="s">
        <v>445</v>
      </c>
      <c r="U476" s="212" t="s">
        <v>446</v>
      </c>
      <c r="V476" s="214" t="b">
        <v>1</v>
      </c>
      <c r="W476" s="214">
        <v>1989</v>
      </c>
      <c r="X476" s="214">
        <v>5</v>
      </c>
      <c r="Y476" s="214">
        <v>2</v>
      </c>
      <c r="Z476" s="214">
        <v>4</v>
      </c>
      <c r="AA476" s="212" t="s">
        <v>447</v>
      </c>
      <c r="AB476" s="212" t="s">
        <v>531</v>
      </c>
      <c r="AC476" s="212" t="s">
        <v>533</v>
      </c>
      <c r="AD476" s="214">
        <v>3.7325270000000002</v>
      </c>
      <c r="AE476" s="214">
        <v>550</v>
      </c>
      <c r="AF476" s="214">
        <v>0.13220000000000001</v>
      </c>
      <c r="AG476" s="214">
        <v>-99</v>
      </c>
      <c r="AH476" s="212" t="s">
        <v>224</v>
      </c>
      <c r="AI476" s="212" t="s">
        <v>449</v>
      </c>
      <c r="AJ476" s="212" t="s">
        <v>348</v>
      </c>
      <c r="AK476" s="212" t="s">
        <v>531</v>
      </c>
      <c r="AL476" s="212" t="s">
        <v>396</v>
      </c>
      <c r="AM476" s="214" t="b">
        <v>1</v>
      </c>
      <c r="AN476" s="214" t="b">
        <v>0</v>
      </c>
      <c r="AO476" s="212" t="s">
        <v>349</v>
      </c>
      <c r="AP476" s="212" t="s">
        <v>350</v>
      </c>
      <c r="AQ476" s="214">
        <v>98.186059999999998</v>
      </c>
      <c r="AR476" s="214" t="b">
        <v>0</v>
      </c>
      <c r="AS476" s="212" t="s">
        <v>534</v>
      </c>
      <c r="AU476" s="222" t="s">
        <v>819</v>
      </c>
    </row>
    <row r="477" spans="1:47" x14ac:dyDescent="0.25">
      <c r="A477" s="245">
        <f t="shared" si="62"/>
        <v>477</v>
      </c>
      <c r="B477" s="246" t="str">
        <f t="shared" si="68"/>
        <v>Oil Field - Tank</v>
      </c>
      <c r="C477" s="246" t="str">
        <f ca="1">IF(B477="","",VLOOKUP(D477,'Species Data'!B:E,4,FALSE))</f>
        <v>N_but</v>
      </c>
      <c r="D477" s="246">
        <f t="shared" ca="1" si="63"/>
        <v>592</v>
      </c>
      <c r="E477" s="246">
        <f t="shared" ca="1" si="64"/>
        <v>3.9861</v>
      </c>
      <c r="F477" s="246" t="str">
        <f t="shared" ca="1" si="65"/>
        <v>N-butane</v>
      </c>
      <c r="G477" s="246">
        <f t="shared" ca="1" si="66"/>
        <v>58.122199999999992</v>
      </c>
      <c r="H477" s="204">
        <f ca="1">IF(G477="","",IF(VLOOKUP(Tank!F477,'Species Data'!D:F,3,FALSE)=0,"X",IF(G477&lt;44.1,2,1)))</f>
        <v>1</v>
      </c>
      <c r="I477" s="204">
        <f t="shared" ca="1" si="67"/>
        <v>8.8589583793337763</v>
      </c>
      <c r="J477" s="247">
        <f ca="1">IF(I477="","",IF(COUNTIF($D$12:D477,D477)=1,IF(H477=1,I477*H477,IF(H477="X","X",0)),0))</f>
        <v>0</v>
      </c>
      <c r="K477" s="248">
        <f t="shared" ca="1" si="69"/>
        <v>0</v>
      </c>
      <c r="L477" s="212" t="s">
        <v>679</v>
      </c>
      <c r="M477" s="212" t="s">
        <v>448</v>
      </c>
      <c r="N477" s="212" t="s">
        <v>470</v>
      </c>
      <c r="O477" s="213">
        <v>41419</v>
      </c>
      <c r="P477" s="212" t="s">
        <v>531</v>
      </c>
      <c r="Q477" s="214">
        <v>100</v>
      </c>
      <c r="R477" s="212" t="s">
        <v>445</v>
      </c>
      <c r="S477" s="212" t="s">
        <v>532</v>
      </c>
      <c r="T477" s="212" t="s">
        <v>445</v>
      </c>
      <c r="U477" s="212" t="s">
        <v>446</v>
      </c>
      <c r="V477" s="214" t="b">
        <v>1</v>
      </c>
      <c r="W477" s="214">
        <v>1989</v>
      </c>
      <c r="X477" s="214">
        <v>5</v>
      </c>
      <c r="Y477" s="214">
        <v>2</v>
      </c>
      <c r="Z477" s="214">
        <v>4</v>
      </c>
      <c r="AA477" s="212" t="s">
        <v>447</v>
      </c>
      <c r="AB477" s="212" t="s">
        <v>531</v>
      </c>
      <c r="AC477" s="212" t="s">
        <v>533</v>
      </c>
      <c r="AD477" s="214">
        <v>3.7325270000000002</v>
      </c>
      <c r="AE477" s="214">
        <v>592</v>
      </c>
      <c r="AF477" s="214">
        <v>3.9861</v>
      </c>
      <c r="AG477" s="214">
        <v>-99</v>
      </c>
      <c r="AH477" s="212" t="s">
        <v>224</v>
      </c>
      <c r="AI477" s="212" t="s">
        <v>449</v>
      </c>
      <c r="AJ477" s="212" t="s">
        <v>273</v>
      </c>
      <c r="AK477" s="212" t="s">
        <v>531</v>
      </c>
      <c r="AL477" s="212" t="s">
        <v>377</v>
      </c>
      <c r="AM477" s="214" t="b">
        <v>1</v>
      </c>
      <c r="AN477" s="214" t="b">
        <v>0</v>
      </c>
      <c r="AO477" s="212" t="s">
        <v>274</v>
      </c>
      <c r="AP477" s="212" t="s">
        <v>275</v>
      </c>
      <c r="AQ477" s="214">
        <v>58.122199999999992</v>
      </c>
      <c r="AR477" s="214" t="b">
        <v>0</v>
      </c>
      <c r="AS477" s="212" t="s">
        <v>534</v>
      </c>
      <c r="AU477" s="222" t="s">
        <v>819</v>
      </c>
    </row>
    <row r="478" spans="1:47" x14ac:dyDescent="0.25">
      <c r="A478" s="245">
        <f t="shared" si="62"/>
        <v>478</v>
      </c>
      <c r="B478" s="246" t="str">
        <f t="shared" si="68"/>
        <v>Oil Field - Tank</v>
      </c>
      <c r="C478" s="246" t="str">
        <f ca="1">IF(B478="","",VLOOKUP(D478,'Species Data'!B:E,4,FALSE))</f>
        <v>N_dec</v>
      </c>
      <c r="D478" s="246">
        <f t="shared" ca="1" si="63"/>
        <v>598</v>
      </c>
      <c r="E478" s="246">
        <f t="shared" ca="1" si="64"/>
        <v>4.0000000000000002E-4</v>
      </c>
      <c r="F478" s="246" t="str">
        <f t="shared" ca="1" si="65"/>
        <v>N-decane</v>
      </c>
      <c r="G478" s="246">
        <f t="shared" ca="1" si="66"/>
        <v>142.28167999999999</v>
      </c>
      <c r="H478" s="204">
        <f ca="1">IF(G478="","",IF(VLOOKUP(Tank!F478,'Species Data'!D:F,3,FALSE)=0,"X",IF(G478&lt;44.1,2,1)))</f>
        <v>1</v>
      </c>
      <c r="I478" s="204">
        <f t="shared" ca="1" si="67"/>
        <v>1.7526834924281948E-2</v>
      </c>
      <c r="J478" s="247">
        <f ca="1">IF(I478="","",IF(COUNTIF($D$12:D478,D478)=1,IF(H478=1,I478*H478,IF(H478="X","X",0)),0))</f>
        <v>0</v>
      </c>
      <c r="K478" s="248">
        <f t="shared" ca="1" si="69"/>
        <v>0</v>
      </c>
      <c r="L478" s="212" t="s">
        <v>679</v>
      </c>
      <c r="M478" s="212" t="s">
        <v>448</v>
      </c>
      <c r="N478" s="212" t="s">
        <v>470</v>
      </c>
      <c r="O478" s="213">
        <v>41419</v>
      </c>
      <c r="P478" s="212" t="s">
        <v>531</v>
      </c>
      <c r="Q478" s="214">
        <v>100</v>
      </c>
      <c r="R478" s="212" t="s">
        <v>445</v>
      </c>
      <c r="S478" s="212" t="s">
        <v>532</v>
      </c>
      <c r="T478" s="212" t="s">
        <v>445</v>
      </c>
      <c r="U478" s="212" t="s">
        <v>446</v>
      </c>
      <c r="V478" s="214" t="b">
        <v>1</v>
      </c>
      <c r="W478" s="214">
        <v>1989</v>
      </c>
      <c r="X478" s="214">
        <v>5</v>
      </c>
      <c r="Y478" s="214">
        <v>2</v>
      </c>
      <c r="Z478" s="214">
        <v>4</v>
      </c>
      <c r="AA478" s="212" t="s">
        <v>447</v>
      </c>
      <c r="AB478" s="212" t="s">
        <v>531</v>
      </c>
      <c r="AC478" s="212" t="s">
        <v>533</v>
      </c>
      <c r="AD478" s="214">
        <v>3.7325270000000002</v>
      </c>
      <c r="AE478" s="214">
        <v>598</v>
      </c>
      <c r="AF478" s="214">
        <v>4.0000000000000002E-4</v>
      </c>
      <c r="AG478" s="214">
        <v>-99</v>
      </c>
      <c r="AH478" s="212" t="s">
        <v>224</v>
      </c>
      <c r="AI478" s="212" t="s">
        <v>449</v>
      </c>
      <c r="AJ478" s="212" t="s">
        <v>414</v>
      </c>
      <c r="AK478" s="212" t="s">
        <v>531</v>
      </c>
      <c r="AL478" s="212" t="s">
        <v>452</v>
      </c>
      <c r="AM478" s="214" t="b">
        <v>1</v>
      </c>
      <c r="AN478" s="214" t="b">
        <v>0</v>
      </c>
      <c r="AO478" s="212" t="s">
        <v>415</v>
      </c>
      <c r="AP478" s="212" t="s">
        <v>416</v>
      </c>
      <c r="AQ478" s="214">
        <v>142.28167999999999</v>
      </c>
      <c r="AR478" s="214" t="b">
        <v>0</v>
      </c>
      <c r="AS478" s="212" t="s">
        <v>534</v>
      </c>
      <c r="AU478" s="222" t="s">
        <v>819</v>
      </c>
    </row>
    <row r="479" spans="1:47" x14ac:dyDescent="0.25">
      <c r="A479" s="245">
        <f t="shared" si="62"/>
        <v>479</v>
      </c>
      <c r="B479" s="246" t="str">
        <f t="shared" si="68"/>
        <v>Oil Field - Tank</v>
      </c>
      <c r="C479" s="246" t="str">
        <f ca="1">IF(B479="","",VLOOKUP(D479,'Species Data'!B:E,4,FALSE))</f>
        <v>N_hep</v>
      </c>
      <c r="D479" s="246">
        <f t="shared" ca="1" si="63"/>
        <v>600</v>
      </c>
      <c r="E479" s="246">
        <f t="shared" ca="1" si="64"/>
        <v>0.21820000000000001</v>
      </c>
      <c r="F479" s="246" t="str">
        <f t="shared" ca="1" si="65"/>
        <v>N-heptane</v>
      </c>
      <c r="G479" s="246">
        <f t="shared" ca="1" si="66"/>
        <v>100.20194000000001</v>
      </c>
      <c r="H479" s="204">
        <f ca="1">IF(G479="","",IF(VLOOKUP(Tank!F479,'Species Data'!D:F,3,FALSE)=0,"X",IF(G479&lt;44.1,2,1)))</f>
        <v>1</v>
      </c>
      <c r="I479" s="204">
        <f t="shared" ca="1" si="67"/>
        <v>0.55093195561344066</v>
      </c>
      <c r="J479" s="247">
        <f ca="1">IF(I479="","",IF(COUNTIF($D$12:D479,D479)=1,IF(H479=1,I479*H479,IF(H479="X","X",0)),0))</f>
        <v>0</v>
      </c>
      <c r="K479" s="248">
        <f t="shared" ca="1" si="69"/>
        <v>0</v>
      </c>
      <c r="L479" s="212" t="s">
        <v>679</v>
      </c>
      <c r="M479" s="212" t="s">
        <v>448</v>
      </c>
      <c r="N479" s="212" t="s">
        <v>470</v>
      </c>
      <c r="O479" s="213">
        <v>41419</v>
      </c>
      <c r="P479" s="212" t="s">
        <v>531</v>
      </c>
      <c r="Q479" s="214">
        <v>100</v>
      </c>
      <c r="R479" s="212" t="s">
        <v>445</v>
      </c>
      <c r="S479" s="212" t="s">
        <v>532</v>
      </c>
      <c r="T479" s="212" t="s">
        <v>445</v>
      </c>
      <c r="U479" s="212" t="s">
        <v>446</v>
      </c>
      <c r="V479" s="214" t="b">
        <v>1</v>
      </c>
      <c r="W479" s="214">
        <v>1989</v>
      </c>
      <c r="X479" s="214">
        <v>5</v>
      </c>
      <c r="Y479" s="214">
        <v>2</v>
      </c>
      <c r="Z479" s="214">
        <v>4</v>
      </c>
      <c r="AA479" s="212" t="s">
        <v>447</v>
      </c>
      <c r="AB479" s="212" t="s">
        <v>531</v>
      </c>
      <c r="AC479" s="212" t="s">
        <v>533</v>
      </c>
      <c r="AD479" s="214">
        <v>3.7325270000000002</v>
      </c>
      <c r="AE479" s="214">
        <v>600</v>
      </c>
      <c r="AF479" s="214">
        <v>0.21820000000000001</v>
      </c>
      <c r="AG479" s="214">
        <v>-99</v>
      </c>
      <c r="AH479" s="212" t="s">
        <v>224</v>
      </c>
      <c r="AI479" s="212" t="s">
        <v>449</v>
      </c>
      <c r="AJ479" s="212" t="s">
        <v>276</v>
      </c>
      <c r="AK479" s="212" t="s">
        <v>531</v>
      </c>
      <c r="AL479" s="212" t="s">
        <v>378</v>
      </c>
      <c r="AM479" s="214" t="b">
        <v>1</v>
      </c>
      <c r="AN479" s="214" t="b">
        <v>0</v>
      </c>
      <c r="AO479" s="212" t="s">
        <v>277</v>
      </c>
      <c r="AP479" s="212" t="s">
        <v>278</v>
      </c>
      <c r="AQ479" s="214">
        <v>100.20194000000001</v>
      </c>
      <c r="AR479" s="214" t="b">
        <v>0</v>
      </c>
      <c r="AS479" s="212" t="s">
        <v>534</v>
      </c>
      <c r="AU479" s="222" t="s">
        <v>819</v>
      </c>
    </row>
    <row r="480" spans="1:47" x14ac:dyDescent="0.25">
      <c r="A480" s="245">
        <f t="shared" si="62"/>
        <v>480</v>
      </c>
      <c r="B480" s="246" t="str">
        <f t="shared" si="68"/>
        <v>Oil Field - Tank</v>
      </c>
      <c r="C480" s="246" t="str">
        <f ca="1">IF(B480="","",VLOOKUP(D480,'Species Data'!B:E,4,FALSE))</f>
        <v>N_hex</v>
      </c>
      <c r="D480" s="246">
        <f t="shared" ca="1" si="63"/>
        <v>601</v>
      </c>
      <c r="E480" s="246">
        <f t="shared" ca="1" si="64"/>
        <v>0.64729999999999999</v>
      </c>
      <c r="F480" s="246" t="str">
        <f t="shared" ca="1" si="65"/>
        <v>N-hexane</v>
      </c>
      <c r="G480" s="246">
        <f t="shared" ca="1" si="66"/>
        <v>86.175359999999998</v>
      </c>
      <c r="H480" s="204">
        <f ca="1">IF(G480="","",IF(VLOOKUP(Tank!F480,'Species Data'!D:F,3,FALSE)=0,"X",IF(G480&lt;44.1,2,1)))</f>
        <v>1</v>
      </c>
      <c r="I480" s="204">
        <f t="shared" ca="1" si="67"/>
        <v>1.4244870084086145</v>
      </c>
      <c r="J480" s="247">
        <f ca="1">IF(I480="","",IF(COUNTIF($D$12:D480,D480)=1,IF(H480=1,I480*H480,IF(H480="X","X",0)),0))</f>
        <v>0</v>
      </c>
      <c r="K480" s="248">
        <f t="shared" ca="1" si="69"/>
        <v>0</v>
      </c>
      <c r="L480" s="212" t="s">
        <v>679</v>
      </c>
      <c r="M480" s="212" t="s">
        <v>448</v>
      </c>
      <c r="N480" s="212" t="s">
        <v>470</v>
      </c>
      <c r="O480" s="213">
        <v>41419</v>
      </c>
      <c r="P480" s="212" t="s">
        <v>531</v>
      </c>
      <c r="Q480" s="214">
        <v>100</v>
      </c>
      <c r="R480" s="212" t="s">
        <v>445</v>
      </c>
      <c r="S480" s="212" t="s">
        <v>532</v>
      </c>
      <c r="T480" s="212" t="s">
        <v>445</v>
      </c>
      <c r="U480" s="212" t="s">
        <v>446</v>
      </c>
      <c r="V480" s="214" t="b">
        <v>1</v>
      </c>
      <c r="W480" s="214">
        <v>1989</v>
      </c>
      <c r="X480" s="214">
        <v>5</v>
      </c>
      <c r="Y480" s="214">
        <v>2</v>
      </c>
      <c r="Z480" s="214">
        <v>4</v>
      </c>
      <c r="AA480" s="212" t="s">
        <v>447</v>
      </c>
      <c r="AB480" s="212" t="s">
        <v>531</v>
      </c>
      <c r="AC480" s="212" t="s">
        <v>533</v>
      </c>
      <c r="AD480" s="214">
        <v>3.7325270000000002</v>
      </c>
      <c r="AE480" s="214">
        <v>601</v>
      </c>
      <c r="AF480" s="214">
        <v>0.64729999999999999</v>
      </c>
      <c r="AG480" s="214">
        <v>-99</v>
      </c>
      <c r="AH480" s="212" t="s">
        <v>224</v>
      </c>
      <c r="AI480" s="212" t="s">
        <v>449</v>
      </c>
      <c r="AJ480" s="212" t="s">
        <v>279</v>
      </c>
      <c r="AK480" s="212" t="s">
        <v>531</v>
      </c>
      <c r="AL480" s="212" t="s">
        <v>379</v>
      </c>
      <c r="AM480" s="214" t="b">
        <v>1</v>
      </c>
      <c r="AN480" s="214" t="b">
        <v>1</v>
      </c>
      <c r="AO480" s="212" t="s">
        <v>280</v>
      </c>
      <c r="AP480" s="212" t="s">
        <v>281</v>
      </c>
      <c r="AQ480" s="214">
        <v>86.175359999999998</v>
      </c>
      <c r="AR480" s="214" t="b">
        <v>0</v>
      </c>
      <c r="AS480" s="212" t="s">
        <v>534</v>
      </c>
      <c r="AU480" s="222" t="s">
        <v>819</v>
      </c>
    </row>
    <row r="481" spans="1:47" x14ac:dyDescent="0.25">
      <c r="A481" s="245">
        <f t="shared" si="62"/>
        <v>481</v>
      </c>
      <c r="B481" s="246" t="str">
        <f t="shared" si="68"/>
        <v>Oil Field - Tank</v>
      </c>
      <c r="C481" s="246" t="str">
        <f ca="1">IF(B481="","",VLOOKUP(D481,'Species Data'!B:E,4,FALSE))</f>
        <v>N_octane</v>
      </c>
      <c r="D481" s="246">
        <f t="shared" ca="1" si="63"/>
        <v>604</v>
      </c>
      <c r="E481" s="246">
        <f t="shared" ca="1" si="64"/>
        <v>0.16450000000000001</v>
      </c>
      <c r="F481" s="246" t="str">
        <f t="shared" ca="1" si="65"/>
        <v>N-octane</v>
      </c>
      <c r="G481" s="246">
        <f t="shared" ca="1" si="66"/>
        <v>114.22852</v>
      </c>
      <c r="H481" s="204">
        <f ca="1">IF(G481="","",IF(VLOOKUP(Tank!F481,'Species Data'!D:F,3,FALSE)=0,"X",IF(G481&lt;44.1,2,1)))</f>
        <v>1</v>
      </c>
      <c r="I481" s="204">
        <f t="shared" ca="1" si="67"/>
        <v>0.21590207265989761</v>
      </c>
      <c r="J481" s="247">
        <f ca="1">IF(I481="","",IF(COUNTIF($D$12:D481,D481)=1,IF(H481=1,I481*H481,IF(H481="X","X",0)),0))</f>
        <v>0</v>
      </c>
      <c r="K481" s="248">
        <f t="shared" ca="1" si="69"/>
        <v>0</v>
      </c>
      <c r="L481" s="212" t="s">
        <v>679</v>
      </c>
      <c r="M481" s="212" t="s">
        <v>448</v>
      </c>
      <c r="N481" s="212" t="s">
        <v>470</v>
      </c>
      <c r="O481" s="213">
        <v>41419</v>
      </c>
      <c r="P481" s="212" t="s">
        <v>531</v>
      </c>
      <c r="Q481" s="214">
        <v>100</v>
      </c>
      <c r="R481" s="212" t="s">
        <v>445</v>
      </c>
      <c r="S481" s="212" t="s">
        <v>532</v>
      </c>
      <c r="T481" s="212" t="s">
        <v>445</v>
      </c>
      <c r="U481" s="212" t="s">
        <v>446</v>
      </c>
      <c r="V481" s="214" t="b">
        <v>1</v>
      </c>
      <c r="W481" s="214">
        <v>1989</v>
      </c>
      <c r="X481" s="214">
        <v>5</v>
      </c>
      <c r="Y481" s="214">
        <v>2</v>
      </c>
      <c r="Z481" s="214">
        <v>4</v>
      </c>
      <c r="AA481" s="212" t="s">
        <v>447</v>
      </c>
      <c r="AB481" s="212" t="s">
        <v>531</v>
      </c>
      <c r="AC481" s="212" t="s">
        <v>533</v>
      </c>
      <c r="AD481" s="214">
        <v>3.7325270000000002</v>
      </c>
      <c r="AE481" s="214">
        <v>604</v>
      </c>
      <c r="AF481" s="214">
        <v>0.16450000000000001</v>
      </c>
      <c r="AG481" s="214">
        <v>-99</v>
      </c>
      <c r="AH481" s="212" t="s">
        <v>224</v>
      </c>
      <c r="AI481" s="212" t="s">
        <v>449</v>
      </c>
      <c r="AJ481" s="212" t="s">
        <v>282</v>
      </c>
      <c r="AK481" s="212" t="s">
        <v>531</v>
      </c>
      <c r="AL481" s="212" t="s">
        <v>380</v>
      </c>
      <c r="AM481" s="214" t="b">
        <v>1</v>
      </c>
      <c r="AN481" s="214" t="b">
        <v>0</v>
      </c>
      <c r="AO481" s="212" t="s">
        <v>283</v>
      </c>
      <c r="AP481" s="212" t="s">
        <v>284</v>
      </c>
      <c r="AQ481" s="214">
        <v>114.22852</v>
      </c>
      <c r="AR481" s="214" t="b">
        <v>0</v>
      </c>
      <c r="AS481" s="212" t="s">
        <v>534</v>
      </c>
      <c r="AU481" s="222" t="s">
        <v>819</v>
      </c>
    </row>
    <row r="482" spans="1:47" x14ac:dyDescent="0.25">
      <c r="A482" s="245">
        <f t="shared" si="62"/>
        <v>482</v>
      </c>
      <c r="B482" s="246" t="str">
        <f t="shared" si="68"/>
        <v>Oil Field - Tank</v>
      </c>
      <c r="C482" s="246" t="str">
        <f ca="1">IF(B482="","",VLOOKUP(D482,'Species Data'!B:E,4,FALSE))</f>
        <v>N_pentane</v>
      </c>
      <c r="D482" s="246">
        <f t="shared" ca="1" si="63"/>
        <v>605</v>
      </c>
      <c r="E482" s="246">
        <f t="shared" ca="1" si="64"/>
        <v>1.9545999999999999</v>
      </c>
      <c r="F482" s="246" t="str">
        <f t="shared" ca="1" si="65"/>
        <v>N-pentane</v>
      </c>
      <c r="G482" s="246">
        <f t="shared" ca="1" si="66"/>
        <v>72.148780000000002</v>
      </c>
      <c r="H482" s="204">
        <f ca="1">IF(G482="","",IF(VLOOKUP(Tank!F482,'Species Data'!D:F,3,FALSE)=0,"X",IF(G482&lt;44.1,2,1)))</f>
        <v>1</v>
      </c>
      <c r="I482" s="204">
        <f t="shared" ca="1" si="67"/>
        <v>3.2465311666992012</v>
      </c>
      <c r="J482" s="247">
        <f ca="1">IF(I482="","",IF(COUNTIF($D$12:D482,D482)=1,IF(H482=1,I482*H482,IF(H482="X","X",0)),0))</f>
        <v>0</v>
      </c>
      <c r="K482" s="248">
        <f t="shared" ca="1" si="69"/>
        <v>0</v>
      </c>
      <c r="L482" s="212" t="s">
        <v>679</v>
      </c>
      <c r="M482" s="212" t="s">
        <v>448</v>
      </c>
      <c r="N482" s="212" t="s">
        <v>470</v>
      </c>
      <c r="O482" s="213">
        <v>41419</v>
      </c>
      <c r="P482" s="212" t="s">
        <v>531</v>
      </c>
      <c r="Q482" s="214">
        <v>100</v>
      </c>
      <c r="R482" s="212" t="s">
        <v>445</v>
      </c>
      <c r="S482" s="212" t="s">
        <v>532</v>
      </c>
      <c r="T482" s="212" t="s">
        <v>445</v>
      </c>
      <c r="U482" s="212" t="s">
        <v>446</v>
      </c>
      <c r="V482" s="214" t="b">
        <v>1</v>
      </c>
      <c r="W482" s="214">
        <v>1989</v>
      </c>
      <c r="X482" s="214">
        <v>5</v>
      </c>
      <c r="Y482" s="214">
        <v>2</v>
      </c>
      <c r="Z482" s="214">
        <v>4</v>
      </c>
      <c r="AA482" s="212" t="s">
        <v>447</v>
      </c>
      <c r="AB482" s="212" t="s">
        <v>531</v>
      </c>
      <c r="AC482" s="212" t="s">
        <v>533</v>
      </c>
      <c r="AD482" s="214">
        <v>3.7325270000000002</v>
      </c>
      <c r="AE482" s="214">
        <v>605</v>
      </c>
      <c r="AF482" s="214">
        <v>1.9545999999999999</v>
      </c>
      <c r="AG482" s="214">
        <v>-99</v>
      </c>
      <c r="AH482" s="212" t="s">
        <v>224</v>
      </c>
      <c r="AI482" s="212" t="s">
        <v>449</v>
      </c>
      <c r="AJ482" s="212" t="s">
        <v>285</v>
      </c>
      <c r="AK482" s="212" t="s">
        <v>531</v>
      </c>
      <c r="AL482" s="212" t="s">
        <v>381</v>
      </c>
      <c r="AM482" s="214" t="b">
        <v>1</v>
      </c>
      <c r="AN482" s="214" t="b">
        <v>0</v>
      </c>
      <c r="AO482" s="212" t="s">
        <v>286</v>
      </c>
      <c r="AP482" s="212" t="s">
        <v>287</v>
      </c>
      <c r="AQ482" s="214">
        <v>72.148780000000002</v>
      </c>
      <c r="AR482" s="214" t="b">
        <v>0</v>
      </c>
      <c r="AS482" s="212" t="s">
        <v>534</v>
      </c>
      <c r="AU482" s="222" t="s">
        <v>819</v>
      </c>
    </row>
    <row r="483" spans="1:47" x14ac:dyDescent="0.25">
      <c r="A483" s="245">
        <f t="shared" si="62"/>
        <v>483</v>
      </c>
      <c r="B483" s="246" t="str">
        <f t="shared" si="68"/>
        <v>Oil Field - Tank</v>
      </c>
      <c r="C483" s="246" t="str">
        <f ca="1">IF(B483="","",VLOOKUP(D483,'Species Data'!B:E,4,FALSE))</f>
        <v>N_proben</v>
      </c>
      <c r="D483" s="246">
        <f t="shared" ca="1" si="63"/>
        <v>608</v>
      </c>
      <c r="E483" s="246">
        <f t="shared" ca="1" si="64"/>
        <v>1.34E-2</v>
      </c>
      <c r="F483" s="246" t="str">
        <f t="shared" ca="1" si="65"/>
        <v>N-propylbenzene</v>
      </c>
      <c r="G483" s="246">
        <f t="shared" ca="1" si="66"/>
        <v>120.19158</v>
      </c>
      <c r="H483" s="204">
        <f ca="1">IF(G483="","",IF(VLOOKUP(Tank!F483,'Species Data'!D:F,3,FALSE)=0,"X",IF(G483&lt;44.1,2,1)))</f>
        <v>1</v>
      </c>
      <c r="I483" s="204">
        <f t="shared" ca="1" si="67"/>
        <v>2.0193527191194376E-2</v>
      </c>
      <c r="J483" s="247">
        <f ca="1">IF(I483="","",IF(COUNTIF($D$12:D483,D483)=1,IF(H483=1,I483*H483,IF(H483="X","X",0)),0))</f>
        <v>0</v>
      </c>
      <c r="K483" s="248">
        <f t="shared" ca="1" si="69"/>
        <v>0</v>
      </c>
      <c r="L483" s="212" t="s">
        <v>679</v>
      </c>
      <c r="M483" s="212" t="s">
        <v>448</v>
      </c>
      <c r="N483" s="212" t="s">
        <v>470</v>
      </c>
      <c r="O483" s="213">
        <v>41419</v>
      </c>
      <c r="P483" s="212" t="s">
        <v>531</v>
      </c>
      <c r="Q483" s="214">
        <v>100</v>
      </c>
      <c r="R483" s="212" t="s">
        <v>445</v>
      </c>
      <c r="S483" s="212" t="s">
        <v>532</v>
      </c>
      <c r="T483" s="212" t="s">
        <v>445</v>
      </c>
      <c r="U483" s="212" t="s">
        <v>446</v>
      </c>
      <c r="V483" s="214" t="b">
        <v>1</v>
      </c>
      <c r="W483" s="214">
        <v>1989</v>
      </c>
      <c r="X483" s="214">
        <v>5</v>
      </c>
      <c r="Y483" s="214">
        <v>2</v>
      </c>
      <c r="Z483" s="214">
        <v>4</v>
      </c>
      <c r="AA483" s="212" t="s">
        <v>447</v>
      </c>
      <c r="AB483" s="212" t="s">
        <v>531</v>
      </c>
      <c r="AC483" s="212" t="s">
        <v>533</v>
      </c>
      <c r="AD483" s="214">
        <v>3.7325270000000002</v>
      </c>
      <c r="AE483" s="214">
        <v>608</v>
      </c>
      <c r="AF483" s="214">
        <v>1.34E-2</v>
      </c>
      <c r="AG483" s="214">
        <v>-99</v>
      </c>
      <c r="AH483" s="212" t="s">
        <v>224</v>
      </c>
      <c r="AI483" s="212" t="s">
        <v>449</v>
      </c>
      <c r="AJ483" s="212" t="s">
        <v>420</v>
      </c>
      <c r="AK483" s="212" t="s">
        <v>531</v>
      </c>
      <c r="AL483" s="212" t="s">
        <v>454</v>
      </c>
      <c r="AM483" s="214" t="b">
        <v>1</v>
      </c>
      <c r="AN483" s="214" t="b">
        <v>0</v>
      </c>
      <c r="AO483" s="212" t="s">
        <v>421</v>
      </c>
      <c r="AP483" s="212" t="s">
        <v>422</v>
      </c>
      <c r="AQ483" s="214">
        <v>120.19158</v>
      </c>
      <c r="AR483" s="214" t="b">
        <v>0</v>
      </c>
      <c r="AS483" s="212" t="s">
        <v>534</v>
      </c>
      <c r="AU483" s="222" t="s">
        <v>819</v>
      </c>
    </row>
    <row r="484" spans="1:47" x14ac:dyDescent="0.25">
      <c r="A484" s="245">
        <f t="shared" si="62"/>
        <v>484</v>
      </c>
      <c r="B484" s="246" t="str">
        <f t="shared" si="68"/>
        <v>Oil Field - Tank</v>
      </c>
      <c r="C484" s="246" t="str">
        <f ca="1">IF(B484="","",VLOOKUP(D484,'Species Data'!B:E,4,FALSE))</f>
        <v>O_xylene</v>
      </c>
      <c r="D484" s="246">
        <f t="shared" ca="1" si="63"/>
        <v>620</v>
      </c>
      <c r="E484" s="246">
        <f t="shared" ca="1" si="64"/>
        <v>1.84E-2</v>
      </c>
      <c r="F484" s="246" t="str">
        <f t="shared" ca="1" si="65"/>
        <v>O-xylene</v>
      </c>
      <c r="G484" s="246">
        <f t="shared" ca="1" si="66"/>
        <v>106.16500000000001</v>
      </c>
      <c r="H484" s="204">
        <f ca="1">IF(G484="","",IF(VLOOKUP(Tank!F484,'Species Data'!D:F,3,FALSE)=0,"X",IF(G484&lt;44.1,2,1)))</f>
        <v>1</v>
      </c>
      <c r="I484" s="204">
        <f t="shared" ca="1" si="67"/>
        <v>5.0080480772615434E-2</v>
      </c>
      <c r="J484" s="247">
        <f ca="1">IF(I484="","",IF(COUNTIF($D$12:D484,D484)=1,IF(H484=1,I484*H484,IF(H484="X","X",0)),0))</f>
        <v>0</v>
      </c>
      <c r="K484" s="248">
        <f t="shared" ca="1" si="69"/>
        <v>0</v>
      </c>
      <c r="L484" s="212" t="s">
        <v>679</v>
      </c>
      <c r="M484" s="212" t="s">
        <v>448</v>
      </c>
      <c r="N484" s="212" t="s">
        <v>470</v>
      </c>
      <c r="O484" s="213">
        <v>41419</v>
      </c>
      <c r="P484" s="212" t="s">
        <v>531</v>
      </c>
      <c r="Q484" s="214">
        <v>100</v>
      </c>
      <c r="R484" s="212" t="s">
        <v>445</v>
      </c>
      <c r="S484" s="212" t="s">
        <v>532</v>
      </c>
      <c r="T484" s="212" t="s">
        <v>445</v>
      </c>
      <c r="U484" s="212" t="s">
        <v>446</v>
      </c>
      <c r="V484" s="214" t="b">
        <v>1</v>
      </c>
      <c r="W484" s="214">
        <v>1989</v>
      </c>
      <c r="X484" s="214">
        <v>5</v>
      </c>
      <c r="Y484" s="214">
        <v>2</v>
      </c>
      <c r="Z484" s="214">
        <v>4</v>
      </c>
      <c r="AA484" s="212" t="s">
        <v>447</v>
      </c>
      <c r="AB484" s="212" t="s">
        <v>531</v>
      </c>
      <c r="AC484" s="212" t="s">
        <v>533</v>
      </c>
      <c r="AD484" s="214">
        <v>3.7325270000000002</v>
      </c>
      <c r="AE484" s="214">
        <v>620</v>
      </c>
      <c r="AF484" s="214">
        <v>1.84E-2</v>
      </c>
      <c r="AG484" s="214">
        <v>-99</v>
      </c>
      <c r="AH484" s="212" t="s">
        <v>224</v>
      </c>
      <c r="AI484" s="212" t="s">
        <v>449</v>
      </c>
      <c r="AJ484" s="212" t="s">
        <v>354</v>
      </c>
      <c r="AK484" s="212" t="s">
        <v>531</v>
      </c>
      <c r="AL484" s="212" t="s">
        <v>398</v>
      </c>
      <c r="AM484" s="214" t="b">
        <v>1</v>
      </c>
      <c r="AN484" s="214" t="b">
        <v>1</v>
      </c>
      <c r="AO484" s="212" t="s">
        <v>355</v>
      </c>
      <c r="AP484" s="212" t="s">
        <v>356</v>
      </c>
      <c r="AQ484" s="214">
        <v>106.16500000000001</v>
      </c>
      <c r="AR484" s="214" t="b">
        <v>0</v>
      </c>
      <c r="AS484" s="212" t="s">
        <v>534</v>
      </c>
      <c r="AU484" s="222" t="s">
        <v>819</v>
      </c>
    </row>
    <row r="485" spans="1:47" x14ac:dyDescent="0.25">
      <c r="A485" s="245">
        <f t="shared" ref="A485:A548" si="70">IF(B485="","",A484+1)</f>
        <v>485</v>
      </c>
      <c r="B485" s="246" t="str">
        <f t="shared" si="68"/>
        <v>Oil Field - Tank</v>
      </c>
      <c r="C485" s="246" t="str">
        <f ca="1">IF(B485="","",VLOOKUP(D485,'Species Data'!B:E,4,FALSE))</f>
        <v>P_xylene</v>
      </c>
      <c r="D485" s="246">
        <f t="shared" ref="D485:D548" ca="1" si="71">IF(B485="","",INDIRECT("AE"&amp;$A485))</f>
        <v>648</v>
      </c>
      <c r="E485" s="246">
        <f t="shared" ref="E485:E548" ca="1" si="72">IF(D485="","",INDIRECT("AF"&amp;$A485))</f>
        <v>2.0000000000000001E-4</v>
      </c>
      <c r="F485" s="246" t="str">
        <f t="shared" ref="F485:F548" ca="1" si="73">IF(E485="","",INDIRECT("AO"&amp;$A485))</f>
        <v>P-xylene</v>
      </c>
      <c r="G485" s="246">
        <f t="shared" ref="G485:G548" ca="1" si="74">IF(F485="","",INDIRECT("AQ"&amp;$A485))</f>
        <v>106.16500000000001</v>
      </c>
      <c r="H485" s="204">
        <f ca="1">IF(G485="","",IF(VLOOKUP(Tank!F485,'Species Data'!D:F,3,FALSE)=0,"X",IF(G485&lt;44.1,2,1)))</f>
        <v>1</v>
      </c>
      <c r="I485" s="204">
        <f t="shared" ref="I485:I548" ca="1" si="75">IF(H485="","",SUMIF(D:D,D485,E:E)/($E$9/100))</f>
        <v>8.2000787207557213E-2</v>
      </c>
      <c r="J485" s="247">
        <f ca="1">IF(I485="","",IF(COUNTIF($D$12:D485,D485)=1,IF(H485=1,I485*H485,IF(H485="X","X",0)),0))</f>
        <v>0</v>
      </c>
      <c r="K485" s="248">
        <f t="shared" ca="1" si="69"/>
        <v>0</v>
      </c>
      <c r="L485" s="212" t="s">
        <v>679</v>
      </c>
      <c r="M485" s="212" t="s">
        <v>448</v>
      </c>
      <c r="N485" s="212" t="s">
        <v>470</v>
      </c>
      <c r="O485" s="213">
        <v>41419</v>
      </c>
      <c r="P485" s="212" t="s">
        <v>531</v>
      </c>
      <c r="Q485" s="214">
        <v>100</v>
      </c>
      <c r="R485" s="212" t="s">
        <v>445</v>
      </c>
      <c r="S485" s="212" t="s">
        <v>532</v>
      </c>
      <c r="T485" s="212" t="s">
        <v>445</v>
      </c>
      <c r="U485" s="212" t="s">
        <v>446</v>
      </c>
      <c r="V485" s="214" t="b">
        <v>1</v>
      </c>
      <c r="W485" s="214">
        <v>1989</v>
      </c>
      <c r="X485" s="214">
        <v>5</v>
      </c>
      <c r="Y485" s="214">
        <v>2</v>
      </c>
      <c r="Z485" s="214">
        <v>4</v>
      </c>
      <c r="AA485" s="212" t="s">
        <v>447</v>
      </c>
      <c r="AB485" s="212" t="s">
        <v>531</v>
      </c>
      <c r="AC485" s="212" t="s">
        <v>533</v>
      </c>
      <c r="AD485" s="214">
        <v>3.7325270000000002</v>
      </c>
      <c r="AE485" s="214">
        <v>648</v>
      </c>
      <c r="AF485" s="214">
        <v>2.0000000000000001E-4</v>
      </c>
      <c r="AG485" s="214">
        <v>-99</v>
      </c>
      <c r="AH485" s="212" t="s">
        <v>224</v>
      </c>
      <c r="AI485" s="212" t="s">
        <v>449</v>
      </c>
      <c r="AJ485" s="212" t="s">
        <v>433</v>
      </c>
      <c r="AK485" s="212" t="s">
        <v>531</v>
      </c>
      <c r="AL485" s="212" t="s">
        <v>459</v>
      </c>
      <c r="AM485" s="214" t="b">
        <v>0</v>
      </c>
      <c r="AN485" s="214" t="b">
        <v>1</v>
      </c>
      <c r="AO485" s="212" t="s">
        <v>434</v>
      </c>
      <c r="AP485" s="212" t="s">
        <v>435</v>
      </c>
      <c r="AQ485" s="214">
        <v>106.16500000000001</v>
      </c>
      <c r="AR485" s="214" t="b">
        <v>0</v>
      </c>
      <c r="AS485" s="212" t="s">
        <v>534</v>
      </c>
      <c r="AU485" s="222" t="s">
        <v>819</v>
      </c>
    </row>
    <row r="486" spans="1:47" x14ac:dyDescent="0.25">
      <c r="A486" s="245">
        <f t="shared" si="70"/>
        <v>486</v>
      </c>
      <c r="B486" s="246" t="str">
        <f t="shared" si="68"/>
        <v>Oil Field - Tank</v>
      </c>
      <c r="C486" s="246" t="str">
        <f ca="1">IF(B486="","",VLOOKUP(D486,'Species Data'!B:E,4,FALSE))</f>
        <v>propane</v>
      </c>
      <c r="D486" s="246">
        <f t="shared" ca="1" si="71"/>
        <v>671</v>
      </c>
      <c r="E486" s="246">
        <f t="shared" ca="1" si="72"/>
        <v>3.919</v>
      </c>
      <c r="F486" s="246" t="str">
        <f t="shared" ca="1" si="73"/>
        <v>Propane</v>
      </c>
      <c r="G486" s="246">
        <f t="shared" ca="1" si="74"/>
        <v>44.095619999999997</v>
      </c>
      <c r="H486" s="204">
        <f ca="1">IF(G486="","",IF(VLOOKUP(Tank!F486,'Species Data'!D:F,3,FALSE)=0,"X",IF(G486&lt;44.1,2,1)))</f>
        <v>2</v>
      </c>
      <c r="I486" s="204">
        <f t="shared" ca="1" si="75"/>
        <v>10.138737331878389</v>
      </c>
      <c r="J486" s="247">
        <f ca="1">IF(I486="","",IF(COUNTIF($D$12:D486,D486)=1,IF(H486=1,I486*H486,IF(H486="X","X",0)),0))</f>
        <v>0</v>
      </c>
      <c r="K486" s="248">
        <f t="shared" ca="1" si="69"/>
        <v>0</v>
      </c>
      <c r="L486" s="212" t="s">
        <v>679</v>
      </c>
      <c r="M486" s="212" t="s">
        <v>448</v>
      </c>
      <c r="N486" s="212" t="s">
        <v>470</v>
      </c>
      <c r="O486" s="213">
        <v>41419</v>
      </c>
      <c r="P486" s="212" t="s">
        <v>531</v>
      </c>
      <c r="Q486" s="214">
        <v>100</v>
      </c>
      <c r="R486" s="212" t="s">
        <v>445</v>
      </c>
      <c r="S486" s="212" t="s">
        <v>532</v>
      </c>
      <c r="T486" s="212" t="s">
        <v>445</v>
      </c>
      <c r="U486" s="212" t="s">
        <v>446</v>
      </c>
      <c r="V486" s="214" t="b">
        <v>1</v>
      </c>
      <c r="W486" s="214">
        <v>1989</v>
      </c>
      <c r="X486" s="214">
        <v>5</v>
      </c>
      <c r="Y486" s="214">
        <v>2</v>
      </c>
      <c r="Z486" s="214">
        <v>4</v>
      </c>
      <c r="AA486" s="212" t="s">
        <v>447</v>
      </c>
      <c r="AB486" s="212" t="s">
        <v>531</v>
      </c>
      <c r="AC486" s="212" t="s">
        <v>533</v>
      </c>
      <c r="AD486" s="214">
        <v>3.7325270000000002</v>
      </c>
      <c r="AE486" s="214">
        <v>671</v>
      </c>
      <c r="AF486" s="214">
        <v>3.919</v>
      </c>
      <c r="AG486" s="214">
        <v>-99</v>
      </c>
      <c r="AH486" s="212" t="s">
        <v>224</v>
      </c>
      <c r="AI486" s="212" t="s">
        <v>449</v>
      </c>
      <c r="AJ486" s="212" t="s">
        <v>288</v>
      </c>
      <c r="AK486" s="212" t="s">
        <v>531</v>
      </c>
      <c r="AL486" s="212" t="s">
        <v>382</v>
      </c>
      <c r="AM486" s="214" t="b">
        <v>1</v>
      </c>
      <c r="AN486" s="214" t="b">
        <v>0</v>
      </c>
      <c r="AO486" s="212" t="s">
        <v>289</v>
      </c>
      <c r="AP486" s="212" t="s">
        <v>290</v>
      </c>
      <c r="AQ486" s="214">
        <v>44.095619999999997</v>
      </c>
      <c r="AR486" s="214" t="b">
        <v>0</v>
      </c>
      <c r="AS486" s="212" t="s">
        <v>534</v>
      </c>
      <c r="AU486" s="222" t="s">
        <v>819</v>
      </c>
    </row>
    <row r="487" spans="1:47" x14ac:dyDescent="0.25">
      <c r="A487" s="245">
        <f t="shared" si="70"/>
        <v>487</v>
      </c>
      <c r="B487" s="246" t="str">
        <f t="shared" si="68"/>
        <v>Oil Field - Tank</v>
      </c>
      <c r="C487" s="246" t="str">
        <f ca="1">IF(B487="","",VLOOKUP(D487,'Species Data'!B:E,4,FALSE))</f>
        <v>toluene</v>
      </c>
      <c r="D487" s="246">
        <f t="shared" ca="1" si="71"/>
        <v>717</v>
      </c>
      <c r="E487" s="246">
        <f t="shared" ca="1" si="72"/>
        <v>6.1699999999999998E-2</v>
      </c>
      <c r="F487" s="246" t="str">
        <f t="shared" ca="1" si="73"/>
        <v>Toluene</v>
      </c>
      <c r="G487" s="246">
        <f t="shared" ca="1" si="74"/>
        <v>92.138419999999996</v>
      </c>
      <c r="H487" s="204">
        <f ca="1">IF(G487="","",IF(VLOOKUP(Tank!F487,'Species Data'!D:F,3,FALSE)=0,"X",IF(G487&lt;44.1,2,1)))</f>
        <v>1</v>
      </c>
      <c r="I487" s="204">
        <f t="shared" ca="1" si="75"/>
        <v>0.21631540996126902</v>
      </c>
      <c r="J487" s="247">
        <f ca="1">IF(I487="","",IF(COUNTIF($D$12:D487,D487)=1,IF(H487=1,I487*H487,IF(H487="X","X",0)),0))</f>
        <v>0</v>
      </c>
      <c r="K487" s="248">
        <f t="shared" ca="1" si="69"/>
        <v>0</v>
      </c>
      <c r="L487" s="212" t="s">
        <v>679</v>
      </c>
      <c r="M487" s="212" t="s">
        <v>448</v>
      </c>
      <c r="N487" s="212" t="s">
        <v>470</v>
      </c>
      <c r="O487" s="213">
        <v>41419</v>
      </c>
      <c r="P487" s="212" t="s">
        <v>531</v>
      </c>
      <c r="Q487" s="214">
        <v>100</v>
      </c>
      <c r="R487" s="212" t="s">
        <v>445</v>
      </c>
      <c r="S487" s="212" t="s">
        <v>532</v>
      </c>
      <c r="T487" s="212" t="s">
        <v>445</v>
      </c>
      <c r="U487" s="212" t="s">
        <v>446</v>
      </c>
      <c r="V487" s="214" t="b">
        <v>1</v>
      </c>
      <c r="W487" s="214">
        <v>1989</v>
      </c>
      <c r="X487" s="214">
        <v>5</v>
      </c>
      <c r="Y487" s="214">
        <v>2</v>
      </c>
      <c r="Z487" s="214">
        <v>4</v>
      </c>
      <c r="AA487" s="212" t="s">
        <v>447</v>
      </c>
      <c r="AB487" s="212" t="s">
        <v>531</v>
      </c>
      <c r="AC487" s="212" t="s">
        <v>533</v>
      </c>
      <c r="AD487" s="214">
        <v>3.7325270000000002</v>
      </c>
      <c r="AE487" s="214">
        <v>717</v>
      </c>
      <c r="AF487" s="214">
        <v>6.1699999999999998E-2</v>
      </c>
      <c r="AG487" s="214">
        <v>-99</v>
      </c>
      <c r="AH487" s="212" t="s">
        <v>224</v>
      </c>
      <c r="AI487" s="212" t="s">
        <v>449</v>
      </c>
      <c r="AJ487" s="212" t="s">
        <v>294</v>
      </c>
      <c r="AK487" s="212" t="s">
        <v>531</v>
      </c>
      <c r="AL487" s="212" t="s">
        <v>383</v>
      </c>
      <c r="AM487" s="214" t="b">
        <v>1</v>
      </c>
      <c r="AN487" s="214" t="b">
        <v>1</v>
      </c>
      <c r="AO487" s="212" t="s">
        <v>295</v>
      </c>
      <c r="AP487" s="212" t="s">
        <v>296</v>
      </c>
      <c r="AQ487" s="214">
        <v>92.138419999999996</v>
      </c>
      <c r="AR487" s="214" t="b">
        <v>0</v>
      </c>
      <c r="AS487" s="212" t="s">
        <v>534</v>
      </c>
      <c r="AU487" s="222" t="s">
        <v>819</v>
      </c>
    </row>
    <row r="488" spans="1:47" x14ac:dyDescent="0.25">
      <c r="A488" s="245">
        <f t="shared" si="70"/>
        <v>488</v>
      </c>
      <c r="B488" s="246" t="str">
        <f t="shared" si="68"/>
        <v>Oil Field - Tank</v>
      </c>
      <c r="C488" s="246" t="str">
        <f ca="1">IF(B488="","",VLOOKUP(D488,'Species Data'!B:E,4,FALSE))</f>
        <v>betben</v>
      </c>
      <c r="D488" s="246">
        <f t="shared" ca="1" si="71"/>
        <v>981</v>
      </c>
      <c r="E488" s="246">
        <f t="shared" ca="1" si="72"/>
        <v>1.1999999999999999E-3</v>
      </c>
      <c r="F488" s="246" t="str">
        <f t="shared" ca="1" si="73"/>
        <v>Butylbenzene</v>
      </c>
      <c r="G488" s="246">
        <f t="shared" ca="1" si="74"/>
        <v>134.21816000000001</v>
      </c>
      <c r="H488" s="204">
        <f ca="1">IF(G488="","",IF(VLOOKUP(Tank!F488,'Species Data'!D:F,3,FALSE)=0,"X",IF(G488&lt;44.1,2,1)))</f>
        <v>1</v>
      </c>
      <c r="I488" s="204">
        <f t="shared" ca="1" si="75"/>
        <v>4.2533741657253248E-3</v>
      </c>
      <c r="J488" s="247">
        <f ca="1">IF(I488="","",IF(COUNTIF($D$12:D488,D488)=1,IF(H488=1,I488*H488,IF(H488="X","X",0)),0))</f>
        <v>0</v>
      </c>
      <c r="K488" s="248">
        <f t="shared" ca="1" si="69"/>
        <v>0</v>
      </c>
      <c r="L488" s="212" t="s">
        <v>679</v>
      </c>
      <c r="M488" s="212" t="s">
        <v>448</v>
      </c>
      <c r="N488" s="212" t="s">
        <v>470</v>
      </c>
      <c r="O488" s="213">
        <v>41419</v>
      </c>
      <c r="P488" s="212" t="s">
        <v>531</v>
      </c>
      <c r="Q488" s="214">
        <v>100</v>
      </c>
      <c r="R488" s="212" t="s">
        <v>445</v>
      </c>
      <c r="S488" s="212" t="s">
        <v>532</v>
      </c>
      <c r="T488" s="212" t="s">
        <v>445</v>
      </c>
      <c r="U488" s="212" t="s">
        <v>446</v>
      </c>
      <c r="V488" s="214" t="b">
        <v>1</v>
      </c>
      <c r="W488" s="214">
        <v>1989</v>
      </c>
      <c r="X488" s="214">
        <v>5</v>
      </c>
      <c r="Y488" s="214">
        <v>2</v>
      </c>
      <c r="Z488" s="214">
        <v>4</v>
      </c>
      <c r="AA488" s="212" t="s">
        <v>447</v>
      </c>
      <c r="AB488" s="212" t="s">
        <v>531</v>
      </c>
      <c r="AC488" s="212" t="s">
        <v>533</v>
      </c>
      <c r="AD488" s="214">
        <v>3.7325270000000002</v>
      </c>
      <c r="AE488" s="214">
        <v>981</v>
      </c>
      <c r="AF488" s="214">
        <v>1.1999999999999999E-3</v>
      </c>
      <c r="AG488" s="214">
        <v>-99</v>
      </c>
      <c r="AH488" s="212" t="s">
        <v>224</v>
      </c>
      <c r="AI488" s="212" t="s">
        <v>449</v>
      </c>
      <c r="AJ488" s="212" t="s">
        <v>645</v>
      </c>
      <c r="AK488" s="212" t="s">
        <v>531</v>
      </c>
      <c r="AL488" s="212" t="s">
        <v>531</v>
      </c>
      <c r="AM488" s="214" t="b">
        <v>0</v>
      </c>
      <c r="AN488" s="214" t="b">
        <v>0</v>
      </c>
      <c r="AO488" s="212" t="s">
        <v>646</v>
      </c>
      <c r="AP488" s="212" t="s">
        <v>647</v>
      </c>
      <c r="AQ488" s="214">
        <v>134.21816000000001</v>
      </c>
      <c r="AR488" s="214" t="b">
        <v>0</v>
      </c>
      <c r="AS488" s="212" t="s">
        <v>534</v>
      </c>
      <c r="AU488" s="222" t="s">
        <v>819</v>
      </c>
    </row>
    <row r="489" spans="1:47" x14ac:dyDescent="0.25">
      <c r="A489" s="245">
        <f t="shared" si="70"/>
        <v>489</v>
      </c>
      <c r="B489" s="246" t="str">
        <f t="shared" si="68"/>
        <v>Oil Field - Tank</v>
      </c>
      <c r="C489" s="246" t="str">
        <f ca="1">IF(B489="","",VLOOKUP(D489,'Species Data'!B:E,4,FALSE))</f>
        <v>c10_comp</v>
      </c>
      <c r="D489" s="246">
        <f t="shared" ca="1" si="71"/>
        <v>1924</v>
      </c>
      <c r="E489" s="246">
        <f t="shared" ca="1" si="72"/>
        <v>4.3999999999999997E-2</v>
      </c>
      <c r="F489" s="246" t="str">
        <f t="shared" ca="1" si="73"/>
        <v>C-10 Compounds</v>
      </c>
      <c r="G489" s="246">
        <f t="shared" ca="1" si="74"/>
        <v>142.28167999999999</v>
      </c>
      <c r="H489" s="204" t="str">
        <f ca="1">IF(G489="","",IF(VLOOKUP(Tank!F489,'Species Data'!D:F,3,FALSE)=0,"X",IF(G489&lt;44.1,2,1)))</f>
        <v>X</v>
      </c>
      <c r="I489" s="204">
        <f t="shared" ca="1" si="75"/>
        <v>0.15904819352932459</v>
      </c>
      <c r="J489" s="247">
        <f ca="1">IF(I489="","",IF(COUNTIF($D$12:D489,D489)=1,IF(H489=1,I489*H489,IF(H489="X","X",0)),0))</f>
        <v>0</v>
      </c>
      <c r="K489" s="248">
        <f t="shared" ca="1" si="69"/>
        <v>0</v>
      </c>
      <c r="L489" s="212" t="s">
        <v>679</v>
      </c>
      <c r="M489" s="212" t="s">
        <v>448</v>
      </c>
      <c r="N489" s="212" t="s">
        <v>470</v>
      </c>
      <c r="O489" s="213">
        <v>41419</v>
      </c>
      <c r="P489" s="212" t="s">
        <v>531</v>
      </c>
      <c r="Q489" s="214">
        <v>100</v>
      </c>
      <c r="R489" s="212" t="s">
        <v>445</v>
      </c>
      <c r="S489" s="212" t="s">
        <v>532</v>
      </c>
      <c r="T489" s="212" t="s">
        <v>445</v>
      </c>
      <c r="U489" s="212" t="s">
        <v>446</v>
      </c>
      <c r="V489" s="214" t="b">
        <v>1</v>
      </c>
      <c r="W489" s="214">
        <v>1989</v>
      </c>
      <c r="X489" s="214">
        <v>5</v>
      </c>
      <c r="Y489" s="214">
        <v>2</v>
      </c>
      <c r="Z489" s="214">
        <v>4</v>
      </c>
      <c r="AA489" s="212" t="s">
        <v>447</v>
      </c>
      <c r="AB489" s="212" t="s">
        <v>531</v>
      </c>
      <c r="AC489" s="212" t="s">
        <v>533</v>
      </c>
      <c r="AD489" s="214">
        <v>3.7325270000000002</v>
      </c>
      <c r="AE489" s="214">
        <v>1924</v>
      </c>
      <c r="AF489" s="214">
        <v>4.3999999999999997E-2</v>
      </c>
      <c r="AG489" s="214">
        <v>-99</v>
      </c>
      <c r="AH489" s="212" t="s">
        <v>224</v>
      </c>
      <c r="AI489" s="212" t="s">
        <v>449</v>
      </c>
      <c r="AJ489" s="212" t="s">
        <v>224</v>
      </c>
      <c r="AK489" s="212" t="s">
        <v>531</v>
      </c>
      <c r="AL489" s="212" t="s">
        <v>466</v>
      </c>
      <c r="AM489" s="214" t="b">
        <v>0</v>
      </c>
      <c r="AN489" s="214" t="b">
        <v>0</v>
      </c>
      <c r="AO489" s="212" t="s">
        <v>535</v>
      </c>
      <c r="AP489" s="212" t="s">
        <v>536</v>
      </c>
      <c r="AQ489" s="214">
        <v>142.28167999999999</v>
      </c>
      <c r="AR489" s="214" t="b">
        <v>0</v>
      </c>
      <c r="AS489" s="212" t="s">
        <v>534</v>
      </c>
      <c r="AU489" s="222" t="s">
        <v>819</v>
      </c>
    </row>
    <row r="490" spans="1:47" x14ac:dyDescent="0.25">
      <c r="A490" s="245">
        <f t="shared" si="70"/>
        <v>490</v>
      </c>
      <c r="B490" s="246" t="str">
        <f t="shared" si="68"/>
        <v>Oil Field - Tank</v>
      </c>
      <c r="C490" s="246" t="str">
        <f ca="1">IF(B490="","",VLOOKUP(D490,'Species Data'!B:E,4,FALSE))</f>
        <v>c11_comp</v>
      </c>
      <c r="D490" s="246">
        <f t="shared" ca="1" si="71"/>
        <v>1929</v>
      </c>
      <c r="E490" s="246">
        <f t="shared" ca="1" si="72"/>
        <v>1.8100000000000002E-2</v>
      </c>
      <c r="F490" s="246" t="str">
        <f t="shared" ca="1" si="73"/>
        <v>C-11 Compounds</v>
      </c>
      <c r="G490" s="246">
        <f t="shared" ca="1" si="74"/>
        <v>156.30826000000002</v>
      </c>
      <c r="H490" s="204" t="str">
        <f ca="1">IF(G490="","",IF(VLOOKUP(Tank!F490,'Species Data'!D:F,3,FALSE)=0,"X",IF(G490&lt;44.1,2,1)))</f>
        <v>X</v>
      </c>
      <c r="I490" s="204">
        <f t="shared" ca="1" si="75"/>
        <v>2.464690327693813E-2</v>
      </c>
      <c r="J490" s="247">
        <f ca="1">IF(I490="","",IF(COUNTIF($D$12:D490,D490)=1,IF(H490=1,I490*H490,IF(H490="X","X",0)),0))</f>
        <v>0</v>
      </c>
      <c r="K490" s="248">
        <f t="shared" ca="1" si="69"/>
        <v>0</v>
      </c>
      <c r="L490" s="212" t="s">
        <v>679</v>
      </c>
      <c r="M490" s="212" t="s">
        <v>448</v>
      </c>
      <c r="N490" s="212" t="s">
        <v>470</v>
      </c>
      <c r="O490" s="213">
        <v>41419</v>
      </c>
      <c r="P490" s="212" t="s">
        <v>531</v>
      </c>
      <c r="Q490" s="214">
        <v>100</v>
      </c>
      <c r="R490" s="212" t="s">
        <v>445</v>
      </c>
      <c r="S490" s="212" t="s">
        <v>532</v>
      </c>
      <c r="T490" s="212" t="s">
        <v>445</v>
      </c>
      <c r="U490" s="212" t="s">
        <v>446</v>
      </c>
      <c r="V490" s="214" t="b">
        <v>1</v>
      </c>
      <c r="W490" s="214">
        <v>1989</v>
      </c>
      <c r="X490" s="214">
        <v>5</v>
      </c>
      <c r="Y490" s="214">
        <v>2</v>
      </c>
      <c r="Z490" s="214">
        <v>4</v>
      </c>
      <c r="AA490" s="212" t="s">
        <v>447</v>
      </c>
      <c r="AB490" s="212" t="s">
        <v>531</v>
      </c>
      <c r="AC490" s="212" t="s">
        <v>533</v>
      </c>
      <c r="AD490" s="214">
        <v>3.7325270000000002</v>
      </c>
      <c r="AE490" s="214">
        <v>1929</v>
      </c>
      <c r="AF490" s="214">
        <v>1.8100000000000002E-2</v>
      </c>
      <c r="AG490" s="214">
        <v>-99</v>
      </c>
      <c r="AH490" s="212" t="s">
        <v>224</v>
      </c>
      <c r="AI490" s="212" t="s">
        <v>449</v>
      </c>
      <c r="AJ490" s="212" t="s">
        <v>224</v>
      </c>
      <c r="AK490" s="212" t="s">
        <v>531</v>
      </c>
      <c r="AL490" s="212" t="s">
        <v>467</v>
      </c>
      <c r="AM490" s="214" t="b">
        <v>0</v>
      </c>
      <c r="AN490" s="214" t="b">
        <v>0</v>
      </c>
      <c r="AO490" s="212" t="s">
        <v>468</v>
      </c>
      <c r="AP490" s="212" t="s">
        <v>469</v>
      </c>
      <c r="AQ490" s="214">
        <v>156.30826000000002</v>
      </c>
      <c r="AR490" s="214" t="b">
        <v>0</v>
      </c>
      <c r="AS490" s="212" t="s">
        <v>534</v>
      </c>
      <c r="AU490" s="222" t="s">
        <v>819</v>
      </c>
    </row>
    <row r="491" spans="1:47" x14ac:dyDescent="0.25">
      <c r="A491" s="245">
        <f t="shared" si="70"/>
        <v>491</v>
      </c>
      <c r="B491" s="246" t="str">
        <f t="shared" si="68"/>
        <v>Oil Field - Tank</v>
      </c>
      <c r="C491" s="246" t="str">
        <f ca="1">IF(B491="","",VLOOKUP(D491,'Species Data'!B:E,4,FALSE))</f>
        <v>c5_comp</v>
      </c>
      <c r="D491" s="246">
        <f t="shared" ca="1" si="71"/>
        <v>1986</v>
      </c>
      <c r="E491" s="246">
        <f t="shared" ca="1" si="72"/>
        <v>0.31130000000000002</v>
      </c>
      <c r="F491" s="246" t="str">
        <f t="shared" ca="1" si="73"/>
        <v>C-5 Compounds</v>
      </c>
      <c r="G491" s="246">
        <f t="shared" ca="1" si="74"/>
        <v>72.148780000000002</v>
      </c>
      <c r="H491" s="204" t="str">
        <f ca="1">IF(G491="","",IF(VLOOKUP(Tank!F491,'Species Data'!D:F,3,FALSE)=0,"X",IF(G491&lt;44.1,2,1)))</f>
        <v>X</v>
      </c>
      <c r="I491" s="204">
        <f t="shared" ca="1" si="75"/>
        <v>2.1162936497523712</v>
      </c>
      <c r="J491" s="247">
        <f ca="1">IF(I491="","",IF(COUNTIF($D$12:D491,D491)=1,IF(H491=1,I491*H491,IF(H491="X","X",0)),0))</f>
        <v>0</v>
      </c>
      <c r="K491" s="248">
        <f t="shared" ca="1" si="69"/>
        <v>0</v>
      </c>
      <c r="L491" s="212" t="s">
        <v>679</v>
      </c>
      <c r="M491" s="212" t="s">
        <v>448</v>
      </c>
      <c r="N491" s="212" t="s">
        <v>470</v>
      </c>
      <c r="O491" s="213">
        <v>41419</v>
      </c>
      <c r="P491" s="212" t="s">
        <v>531</v>
      </c>
      <c r="Q491" s="214">
        <v>100</v>
      </c>
      <c r="R491" s="212" t="s">
        <v>445</v>
      </c>
      <c r="S491" s="212" t="s">
        <v>532</v>
      </c>
      <c r="T491" s="212" t="s">
        <v>445</v>
      </c>
      <c r="U491" s="212" t="s">
        <v>446</v>
      </c>
      <c r="V491" s="214" t="b">
        <v>1</v>
      </c>
      <c r="W491" s="214">
        <v>1989</v>
      </c>
      <c r="X491" s="214">
        <v>5</v>
      </c>
      <c r="Y491" s="214">
        <v>2</v>
      </c>
      <c r="Z491" s="214">
        <v>4</v>
      </c>
      <c r="AA491" s="212" t="s">
        <v>447</v>
      </c>
      <c r="AB491" s="212" t="s">
        <v>531</v>
      </c>
      <c r="AC491" s="212" t="s">
        <v>533</v>
      </c>
      <c r="AD491" s="214">
        <v>3.7325270000000002</v>
      </c>
      <c r="AE491" s="214">
        <v>1986</v>
      </c>
      <c r="AF491" s="214">
        <v>0.31130000000000002</v>
      </c>
      <c r="AG491" s="214">
        <v>-99</v>
      </c>
      <c r="AH491" s="212" t="s">
        <v>224</v>
      </c>
      <c r="AI491" s="212" t="s">
        <v>449</v>
      </c>
      <c r="AJ491" s="212" t="s">
        <v>224</v>
      </c>
      <c r="AK491" s="212" t="s">
        <v>531</v>
      </c>
      <c r="AL491" s="212" t="s">
        <v>537</v>
      </c>
      <c r="AM491" s="214" t="b">
        <v>0</v>
      </c>
      <c r="AN491" s="214" t="b">
        <v>0</v>
      </c>
      <c r="AO491" s="212" t="s">
        <v>538</v>
      </c>
      <c r="AP491" s="212" t="s">
        <v>539</v>
      </c>
      <c r="AQ491" s="214">
        <v>72.148780000000002</v>
      </c>
      <c r="AR491" s="214" t="b">
        <v>0</v>
      </c>
      <c r="AS491" s="212" t="s">
        <v>534</v>
      </c>
      <c r="AU491" s="222" t="s">
        <v>819</v>
      </c>
    </row>
    <row r="492" spans="1:47" x14ac:dyDescent="0.25">
      <c r="A492" s="245">
        <f t="shared" si="70"/>
        <v>492</v>
      </c>
      <c r="B492" s="246" t="str">
        <f t="shared" si="68"/>
        <v>Oil Field - Tank</v>
      </c>
      <c r="C492" s="246" t="str">
        <f ca="1">IF(B492="","",VLOOKUP(D492,'Species Data'!B:E,4,FALSE))</f>
        <v>c6_comp</v>
      </c>
      <c r="D492" s="246">
        <f t="shared" ca="1" si="71"/>
        <v>1999</v>
      </c>
      <c r="E492" s="246">
        <f t="shared" ca="1" si="72"/>
        <v>3.7219000000000002</v>
      </c>
      <c r="F492" s="246" t="str">
        <f t="shared" ca="1" si="73"/>
        <v>C-6 Compounds</v>
      </c>
      <c r="G492" s="246">
        <f t="shared" ca="1" si="74"/>
        <v>86.175359999999998</v>
      </c>
      <c r="H492" s="204" t="str">
        <f ca="1">IF(G492="","",IF(VLOOKUP(Tank!F492,'Species Data'!D:F,3,FALSE)=0,"X",IF(G492&lt;44.1,2,1)))</f>
        <v>X</v>
      </c>
      <c r="I492" s="204">
        <f t="shared" ca="1" si="75"/>
        <v>3.9709781213899662</v>
      </c>
      <c r="J492" s="247">
        <f ca="1">IF(I492="","",IF(COUNTIF($D$12:D492,D492)=1,IF(H492=1,I492*H492,IF(H492="X","X",0)),0))</f>
        <v>0</v>
      </c>
      <c r="K492" s="248">
        <f t="shared" ca="1" si="69"/>
        <v>0</v>
      </c>
      <c r="L492" s="212" t="s">
        <v>679</v>
      </c>
      <c r="M492" s="212" t="s">
        <v>448</v>
      </c>
      <c r="N492" s="212" t="s">
        <v>470</v>
      </c>
      <c r="O492" s="213">
        <v>41419</v>
      </c>
      <c r="P492" s="212" t="s">
        <v>531</v>
      </c>
      <c r="Q492" s="214">
        <v>100</v>
      </c>
      <c r="R492" s="212" t="s">
        <v>445</v>
      </c>
      <c r="S492" s="212" t="s">
        <v>532</v>
      </c>
      <c r="T492" s="212" t="s">
        <v>445</v>
      </c>
      <c r="U492" s="212" t="s">
        <v>446</v>
      </c>
      <c r="V492" s="214" t="b">
        <v>1</v>
      </c>
      <c r="W492" s="214">
        <v>1989</v>
      </c>
      <c r="X492" s="214">
        <v>5</v>
      </c>
      <c r="Y492" s="214">
        <v>2</v>
      </c>
      <c r="Z492" s="214">
        <v>4</v>
      </c>
      <c r="AA492" s="212" t="s">
        <v>447</v>
      </c>
      <c r="AB492" s="212" t="s">
        <v>531</v>
      </c>
      <c r="AC492" s="212" t="s">
        <v>533</v>
      </c>
      <c r="AD492" s="214">
        <v>3.7325270000000002</v>
      </c>
      <c r="AE492" s="214">
        <v>1999</v>
      </c>
      <c r="AF492" s="214">
        <v>3.7219000000000002</v>
      </c>
      <c r="AG492" s="214">
        <v>-99</v>
      </c>
      <c r="AH492" s="212" t="s">
        <v>224</v>
      </c>
      <c r="AI492" s="212" t="s">
        <v>449</v>
      </c>
      <c r="AJ492" s="212" t="s">
        <v>224</v>
      </c>
      <c r="AK492" s="212" t="s">
        <v>531</v>
      </c>
      <c r="AL492" s="212" t="s">
        <v>540</v>
      </c>
      <c r="AM492" s="214" t="b">
        <v>0</v>
      </c>
      <c r="AN492" s="214" t="b">
        <v>0</v>
      </c>
      <c r="AO492" s="212" t="s">
        <v>541</v>
      </c>
      <c r="AP492" s="212" t="s">
        <v>542</v>
      </c>
      <c r="AQ492" s="214">
        <v>86.175359999999998</v>
      </c>
      <c r="AR492" s="214" t="b">
        <v>0</v>
      </c>
      <c r="AS492" s="212" t="s">
        <v>534</v>
      </c>
      <c r="AU492" s="222" t="s">
        <v>819</v>
      </c>
    </row>
    <row r="493" spans="1:47" x14ac:dyDescent="0.25">
      <c r="A493" s="245">
        <f t="shared" si="70"/>
        <v>493</v>
      </c>
      <c r="B493" s="246" t="str">
        <f t="shared" si="68"/>
        <v>Oil Field - Tank</v>
      </c>
      <c r="C493" s="246" t="str">
        <f ca="1">IF(B493="","",VLOOKUP(D493,'Species Data'!B:E,4,FALSE))</f>
        <v>c7_comp</v>
      </c>
      <c r="D493" s="246">
        <f t="shared" ca="1" si="71"/>
        <v>2005</v>
      </c>
      <c r="E493" s="246">
        <f t="shared" ca="1" si="72"/>
        <v>2.5815000000000001</v>
      </c>
      <c r="F493" s="246" t="str">
        <f t="shared" ca="1" si="73"/>
        <v>C-7 Compounds</v>
      </c>
      <c r="G493" s="246">
        <f t="shared" ca="1" si="74"/>
        <v>100.20194000000001</v>
      </c>
      <c r="H493" s="204" t="str">
        <f ca="1">IF(G493="","",IF(VLOOKUP(Tank!F493,'Species Data'!D:F,3,FALSE)=0,"X",IF(G493&lt;44.1,2,1)))</f>
        <v>X</v>
      </c>
      <c r="I493" s="204">
        <f t="shared" ca="1" si="75"/>
        <v>2.5253842436887401</v>
      </c>
      <c r="J493" s="247">
        <f ca="1">IF(I493="","",IF(COUNTIF($D$12:D493,D493)=1,IF(H493=1,I493*H493,IF(H493="X","X",0)),0))</f>
        <v>0</v>
      </c>
      <c r="K493" s="248">
        <f t="shared" ca="1" si="69"/>
        <v>0</v>
      </c>
      <c r="L493" s="212" t="s">
        <v>679</v>
      </c>
      <c r="M493" s="212" t="s">
        <v>448</v>
      </c>
      <c r="N493" s="212" t="s">
        <v>470</v>
      </c>
      <c r="O493" s="213">
        <v>41419</v>
      </c>
      <c r="P493" s="212" t="s">
        <v>531</v>
      </c>
      <c r="Q493" s="214">
        <v>100</v>
      </c>
      <c r="R493" s="212" t="s">
        <v>445</v>
      </c>
      <c r="S493" s="212" t="s">
        <v>532</v>
      </c>
      <c r="T493" s="212" t="s">
        <v>445</v>
      </c>
      <c r="U493" s="212" t="s">
        <v>446</v>
      </c>
      <c r="V493" s="214" t="b">
        <v>1</v>
      </c>
      <c r="W493" s="214">
        <v>1989</v>
      </c>
      <c r="X493" s="214">
        <v>5</v>
      </c>
      <c r="Y493" s="214">
        <v>2</v>
      </c>
      <c r="Z493" s="214">
        <v>4</v>
      </c>
      <c r="AA493" s="212" t="s">
        <v>447</v>
      </c>
      <c r="AB493" s="212" t="s">
        <v>531</v>
      </c>
      <c r="AC493" s="212" t="s">
        <v>533</v>
      </c>
      <c r="AD493" s="214">
        <v>3.7325270000000002</v>
      </c>
      <c r="AE493" s="214">
        <v>2005</v>
      </c>
      <c r="AF493" s="214">
        <v>2.5815000000000001</v>
      </c>
      <c r="AG493" s="214">
        <v>-99</v>
      </c>
      <c r="AH493" s="212" t="s">
        <v>224</v>
      </c>
      <c r="AI493" s="212" t="s">
        <v>449</v>
      </c>
      <c r="AJ493" s="212" t="s">
        <v>224</v>
      </c>
      <c r="AK493" s="212" t="s">
        <v>531</v>
      </c>
      <c r="AL493" s="212" t="s">
        <v>543</v>
      </c>
      <c r="AM493" s="214" t="b">
        <v>0</v>
      </c>
      <c r="AN493" s="214" t="b">
        <v>0</v>
      </c>
      <c r="AO493" s="212" t="s">
        <v>544</v>
      </c>
      <c r="AP493" s="212" t="s">
        <v>545</v>
      </c>
      <c r="AQ493" s="214">
        <v>100.20194000000001</v>
      </c>
      <c r="AR493" s="214" t="b">
        <v>0</v>
      </c>
      <c r="AS493" s="212" t="s">
        <v>534</v>
      </c>
      <c r="AU493" s="222" t="s">
        <v>819</v>
      </c>
    </row>
    <row r="494" spans="1:47" x14ac:dyDescent="0.25">
      <c r="A494" s="245">
        <f t="shared" si="70"/>
        <v>494</v>
      </c>
      <c r="B494" s="246" t="str">
        <f t="shared" si="68"/>
        <v>Oil Field - Tank</v>
      </c>
      <c r="C494" s="246" t="str">
        <f ca="1">IF(B494="","",VLOOKUP(D494,'Species Data'!B:E,4,FALSE))</f>
        <v>c8_comp</v>
      </c>
      <c r="D494" s="246">
        <f t="shared" ca="1" si="71"/>
        <v>2011</v>
      </c>
      <c r="E494" s="246">
        <f t="shared" ca="1" si="72"/>
        <v>1.0133000000000001</v>
      </c>
      <c r="F494" s="246" t="str">
        <f t="shared" ca="1" si="73"/>
        <v>C-8 Compounds</v>
      </c>
      <c r="G494" s="246">
        <f t="shared" ca="1" si="74"/>
        <v>113.21160686946486</v>
      </c>
      <c r="H494" s="204" t="str">
        <f ca="1">IF(G494="","",IF(VLOOKUP(Tank!F494,'Species Data'!D:F,3,FALSE)=0,"X",IF(G494&lt;44.1,2,1)))</f>
        <v>X</v>
      </c>
      <c r="I494" s="204">
        <f t="shared" ca="1" si="75"/>
        <v>1.3164259710226556</v>
      </c>
      <c r="J494" s="247">
        <f ca="1">IF(I494="","",IF(COUNTIF($D$12:D494,D494)=1,IF(H494=1,I494*H494,IF(H494="X","X",0)),0))</f>
        <v>0</v>
      </c>
      <c r="K494" s="248">
        <f t="shared" ca="1" si="69"/>
        <v>0</v>
      </c>
      <c r="L494" s="212" t="s">
        <v>679</v>
      </c>
      <c r="M494" s="212" t="s">
        <v>448</v>
      </c>
      <c r="N494" s="212" t="s">
        <v>470</v>
      </c>
      <c r="O494" s="213">
        <v>41419</v>
      </c>
      <c r="P494" s="212" t="s">
        <v>531</v>
      </c>
      <c r="Q494" s="214">
        <v>100</v>
      </c>
      <c r="R494" s="212" t="s">
        <v>445</v>
      </c>
      <c r="S494" s="212" t="s">
        <v>532</v>
      </c>
      <c r="T494" s="212" t="s">
        <v>445</v>
      </c>
      <c r="U494" s="212" t="s">
        <v>446</v>
      </c>
      <c r="V494" s="214" t="b">
        <v>1</v>
      </c>
      <c r="W494" s="214">
        <v>1989</v>
      </c>
      <c r="X494" s="214">
        <v>5</v>
      </c>
      <c r="Y494" s="214">
        <v>2</v>
      </c>
      <c r="Z494" s="214">
        <v>4</v>
      </c>
      <c r="AA494" s="212" t="s">
        <v>447</v>
      </c>
      <c r="AB494" s="212" t="s">
        <v>531</v>
      </c>
      <c r="AC494" s="212" t="s">
        <v>533</v>
      </c>
      <c r="AD494" s="214">
        <v>3.7325270000000002</v>
      </c>
      <c r="AE494" s="214">
        <v>2011</v>
      </c>
      <c r="AF494" s="214">
        <v>1.0133000000000001</v>
      </c>
      <c r="AG494" s="214">
        <v>-99</v>
      </c>
      <c r="AH494" s="212" t="s">
        <v>224</v>
      </c>
      <c r="AI494" s="212" t="s">
        <v>449</v>
      </c>
      <c r="AJ494" s="212" t="s">
        <v>224</v>
      </c>
      <c r="AK494" s="212" t="s">
        <v>531</v>
      </c>
      <c r="AL494" s="212" t="s">
        <v>546</v>
      </c>
      <c r="AM494" s="214" t="b">
        <v>0</v>
      </c>
      <c r="AN494" s="214" t="b">
        <v>0</v>
      </c>
      <c r="AO494" s="212" t="s">
        <v>547</v>
      </c>
      <c r="AP494" s="212" t="s">
        <v>548</v>
      </c>
      <c r="AQ494" s="214">
        <v>113.21160686946486</v>
      </c>
      <c r="AR494" s="214" t="b">
        <v>0</v>
      </c>
      <c r="AS494" s="212" t="s">
        <v>534</v>
      </c>
      <c r="AU494" s="222" t="s">
        <v>819</v>
      </c>
    </row>
    <row r="495" spans="1:47" x14ac:dyDescent="0.25">
      <c r="A495" s="245">
        <f t="shared" si="70"/>
        <v>495</v>
      </c>
      <c r="B495" s="246" t="str">
        <f t="shared" si="68"/>
        <v>Oil Field - Tank</v>
      </c>
      <c r="C495" s="246" t="str">
        <f ca="1">IF(B495="","",VLOOKUP(D495,'Species Data'!B:E,4,FALSE))</f>
        <v>c9_comp</v>
      </c>
      <c r="D495" s="246">
        <f t="shared" ca="1" si="71"/>
        <v>2018</v>
      </c>
      <c r="E495" s="246">
        <f t="shared" ca="1" si="72"/>
        <v>0.26989999999999997</v>
      </c>
      <c r="F495" s="246" t="str">
        <f t="shared" ca="1" si="73"/>
        <v>C-9 Compounds</v>
      </c>
      <c r="G495" s="246">
        <f t="shared" ca="1" si="74"/>
        <v>127.23917598649743</v>
      </c>
      <c r="H495" s="204" t="str">
        <f ca="1">IF(G495="","",IF(VLOOKUP(Tank!F495,'Species Data'!D:F,3,FALSE)=0,"X",IF(G495&lt;44.1,2,1)))</f>
        <v>X</v>
      </c>
      <c r="I495" s="204">
        <f t="shared" ca="1" si="75"/>
        <v>0.54975194428533192</v>
      </c>
      <c r="J495" s="247">
        <f ca="1">IF(I495="","",IF(COUNTIF($D$12:D495,D495)=1,IF(H495=1,I495*H495,IF(H495="X","X",0)),0))</f>
        <v>0</v>
      </c>
      <c r="K495" s="248">
        <f t="shared" ca="1" si="69"/>
        <v>0</v>
      </c>
      <c r="L495" s="212" t="s">
        <v>679</v>
      </c>
      <c r="M495" s="212" t="s">
        <v>448</v>
      </c>
      <c r="N495" s="212" t="s">
        <v>470</v>
      </c>
      <c r="O495" s="213">
        <v>41419</v>
      </c>
      <c r="P495" s="212" t="s">
        <v>531</v>
      </c>
      <c r="Q495" s="214">
        <v>100</v>
      </c>
      <c r="R495" s="212" t="s">
        <v>445</v>
      </c>
      <c r="S495" s="212" t="s">
        <v>532</v>
      </c>
      <c r="T495" s="212" t="s">
        <v>445</v>
      </c>
      <c r="U495" s="212" t="s">
        <v>446</v>
      </c>
      <c r="V495" s="214" t="b">
        <v>1</v>
      </c>
      <c r="W495" s="214">
        <v>1989</v>
      </c>
      <c r="X495" s="214">
        <v>5</v>
      </c>
      <c r="Y495" s="214">
        <v>2</v>
      </c>
      <c r="Z495" s="214">
        <v>4</v>
      </c>
      <c r="AA495" s="212" t="s">
        <v>447</v>
      </c>
      <c r="AB495" s="212" t="s">
        <v>531</v>
      </c>
      <c r="AC495" s="212" t="s">
        <v>533</v>
      </c>
      <c r="AD495" s="214">
        <v>3.7325270000000002</v>
      </c>
      <c r="AE495" s="214">
        <v>2018</v>
      </c>
      <c r="AF495" s="214">
        <v>0.26989999999999997</v>
      </c>
      <c r="AG495" s="214">
        <v>-99</v>
      </c>
      <c r="AH495" s="212" t="s">
        <v>224</v>
      </c>
      <c r="AI495" s="212" t="s">
        <v>449</v>
      </c>
      <c r="AJ495" s="212" t="s">
        <v>224</v>
      </c>
      <c r="AK495" s="212" t="s">
        <v>531</v>
      </c>
      <c r="AL495" s="212" t="s">
        <v>464</v>
      </c>
      <c r="AM495" s="214" t="b">
        <v>0</v>
      </c>
      <c r="AN495" s="214" t="b">
        <v>0</v>
      </c>
      <c r="AO495" s="212" t="s">
        <v>549</v>
      </c>
      <c r="AP495" s="212" t="s">
        <v>550</v>
      </c>
      <c r="AQ495" s="214">
        <v>127.23917598649743</v>
      </c>
      <c r="AR495" s="214" t="b">
        <v>0</v>
      </c>
      <c r="AS495" s="212" t="s">
        <v>534</v>
      </c>
      <c r="AU495" s="222" t="s">
        <v>819</v>
      </c>
    </row>
    <row r="496" spans="1:47" x14ac:dyDescent="0.25">
      <c r="A496" s="245">
        <f t="shared" si="70"/>
        <v>496</v>
      </c>
      <c r="B496" s="246" t="str">
        <f t="shared" si="68"/>
        <v>Oil Field - Tank</v>
      </c>
      <c r="C496" s="246" t="str">
        <f ca="1">IF(B496="","",VLOOKUP(D496,'Species Data'!B:E,4,FALSE))</f>
        <v>dimetbut22</v>
      </c>
      <c r="D496" s="246">
        <f t="shared" ca="1" si="71"/>
        <v>122</v>
      </c>
      <c r="E496" s="246">
        <f t="shared" ca="1" si="72"/>
        <v>3.5099999999999999E-2</v>
      </c>
      <c r="F496" s="246" t="str">
        <f t="shared" ca="1" si="73"/>
        <v>2,2-dimethylbutane</v>
      </c>
      <c r="G496" s="246">
        <f t="shared" ca="1" si="74"/>
        <v>86.175359999999998</v>
      </c>
      <c r="H496" s="204">
        <f ca="1">IF(G496="","",IF(VLOOKUP(Tank!F496,'Species Data'!D:F,3,FALSE)=0,"X",IF(G496&lt;44.1,2,1)))</f>
        <v>1</v>
      </c>
      <c r="I496" s="204">
        <f t="shared" ca="1" si="75"/>
        <v>8.538748638653601E-2</v>
      </c>
      <c r="J496" s="247">
        <f ca="1">IF(I496="","",IF(COUNTIF($D$12:D496,D496)=1,IF(H496=1,I496*H496,IF(H496="X","X",0)),0))</f>
        <v>0</v>
      </c>
      <c r="K496" s="248">
        <f t="shared" ca="1" si="69"/>
        <v>0</v>
      </c>
      <c r="L496" s="212" t="s">
        <v>679</v>
      </c>
      <c r="M496" s="212" t="s">
        <v>448</v>
      </c>
      <c r="N496" s="212" t="s">
        <v>470</v>
      </c>
      <c r="O496" s="213">
        <v>41419</v>
      </c>
      <c r="P496" s="212" t="s">
        <v>531</v>
      </c>
      <c r="Q496" s="214">
        <v>100</v>
      </c>
      <c r="R496" s="212" t="s">
        <v>445</v>
      </c>
      <c r="S496" s="212" t="s">
        <v>532</v>
      </c>
      <c r="T496" s="212" t="s">
        <v>445</v>
      </c>
      <c r="U496" s="212" t="s">
        <v>446</v>
      </c>
      <c r="V496" s="214" t="b">
        <v>1</v>
      </c>
      <c r="W496" s="214">
        <v>1989</v>
      </c>
      <c r="X496" s="214">
        <v>5</v>
      </c>
      <c r="Y496" s="214">
        <v>2</v>
      </c>
      <c r="Z496" s="214">
        <v>4</v>
      </c>
      <c r="AA496" s="212" t="s">
        <v>447</v>
      </c>
      <c r="AB496" s="212" t="s">
        <v>531</v>
      </c>
      <c r="AC496" s="212" t="s">
        <v>533</v>
      </c>
      <c r="AD496" s="214">
        <v>8.9402259999999991</v>
      </c>
      <c r="AE496" s="214">
        <v>122</v>
      </c>
      <c r="AF496" s="214">
        <v>3.5099999999999999E-2</v>
      </c>
      <c r="AG496" s="214">
        <v>-99</v>
      </c>
      <c r="AH496" s="212" t="s">
        <v>224</v>
      </c>
      <c r="AI496" s="212" t="s">
        <v>449</v>
      </c>
      <c r="AJ496" s="212" t="s">
        <v>301</v>
      </c>
      <c r="AK496" s="212" t="s">
        <v>531</v>
      </c>
      <c r="AL496" s="212" t="s">
        <v>384</v>
      </c>
      <c r="AM496" s="214" t="b">
        <v>1</v>
      </c>
      <c r="AN496" s="214" t="b">
        <v>0</v>
      </c>
      <c r="AO496" s="212" t="s">
        <v>302</v>
      </c>
      <c r="AP496" s="212" t="s">
        <v>303</v>
      </c>
      <c r="AQ496" s="214">
        <v>86.175359999999998</v>
      </c>
      <c r="AR496" s="214" t="b">
        <v>0</v>
      </c>
      <c r="AS496" s="212" t="s">
        <v>534</v>
      </c>
      <c r="AU496" s="222" t="s">
        <v>819</v>
      </c>
    </row>
    <row r="497" spans="1:47" x14ac:dyDescent="0.25">
      <c r="A497" s="245">
        <f t="shared" si="70"/>
        <v>497</v>
      </c>
      <c r="B497" s="246" t="str">
        <f t="shared" si="68"/>
        <v>Oil Field - Tank</v>
      </c>
      <c r="C497" s="246" t="str">
        <f ca="1">IF(B497="","",VLOOKUP(D497,'Species Data'!B:E,4,FALSE))</f>
        <v>dimethpro</v>
      </c>
      <c r="D497" s="246">
        <f t="shared" ca="1" si="71"/>
        <v>127</v>
      </c>
      <c r="E497" s="246">
        <f t="shared" ca="1" si="72"/>
        <v>2.58E-2</v>
      </c>
      <c r="F497" s="246" t="str">
        <f t="shared" ca="1" si="73"/>
        <v>2,2-dimethylpropane</v>
      </c>
      <c r="G497" s="246">
        <f t="shared" ca="1" si="74"/>
        <v>72.148780000000002</v>
      </c>
      <c r="H497" s="204">
        <f ca="1">IF(G497="","",IF(VLOOKUP(Tank!F497,'Species Data'!D:F,3,FALSE)=0,"X",IF(G497&lt;44.1,2,1)))</f>
        <v>1</v>
      </c>
      <c r="I497" s="204">
        <f t="shared" ca="1" si="75"/>
        <v>9.7614270430329483E-2</v>
      </c>
      <c r="J497" s="247">
        <f ca="1">IF(I497="","",IF(COUNTIF($D$12:D497,D497)=1,IF(H497=1,I497*H497,IF(H497="X","X",0)),0))</f>
        <v>0</v>
      </c>
      <c r="K497" s="248">
        <f t="shared" ca="1" si="69"/>
        <v>0</v>
      </c>
      <c r="L497" s="212" t="s">
        <v>679</v>
      </c>
      <c r="M497" s="212" t="s">
        <v>448</v>
      </c>
      <c r="N497" s="212" t="s">
        <v>470</v>
      </c>
      <c r="O497" s="213">
        <v>41419</v>
      </c>
      <c r="P497" s="212" t="s">
        <v>531</v>
      </c>
      <c r="Q497" s="214">
        <v>100</v>
      </c>
      <c r="R497" s="212" t="s">
        <v>445</v>
      </c>
      <c r="S497" s="212" t="s">
        <v>532</v>
      </c>
      <c r="T497" s="212" t="s">
        <v>445</v>
      </c>
      <c r="U497" s="212" t="s">
        <v>446</v>
      </c>
      <c r="V497" s="214" t="b">
        <v>1</v>
      </c>
      <c r="W497" s="214">
        <v>1989</v>
      </c>
      <c r="X497" s="214">
        <v>5</v>
      </c>
      <c r="Y497" s="214">
        <v>2</v>
      </c>
      <c r="Z497" s="214">
        <v>4</v>
      </c>
      <c r="AA497" s="212" t="s">
        <v>447</v>
      </c>
      <c r="AB497" s="212" t="s">
        <v>531</v>
      </c>
      <c r="AC497" s="212" t="s">
        <v>533</v>
      </c>
      <c r="AD497" s="214">
        <v>8.9402259999999991</v>
      </c>
      <c r="AE497" s="214">
        <v>127</v>
      </c>
      <c r="AF497" s="214">
        <v>2.58E-2</v>
      </c>
      <c r="AG497" s="214">
        <v>-99</v>
      </c>
      <c r="AH497" s="212" t="s">
        <v>224</v>
      </c>
      <c r="AI497" s="212" t="s">
        <v>449</v>
      </c>
      <c r="AJ497" s="212" t="s">
        <v>441</v>
      </c>
      <c r="AK497" s="212" t="s">
        <v>531</v>
      </c>
      <c r="AL497" s="212" t="s">
        <v>462</v>
      </c>
      <c r="AM497" s="214" t="b">
        <v>0</v>
      </c>
      <c r="AN497" s="214" t="b">
        <v>0</v>
      </c>
      <c r="AO497" s="212" t="s">
        <v>442</v>
      </c>
      <c r="AP497" s="212" t="s">
        <v>531</v>
      </c>
      <c r="AQ497" s="214">
        <v>72.148780000000002</v>
      </c>
      <c r="AR497" s="214" t="b">
        <v>0</v>
      </c>
      <c r="AS497" s="212" t="s">
        <v>534</v>
      </c>
      <c r="AU497" s="222" t="s">
        <v>819</v>
      </c>
    </row>
    <row r="498" spans="1:47" x14ac:dyDescent="0.25">
      <c r="A498" s="245">
        <f t="shared" si="70"/>
        <v>498</v>
      </c>
      <c r="B498" s="246" t="str">
        <f t="shared" si="68"/>
        <v>Oil Field - Tank</v>
      </c>
      <c r="C498" s="246" t="str">
        <f ca="1">IF(B498="","",VLOOKUP(D498,'Species Data'!B:E,4,FALSE))</f>
        <v>trimentpen3</v>
      </c>
      <c r="D498" s="246">
        <f t="shared" ca="1" si="71"/>
        <v>130</v>
      </c>
      <c r="E498" s="246">
        <f t="shared" ca="1" si="72"/>
        <v>0.17549999999999999</v>
      </c>
      <c r="F498" s="246" t="str">
        <f t="shared" ca="1" si="73"/>
        <v>2,3,4-trimethylpentane</v>
      </c>
      <c r="G498" s="246">
        <f t="shared" ca="1" si="74"/>
        <v>114.22852</v>
      </c>
      <c r="H498" s="204">
        <f ca="1">IF(G498="","",IF(VLOOKUP(Tank!F498,'Species Data'!D:F,3,FALSE)=0,"X",IF(G498&lt;44.1,2,1)))</f>
        <v>1</v>
      </c>
      <c r="I498" s="204">
        <f t="shared" ca="1" si="75"/>
        <v>0.22004211240427912</v>
      </c>
      <c r="J498" s="247">
        <f ca="1">IF(I498="","",IF(COUNTIF($D$12:D498,D498)=1,IF(H498=1,I498*H498,IF(H498="X","X",0)),0))</f>
        <v>0</v>
      </c>
      <c r="K498" s="248">
        <f t="shared" ca="1" si="69"/>
        <v>0</v>
      </c>
      <c r="L498" s="212" t="s">
        <v>679</v>
      </c>
      <c r="M498" s="212" t="s">
        <v>448</v>
      </c>
      <c r="N498" s="212" t="s">
        <v>470</v>
      </c>
      <c r="O498" s="213">
        <v>41419</v>
      </c>
      <c r="P498" s="212" t="s">
        <v>531</v>
      </c>
      <c r="Q498" s="214">
        <v>100</v>
      </c>
      <c r="R498" s="212" t="s">
        <v>445</v>
      </c>
      <c r="S498" s="212" t="s">
        <v>532</v>
      </c>
      <c r="T498" s="212" t="s">
        <v>445</v>
      </c>
      <c r="U498" s="212" t="s">
        <v>446</v>
      </c>
      <c r="V498" s="214" t="b">
        <v>1</v>
      </c>
      <c r="W498" s="214">
        <v>1989</v>
      </c>
      <c r="X498" s="214">
        <v>5</v>
      </c>
      <c r="Y498" s="214">
        <v>2</v>
      </c>
      <c r="Z498" s="214">
        <v>4</v>
      </c>
      <c r="AA498" s="212" t="s">
        <v>447</v>
      </c>
      <c r="AB498" s="212" t="s">
        <v>531</v>
      </c>
      <c r="AC498" s="212" t="s">
        <v>533</v>
      </c>
      <c r="AD498" s="214">
        <v>8.9402259999999991</v>
      </c>
      <c r="AE498" s="214">
        <v>130</v>
      </c>
      <c r="AF498" s="214">
        <v>0.17549999999999999</v>
      </c>
      <c r="AG498" s="214">
        <v>-99</v>
      </c>
      <c r="AH498" s="212" t="s">
        <v>224</v>
      </c>
      <c r="AI498" s="212" t="s">
        <v>449</v>
      </c>
      <c r="AJ498" s="212" t="s">
        <v>404</v>
      </c>
      <c r="AK498" s="212" t="s">
        <v>531</v>
      </c>
      <c r="AL498" s="212" t="s">
        <v>405</v>
      </c>
      <c r="AM498" s="214" t="b">
        <v>1</v>
      </c>
      <c r="AN498" s="214" t="b">
        <v>0</v>
      </c>
      <c r="AO498" s="212" t="s">
        <v>406</v>
      </c>
      <c r="AP498" s="212" t="s">
        <v>407</v>
      </c>
      <c r="AQ498" s="214">
        <v>114.22852</v>
      </c>
      <c r="AR498" s="214" t="b">
        <v>0</v>
      </c>
      <c r="AS498" s="212" t="s">
        <v>534</v>
      </c>
      <c r="AU498" s="222" t="s">
        <v>819</v>
      </c>
    </row>
    <row r="499" spans="1:47" x14ac:dyDescent="0.25">
      <c r="A499" s="245">
        <f t="shared" si="70"/>
        <v>499</v>
      </c>
      <c r="B499" s="246" t="str">
        <f t="shared" si="68"/>
        <v>Oil Field - Tank</v>
      </c>
      <c r="C499" s="246" t="str">
        <f ca="1">IF(B499="","",VLOOKUP(D499,'Species Data'!B:E,4,FALSE))</f>
        <v>dimetbut</v>
      </c>
      <c r="D499" s="246">
        <f t="shared" ca="1" si="71"/>
        <v>136</v>
      </c>
      <c r="E499" s="246">
        <f t="shared" ca="1" si="72"/>
        <v>0.1145</v>
      </c>
      <c r="F499" s="246" t="str">
        <f t="shared" ca="1" si="73"/>
        <v>2,3-dimethylbutane</v>
      </c>
      <c r="G499" s="246">
        <f t="shared" ca="1" si="74"/>
        <v>86.175359999999998</v>
      </c>
      <c r="H499" s="204">
        <f ca="1">IF(G499="","",IF(VLOOKUP(Tank!F499,'Species Data'!D:F,3,FALSE)=0,"X",IF(G499&lt;44.1,2,1)))</f>
        <v>1</v>
      </c>
      <c r="I499" s="204">
        <f t="shared" ca="1" si="75"/>
        <v>0.22725551498627725</v>
      </c>
      <c r="J499" s="247">
        <f ca="1">IF(I499="","",IF(COUNTIF($D$12:D499,D499)=1,IF(H499=1,I499*H499,IF(H499="X","X",0)),0))</f>
        <v>0</v>
      </c>
      <c r="K499" s="248">
        <f t="shared" ca="1" si="69"/>
        <v>0</v>
      </c>
      <c r="L499" s="212" t="s">
        <v>679</v>
      </c>
      <c r="M499" s="212" t="s">
        <v>448</v>
      </c>
      <c r="N499" s="212" t="s">
        <v>470</v>
      </c>
      <c r="O499" s="213">
        <v>41419</v>
      </c>
      <c r="P499" s="212" t="s">
        <v>531</v>
      </c>
      <c r="Q499" s="214">
        <v>100</v>
      </c>
      <c r="R499" s="212" t="s">
        <v>445</v>
      </c>
      <c r="S499" s="212" t="s">
        <v>532</v>
      </c>
      <c r="T499" s="212" t="s">
        <v>445</v>
      </c>
      <c r="U499" s="212" t="s">
        <v>446</v>
      </c>
      <c r="V499" s="214" t="b">
        <v>1</v>
      </c>
      <c r="W499" s="214">
        <v>1989</v>
      </c>
      <c r="X499" s="214">
        <v>5</v>
      </c>
      <c r="Y499" s="214">
        <v>2</v>
      </c>
      <c r="Z499" s="214">
        <v>4</v>
      </c>
      <c r="AA499" s="212" t="s">
        <v>447</v>
      </c>
      <c r="AB499" s="212" t="s">
        <v>531</v>
      </c>
      <c r="AC499" s="212" t="s">
        <v>533</v>
      </c>
      <c r="AD499" s="214">
        <v>8.9402259999999991</v>
      </c>
      <c r="AE499" s="214">
        <v>136</v>
      </c>
      <c r="AF499" s="214">
        <v>0.1145</v>
      </c>
      <c r="AG499" s="214">
        <v>-99</v>
      </c>
      <c r="AH499" s="212" t="s">
        <v>224</v>
      </c>
      <c r="AI499" s="212" t="s">
        <v>449</v>
      </c>
      <c r="AJ499" s="212" t="s">
        <v>304</v>
      </c>
      <c r="AK499" s="212" t="s">
        <v>531</v>
      </c>
      <c r="AL499" s="212" t="s">
        <v>620</v>
      </c>
      <c r="AM499" s="214" t="b">
        <v>1</v>
      </c>
      <c r="AN499" s="214" t="b">
        <v>0</v>
      </c>
      <c r="AO499" s="212" t="s">
        <v>305</v>
      </c>
      <c r="AP499" s="212" t="s">
        <v>306</v>
      </c>
      <c r="AQ499" s="214">
        <v>86.175359999999998</v>
      </c>
      <c r="AR499" s="214" t="b">
        <v>0</v>
      </c>
      <c r="AS499" s="212" t="s">
        <v>534</v>
      </c>
      <c r="AU499" s="222" t="s">
        <v>819</v>
      </c>
    </row>
    <row r="500" spans="1:47" x14ac:dyDescent="0.25">
      <c r="A500" s="245">
        <f t="shared" si="70"/>
        <v>500</v>
      </c>
      <c r="B500" s="246" t="str">
        <f t="shared" si="68"/>
        <v>Oil Field - Tank</v>
      </c>
      <c r="C500" s="246" t="str">
        <f ca="1">IF(B500="","",VLOOKUP(D500,'Species Data'!B:E,4,FALSE))</f>
        <v>dimethhex23</v>
      </c>
      <c r="D500" s="246">
        <f t="shared" ca="1" si="71"/>
        <v>138</v>
      </c>
      <c r="E500" s="246">
        <f t="shared" ca="1" si="72"/>
        <v>1.06E-2</v>
      </c>
      <c r="F500" s="246" t="str">
        <f t="shared" ca="1" si="73"/>
        <v>2,3-dimethylhexane</v>
      </c>
      <c r="G500" s="246">
        <f t="shared" ca="1" si="74"/>
        <v>114.22852</v>
      </c>
      <c r="H500" s="204">
        <f ca="1">IF(G500="","",IF(VLOOKUP(Tank!F500,'Species Data'!D:F,3,FALSE)=0,"X",IF(G500&lt;44.1,2,1)))</f>
        <v>1</v>
      </c>
      <c r="I500" s="204">
        <f t="shared" ca="1" si="75"/>
        <v>2.958028397072613E-2</v>
      </c>
      <c r="J500" s="247">
        <f ca="1">IF(I500="","",IF(COUNTIF($D$12:D500,D500)=1,IF(H500=1,I500*H500,IF(H500="X","X",0)),0))</f>
        <v>0</v>
      </c>
      <c r="K500" s="248">
        <f t="shared" ca="1" si="69"/>
        <v>0</v>
      </c>
      <c r="L500" s="212" t="s">
        <v>679</v>
      </c>
      <c r="M500" s="212" t="s">
        <v>448</v>
      </c>
      <c r="N500" s="212" t="s">
        <v>470</v>
      </c>
      <c r="O500" s="213">
        <v>41419</v>
      </c>
      <c r="P500" s="212" t="s">
        <v>531</v>
      </c>
      <c r="Q500" s="214">
        <v>100</v>
      </c>
      <c r="R500" s="212" t="s">
        <v>445</v>
      </c>
      <c r="S500" s="212" t="s">
        <v>532</v>
      </c>
      <c r="T500" s="212" t="s">
        <v>445</v>
      </c>
      <c r="U500" s="212" t="s">
        <v>446</v>
      </c>
      <c r="V500" s="214" t="b">
        <v>1</v>
      </c>
      <c r="W500" s="214">
        <v>1989</v>
      </c>
      <c r="X500" s="214">
        <v>5</v>
      </c>
      <c r="Y500" s="214">
        <v>2</v>
      </c>
      <c r="Z500" s="214">
        <v>4</v>
      </c>
      <c r="AA500" s="212" t="s">
        <v>447</v>
      </c>
      <c r="AB500" s="212" t="s">
        <v>531</v>
      </c>
      <c r="AC500" s="212" t="s">
        <v>533</v>
      </c>
      <c r="AD500" s="214">
        <v>8.9402259999999991</v>
      </c>
      <c r="AE500" s="214">
        <v>138</v>
      </c>
      <c r="AF500" s="214">
        <v>1.06E-2</v>
      </c>
      <c r="AG500" s="214">
        <v>-99</v>
      </c>
      <c r="AH500" s="212" t="s">
        <v>224</v>
      </c>
      <c r="AI500" s="212" t="s">
        <v>449</v>
      </c>
      <c r="AJ500" s="212" t="s">
        <v>443</v>
      </c>
      <c r="AK500" s="212" t="s">
        <v>531</v>
      </c>
      <c r="AL500" s="212" t="s">
        <v>463</v>
      </c>
      <c r="AM500" s="214" t="b">
        <v>0</v>
      </c>
      <c r="AN500" s="214" t="b">
        <v>0</v>
      </c>
      <c r="AO500" s="212" t="s">
        <v>444</v>
      </c>
      <c r="AP500" s="212" t="s">
        <v>531</v>
      </c>
      <c r="AQ500" s="214">
        <v>114.22852</v>
      </c>
      <c r="AR500" s="214" t="b">
        <v>0</v>
      </c>
      <c r="AS500" s="212" t="s">
        <v>534</v>
      </c>
      <c r="AU500" s="222" t="s">
        <v>819</v>
      </c>
    </row>
    <row r="501" spans="1:47" x14ac:dyDescent="0.25">
      <c r="A501" s="245">
        <f t="shared" si="70"/>
        <v>501</v>
      </c>
      <c r="B501" s="246" t="str">
        <f t="shared" si="68"/>
        <v>Oil Field - Tank</v>
      </c>
      <c r="C501" s="246" t="str">
        <f ca="1">IF(B501="","",VLOOKUP(D501,'Species Data'!B:E,4,FALSE))</f>
        <v>dimetpen3</v>
      </c>
      <c r="D501" s="246">
        <f t="shared" ca="1" si="71"/>
        <v>140</v>
      </c>
      <c r="E501" s="246">
        <f t="shared" ca="1" si="72"/>
        <v>8.6800000000000002E-2</v>
      </c>
      <c r="F501" s="246" t="str">
        <f t="shared" ca="1" si="73"/>
        <v>2,3-dimethylpentane</v>
      </c>
      <c r="G501" s="246">
        <f t="shared" ca="1" si="74"/>
        <v>100.20194000000001</v>
      </c>
      <c r="H501" s="204">
        <f ca="1">IF(G501="","",IF(VLOOKUP(Tank!F501,'Species Data'!D:F,3,FALSE)=0,"X",IF(G501&lt;44.1,2,1)))</f>
        <v>1</v>
      </c>
      <c r="I501" s="204">
        <f t="shared" ca="1" si="75"/>
        <v>0.24488235087056845</v>
      </c>
      <c r="J501" s="247">
        <f ca="1">IF(I501="","",IF(COUNTIF($D$12:D501,D501)=1,IF(H501=1,I501*H501,IF(H501="X","X",0)),0))</f>
        <v>0</v>
      </c>
      <c r="K501" s="248">
        <f t="shared" ca="1" si="69"/>
        <v>0</v>
      </c>
      <c r="L501" s="212" t="s">
        <v>679</v>
      </c>
      <c r="M501" s="212" t="s">
        <v>448</v>
      </c>
      <c r="N501" s="212" t="s">
        <v>470</v>
      </c>
      <c r="O501" s="213">
        <v>41419</v>
      </c>
      <c r="P501" s="212" t="s">
        <v>531</v>
      </c>
      <c r="Q501" s="214">
        <v>100</v>
      </c>
      <c r="R501" s="212" t="s">
        <v>445</v>
      </c>
      <c r="S501" s="212" t="s">
        <v>532</v>
      </c>
      <c r="T501" s="212" t="s">
        <v>445</v>
      </c>
      <c r="U501" s="212" t="s">
        <v>446</v>
      </c>
      <c r="V501" s="214" t="b">
        <v>1</v>
      </c>
      <c r="W501" s="214">
        <v>1989</v>
      </c>
      <c r="X501" s="214">
        <v>5</v>
      </c>
      <c r="Y501" s="214">
        <v>2</v>
      </c>
      <c r="Z501" s="214">
        <v>4</v>
      </c>
      <c r="AA501" s="212" t="s">
        <v>447</v>
      </c>
      <c r="AB501" s="212" t="s">
        <v>531</v>
      </c>
      <c r="AC501" s="212" t="s">
        <v>533</v>
      </c>
      <c r="AD501" s="214">
        <v>8.9402259999999991</v>
      </c>
      <c r="AE501" s="214">
        <v>140</v>
      </c>
      <c r="AF501" s="214">
        <v>8.6800000000000002E-2</v>
      </c>
      <c r="AG501" s="214">
        <v>-99</v>
      </c>
      <c r="AH501" s="212" t="s">
        <v>224</v>
      </c>
      <c r="AI501" s="212" t="s">
        <v>449</v>
      </c>
      <c r="AJ501" s="212" t="s">
        <v>307</v>
      </c>
      <c r="AK501" s="212" t="s">
        <v>531</v>
      </c>
      <c r="AL501" s="212" t="s">
        <v>385</v>
      </c>
      <c r="AM501" s="214" t="b">
        <v>1</v>
      </c>
      <c r="AN501" s="214" t="b">
        <v>0</v>
      </c>
      <c r="AO501" s="212" t="s">
        <v>308</v>
      </c>
      <c r="AP501" s="212" t="s">
        <v>309</v>
      </c>
      <c r="AQ501" s="214">
        <v>100.20194000000001</v>
      </c>
      <c r="AR501" s="214" t="b">
        <v>0</v>
      </c>
      <c r="AS501" s="212" t="s">
        <v>534</v>
      </c>
      <c r="AU501" s="222" t="s">
        <v>819</v>
      </c>
    </row>
    <row r="502" spans="1:47" x14ac:dyDescent="0.25">
      <c r="A502" s="245">
        <f t="shared" si="70"/>
        <v>502</v>
      </c>
      <c r="B502" s="246" t="str">
        <f t="shared" si="68"/>
        <v>Oil Field - Tank</v>
      </c>
      <c r="C502" s="246" t="str">
        <f ca="1">IF(B502="","",VLOOKUP(D502,'Species Data'!B:E,4,FALSE))</f>
        <v>dimethhex24</v>
      </c>
      <c r="D502" s="246">
        <f t="shared" ca="1" si="71"/>
        <v>149</v>
      </c>
      <c r="E502" s="246">
        <f t="shared" ca="1" si="72"/>
        <v>4.7300000000000002E-2</v>
      </c>
      <c r="F502" s="246" t="str">
        <f t="shared" ca="1" si="73"/>
        <v>2,4-dimethylhexane</v>
      </c>
      <c r="G502" s="246">
        <f t="shared" ca="1" si="74"/>
        <v>114.22852</v>
      </c>
      <c r="H502" s="204">
        <f ca="1">IF(G502="","",IF(VLOOKUP(Tank!F502,'Species Data'!D:F,3,FALSE)=0,"X",IF(G502&lt;44.1,2,1)))</f>
        <v>1</v>
      </c>
      <c r="I502" s="204">
        <f t="shared" ca="1" si="75"/>
        <v>6.6793974555489091E-2</v>
      </c>
      <c r="J502" s="247">
        <f ca="1">IF(I502="","",IF(COUNTIF($D$12:D502,D502)=1,IF(H502=1,I502*H502,IF(H502="X","X",0)),0))</f>
        <v>0</v>
      </c>
      <c r="K502" s="248">
        <f t="shared" ca="1" si="69"/>
        <v>0</v>
      </c>
      <c r="L502" s="212" t="s">
        <v>679</v>
      </c>
      <c r="M502" s="212" t="s">
        <v>448</v>
      </c>
      <c r="N502" s="212" t="s">
        <v>470</v>
      </c>
      <c r="O502" s="213">
        <v>41419</v>
      </c>
      <c r="P502" s="212" t="s">
        <v>531</v>
      </c>
      <c r="Q502" s="214">
        <v>100</v>
      </c>
      <c r="R502" s="212" t="s">
        <v>445</v>
      </c>
      <c r="S502" s="212" t="s">
        <v>532</v>
      </c>
      <c r="T502" s="212" t="s">
        <v>445</v>
      </c>
      <c r="U502" s="212" t="s">
        <v>446</v>
      </c>
      <c r="V502" s="214" t="b">
        <v>1</v>
      </c>
      <c r="W502" s="214">
        <v>1989</v>
      </c>
      <c r="X502" s="214">
        <v>5</v>
      </c>
      <c r="Y502" s="214">
        <v>2</v>
      </c>
      <c r="Z502" s="214">
        <v>4</v>
      </c>
      <c r="AA502" s="212" t="s">
        <v>447</v>
      </c>
      <c r="AB502" s="212" t="s">
        <v>531</v>
      </c>
      <c r="AC502" s="212" t="s">
        <v>533</v>
      </c>
      <c r="AD502" s="214">
        <v>8.9402259999999991</v>
      </c>
      <c r="AE502" s="214">
        <v>149</v>
      </c>
      <c r="AF502" s="214">
        <v>4.7300000000000002E-2</v>
      </c>
      <c r="AG502" s="214">
        <v>-99</v>
      </c>
      <c r="AH502" s="212" t="s">
        <v>224</v>
      </c>
      <c r="AI502" s="212" t="s">
        <v>449</v>
      </c>
      <c r="AJ502" s="212" t="s">
        <v>427</v>
      </c>
      <c r="AK502" s="212" t="s">
        <v>531</v>
      </c>
      <c r="AL502" s="212" t="s">
        <v>457</v>
      </c>
      <c r="AM502" s="214" t="b">
        <v>0</v>
      </c>
      <c r="AN502" s="214" t="b">
        <v>0</v>
      </c>
      <c r="AO502" s="212" t="s">
        <v>428</v>
      </c>
      <c r="AP502" s="212" t="s">
        <v>429</v>
      </c>
      <c r="AQ502" s="214">
        <v>114.22852</v>
      </c>
      <c r="AR502" s="214" t="b">
        <v>0</v>
      </c>
      <c r="AS502" s="212" t="s">
        <v>534</v>
      </c>
      <c r="AU502" s="222" t="s">
        <v>819</v>
      </c>
    </row>
    <row r="503" spans="1:47" x14ac:dyDescent="0.25">
      <c r="A503" s="245">
        <f t="shared" si="70"/>
        <v>503</v>
      </c>
      <c r="B503" s="246" t="str">
        <f t="shared" si="68"/>
        <v>Oil Field - Tank</v>
      </c>
      <c r="C503" s="246" t="str">
        <f ca="1">IF(B503="","",VLOOKUP(D503,'Species Data'!B:E,4,FALSE))</f>
        <v>dimetpen4</v>
      </c>
      <c r="D503" s="246">
        <f t="shared" ca="1" si="71"/>
        <v>152</v>
      </c>
      <c r="E503" s="246">
        <f t="shared" ca="1" si="72"/>
        <v>2.46E-2</v>
      </c>
      <c r="F503" s="246" t="str">
        <f t="shared" ca="1" si="73"/>
        <v>2,4-dimethylpentane</v>
      </c>
      <c r="G503" s="246">
        <f t="shared" ca="1" si="74"/>
        <v>100.20194000000001</v>
      </c>
      <c r="H503" s="204">
        <f ca="1">IF(G503="","",IF(VLOOKUP(Tank!F503,'Species Data'!D:F,3,FALSE)=0,"X",IF(G503&lt;44.1,2,1)))</f>
        <v>1</v>
      </c>
      <c r="I503" s="204">
        <f t="shared" ca="1" si="75"/>
        <v>7.947409628465768E-2</v>
      </c>
      <c r="J503" s="247">
        <f ca="1">IF(I503="","",IF(COUNTIF($D$12:D503,D503)=1,IF(H503=1,I503*H503,IF(H503="X","X",0)),0))</f>
        <v>0</v>
      </c>
      <c r="K503" s="248">
        <f t="shared" ca="1" si="69"/>
        <v>0</v>
      </c>
      <c r="L503" s="212" t="s">
        <v>679</v>
      </c>
      <c r="M503" s="212" t="s">
        <v>448</v>
      </c>
      <c r="N503" s="212" t="s">
        <v>470</v>
      </c>
      <c r="O503" s="213">
        <v>41419</v>
      </c>
      <c r="P503" s="212" t="s">
        <v>531</v>
      </c>
      <c r="Q503" s="214">
        <v>100</v>
      </c>
      <c r="R503" s="212" t="s">
        <v>445</v>
      </c>
      <c r="S503" s="212" t="s">
        <v>532</v>
      </c>
      <c r="T503" s="212" t="s">
        <v>445</v>
      </c>
      <c r="U503" s="212" t="s">
        <v>446</v>
      </c>
      <c r="V503" s="214" t="b">
        <v>1</v>
      </c>
      <c r="W503" s="214">
        <v>1989</v>
      </c>
      <c r="X503" s="214">
        <v>5</v>
      </c>
      <c r="Y503" s="214">
        <v>2</v>
      </c>
      <c r="Z503" s="214">
        <v>4</v>
      </c>
      <c r="AA503" s="212" t="s">
        <v>447</v>
      </c>
      <c r="AB503" s="212" t="s">
        <v>531</v>
      </c>
      <c r="AC503" s="212" t="s">
        <v>533</v>
      </c>
      <c r="AD503" s="214">
        <v>8.9402259999999991</v>
      </c>
      <c r="AE503" s="214">
        <v>152</v>
      </c>
      <c r="AF503" s="214">
        <v>2.46E-2</v>
      </c>
      <c r="AG503" s="214">
        <v>-99</v>
      </c>
      <c r="AH503" s="212" t="s">
        <v>224</v>
      </c>
      <c r="AI503" s="212" t="s">
        <v>449</v>
      </c>
      <c r="AJ503" s="212" t="s">
        <v>310</v>
      </c>
      <c r="AK503" s="212" t="s">
        <v>531</v>
      </c>
      <c r="AL503" s="212" t="s">
        <v>386</v>
      </c>
      <c r="AM503" s="214" t="b">
        <v>1</v>
      </c>
      <c r="AN503" s="214" t="b">
        <v>0</v>
      </c>
      <c r="AO503" s="212" t="s">
        <v>311</v>
      </c>
      <c r="AP503" s="212" t="s">
        <v>312</v>
      </c>
      <c r="AQ503" s="214">
        <v>100.20194000000001</v>
      </c>
      <c r="AR503" s="214" t="b">
        <v>0</v>
      </c>
      <c r="AS503" s="212" t="s">
        <v>534</v>
      </c>
      <c r="AU503" s="222" t="s">
        <v>819</v>
      </c>
    </row>
    <row r="504" spans="1:47" x14ac:dyDescent="0.25">
      <c r="A504" s="245">
        <f t="shared" si="70"/>
        <v>504</v>
      </c>
      <c r="B504" s="246" t="str">
        <f t="shared" si="68"/>
        <v>Oil Field - Tank</v>
      </c>
      <c r="C504" s="246" t="str">
        <f ca="1">IF(B504="","",VLOOKUP(D504,'Species Data'!B:E,4,FALSE))</f>
        <v>methep2</v>
      </c>
      <c r="D504" s="246">
        <f t="shared" ca="1" si="71"/>
        <v>193</v>
      </c>
      <c r="E504" s="246">
        <f t="shared" ca="1" si="72"/>
        <v>1.6899999999999998E-2</v>
      </c>
      <c r="F504" s="246" t="str">
        <f t="shared" ca="1" si="73"/>
        <v>2-methylheptane</v>
      </c>
      <c r="G504" s="246">
        <f t="shared" ca="1" si="74"/>
        <v>114.22852</v>
      </c>
      <c r="H504" s="204">
        <f ca="1">IF(G504="","",IF(VLOOKUP(Tank!F504,'Species Data'!D:F,3,FALSE)=0,"X",IF(G504&lt;44.1,2,1)))</f>
        <v>1</v>
      </c>
      <c r="I504" s="204">
        <f t="shared" ca="1" si="75"/>
        <v>0.11845447049625013</v>
      </c>
      <c r="J504" s="247">
        <f ca="1">IF(I504="","",IF(COUNTIF($D$12:D504,D504)=1,IF(H504=1,I504*H504,IF(H504="X","X",0)),0))</f>
        <v>0</v>
      </c>
      <c r="K504" s="248">
        <f t="shared" ca="1" si="69"/>
        <v>0</v>
      </c>
      <c r="L504" s="212" t="s">
        <v>679</v>
      </c>
      <c r="M504" s="212" t="s">
        <v>448</v>
      </c>
      <c r="N504" s="212" t="s">
        <v>470</v>
      </c>
      <c r="O504" s="213">
        <v>41419</v>
      </c>
      <c r="P504" s="212" t="s">
        <v>531</v>
      </c>
      <c r="Q504" s="214">
        <v>100</v>
      </c>
      <c r="R504" s="212" t="s">
        <v>445</v>
      </c>
      <c r="S504" s="212" t="s">
        <v>532</v>
      </c>
      <c r="T504" s="212" t="s">
        <v>445</v>
      </c>
      <c r="U504" s="212" t="s">
        <v>446</v>
      </c>
      <c r="V504" s="214" t="b">
        <v>1</v>
      </c>
      <c r="W504" s="214">
        <v>1989</v>
      </c>
      <c r="X504" s="214">
        <v>5</v>
      </c>
      <c r="Y504" s="214">
        <v>2</v>
      </c>
      <c r="Z504" s="214">
        <v>4</v>
      </c>
      <c r="AA504" s="212" t="s">
        <v>447</v>
      </c>
      <c r="AB504" s="212" t="s">
        <v>531</v>
      </c>
      <c r="AC504" s="212" t="s">
        <v>533</v>
      </c>
      <c r="AD504" s="214">
        <v>8.9402259999999991</v>
      </c>
      <c r="AE504" s="214">
        <v>193</v>
      </c>
      <c r="AF504" s="214">
        <v>1.6899999999999998E-2</v>
      </c>
      <c r="AG504" s="214">
        <v>-99</v>
      </c>
      <c r="AH504" s="212" t="s">
        <v>224</v>
      </c>
      <c r="AI504" s="212" t="s">
        <v>449</v>
      </c>
      <c r="AJ504" s="212" t="s">
        <v>313</v>
      </c>
      <c r="AK504" s="212" t="s">
        <v>531</v>
      </c>
      <c r="AL504" s="212" t="s">
        <v>387</v>
      </c>
      <c r="AM504" s="214" t="b">
        <v>1</v>
      </c>
      <c r="AN504" s="214" t="b">
        <v>0</v>
      </c>
      <c r="AO504" s="212" t="s">
        <v>314</v>
      </c>
      <c r="AP504" s="212" t="s">
        <v>315</v>
      </c>
      <c r="AQ504" s="214">
        <v>114.22852</v>
      </c>
      <c r="AR504" s="214" t="b">
        <v>0</v>
      </c>
      <c r="AS504" s="212" t="s">
        <v>534</v>
      </c>
      <c r="AU504" s="222" t="s">
        <v>819</v>
      </c>
    </row>
    <row r="505" spans="1:47" x14ac:dyDescent="0.25">
      <c r="A505" s="245">
        <f t="shared" si="70"/>
        <v>505</v>
      </c>
      <c r="B505" s="246" t="str">
        <f t="shared" si="68"/>
        <v>Oil Field - Tank</v>
      </c>
      <c r="C505" s="246" t="str">
        <f ca="1">IF(B505="","",VLOOKUP(D505,'Species Data'!B:E,4,FALSE))</f>
        <v>twomethex</v>
      </c>
      <c r="D505" s="246">
        <f t="shared" ca="1" si="71"/>
        <v>194</v>
      </c>
      <c r="E505" s="246">
        <f t="shared" ca="1" si="72"/>
        <v>3.7100000000000001E-2</v>
      </c>
      <c r="F505" s="246" t="str">
        <f t="shared" ca="1" si="73"/>
        <v>2-methylhexane</v>
      </c>
      <c r="G505" s="246">
        <f t="shared" ca="1" si="74"/>
        <v>100.20194000000001</v>
      </c>
      <c r="H505" s="204">
        <f ca="1">IF(G505="","",IF(VLOOKUP(Tank!F505,'Species Data'!D:F,3,FALSE)=0,"X",IF(G505&lt;44.1,2,1)))</f>
        <v>1</v>
      </c>
      <c r="I505" s="204">
        <f t="shared" ca="1" si="75"/>
        <v>0.30248957056654424</v>
      </c>
      <c r="J505" s="247">
        <f ca="1">IF(I505="","",IF(COUNTIF($D$12:D505,D505)=1,IF(H505=1,I505*H505,IF(H505="X","X",0)),0))</f>
        <v>0</v>
      </c>
      <c r="K505" s="248">
        <f t="shared" ca="1" si="69"/>
        <v>0</v>
      </c>
      <c r="L505" s="212" t="s">
        <v>679</v>
      </c>
      <c r="M505" s="212" t="s">
        <v>448</v>
      </c>
      <c r="N505" s="212" t="s">
        <v>470</v>
      </c>
      <c r="O505" s="213">
        <v>41419</v>
      </c>
      <c r="P505" s="212" t="s">
        <v>531</v>
      </c>
      <c r="Q505" s="214">
        <v>100</v>
      </c>
      <c r="R505" s="212" t="s">
        <v>445</v>
      </c>
      <c r="S505" s="212" t="s">
        <v>532</v>
      </c>
      <c r="T505" s="212" t="s">
        <v>445</v>
      </c>
      <c r="U505" s="212" t="s">
        <v>446</v>
      </c>
      <c r="V505" s="214" t="b">
        <v>1</v>
      </c>
      <c r="W505" s="214">
        <v>1989</v>
      </c>
      <c r="X505" s="214">
        <v>5</v>
      </c>
      <c r="Y505" s="214">
        <v>2</v>
      </c>
      <c r="Z505" s="214">
        <v>4</v>
      </c>
      <c r="AA505" s="212" t="s">
        <v>447</v>
      </c>
      <c r="AB505" s="212" t="s">
        <v>531</v>
      </c>
      <c r="AC505" s="212" t="s">
        <v>533</v>
      </c>
      <c r="AD505" s="214">
        <v>8.9402259999999991</v>
      </c>
      <c r="AE505" s="214">
        <v>194</v>
      </c>
      <c r="AF505" s="214">
        <v>3.7100000000000001E-2</v>
      </c>
      <c r="AG505" s="214">
        <v>-99</v>
      </c>
      <c r="AH505" s="212" t="s">
        <v>224</v>
      </c>
      <c r="AI505" s="212" t="s">
        <v>449</v>
      </c>
      <c r="AJ505" s="212" t="s">
        <v>316</v>
      </c>
      <c r="AK505" s="212" t="s">
        <v>531</v>
      </c>
      <c r="AL505" s="212" t="s">
        <v>388</v>
      </c>
      <c r="AM505" s="214" t="b">
        <v>1</v>
      </c>
      <c r="AN505" s="214" t="b">
        <v>0</v>
      </c>
      <c r="AO505" s="212" t="s">
        <v>317</v>
      </c>
      <c r="AP505" s="212" t="s">
        <v>318</v>
      </c>
      <c r="AQ505" s="214">
        <v>100.20194000000001</v>
      </c>
      <c r="AR505" s="214" t="b">
        <v>0</v>
      </c>
      <c r="AS505" s="212" t="s">
        <v>534</v>
      </c>
      <c r="AU505" s="222" t="s">
        <v>819</v>
      </c>
    </row>
    <row r="506" spans="1:47" x14ac:dyDescent="0.25">
      <c r="A506" s="245">
        <f t="shared" si="70"/>
        <v>506</v>
      </c>
      <c r="B506" s="246" t="str">
        <f t="shared" si="68"/>
        <v>Oil Field - Tank</v>
      </c>
      <c r="C506" s="246" t="str">
        <f ca="1">IF(B506="","",VLOOKUP(D506,'Species Data'!B:E,4,FALSE))</f>
        <v>twometpen</v>
      </c>
      <c r="D506" s="246">
        <f t="shared" ca="1" si="71"/>
        <v>199</v>
      </c>
      <c r="E506" s="246">
        <f t="shared" ca="1" si="72"/>
        <v>0.26069999999999999</v>
      </c>
      <c r="F506" s="246" t="str">
        <f t="shared" ca="1" si="73"/>
        <v>2-methylpentane (isohexane)</v>
      </c>
      <c r="G506" s="246">
        <f t="shared" ca="1" si="74"/>
        <v>86.175359999999998</v>
      </c>
      <c r="H506" s="204">
        <f ca="1">IF(G506="","",IF(VLOOKUP(Tank!F506,'Species Data'!D:F,3,FALSE)=0,"X",IF(G506&lt;44.1,2,1)))</f>
        <v>1</v>
      </c>
      <c r="I506" s="204">
        <f t="shared" ca="1" si="75"/>
        <v>0.93120227287515311</v>
      </c>
      <c r="J506" s="247">
        <f ca="1">IF(I506="","",IF(COUNTIF($D$12:D506,D506)=1,IF(H506=1,I506*H506,IF(H506="X","X",0)),0))</f>
        <v>0</v>
      </c>
      <c r="K506" s="248">
        <f t="shared" ca="1" si="69"/>
        <v>0</v>
      </c>
      <c r="L506" s="212" t="s">
        <v>679</v>
      </c>
      <c r="M506" s="212" t="s">
        <v>448</v>
      </c>
      <c r="N506" s="212" t="s">
        <v>470</v>
      </c>
      <c r="O506" s="213">
        <v>41419</v>
      </c>
      <c r="P506" s="212" t="s">
        <v>531</v>
      </c>
      <c r="Q506" s="214">
        <v>100</v>
      </c>
      <c r="R506" s="212" t="s">
        <v>445</v>
      </c>
      <c r="S506" s="212" t="s">
        <v>532</v>
      </c>
      <c r="T506" s="212" t="s">
        <v>445</v>
      </c>
      <c r="U506" s="212" t="s">
        <v>446</v>
      </c>
      <c r="V506" s="214" t="b">
        <v>1</v>
      </c>
      <c r="W506" s="214">
        <v>1989</v>
      </c>
      <c r="X506" s="214">
        <v>5</v>
      </c>
      <c r="Y506" s="214">
        <v>2</v>
      </c>
      <c r="Z506" s="214">
        <v>4</v>
      </c>
      <c r="AA506" s="212" t="s">
        <v>447</v>
      </c>
      <c r="AB506" s="212" t="s">
        <v>531</v>
      </c>
      <c r="AC506" s="212" t="s">
        <v>533</v>
      </c>
      <c r="AD506" s="214">
        <v>8.9402259999999991</v>
      </c>
      <c r="AE506" s="214">
        <v>199</v>
      </c>
      <c r="AF506" s="214">
        <v>0.26069999999999999</v>
      </c>
      <c r="AG506" s="214">
        <v>-99</v>
      </c>
      <c r="AH506" s="212" t="s">
        <v>224</v>
      </c>
      <c r="AI506" s="212" t="s">
        <v>449</v>
      </c>
      <c r="AJ506" s="212" t="s">
        <v>319</v>
      </c>
      <c r="AK506" s="212" t="s">
        <v>531</v>
      </c>
      <c r="AL506" s="212" t="s">
        <v>389</v>
      </c>
      <c r="AM506" s="214" t="b">
        <v>1</v>
      </c>
      <c r="AN506" s="214" t="b">
        <v>0</v>
      </c>
      <c r="AO506" s="212" t="s">
        <v>320</v>
      </c>
      <c r="AP506" s="212" t="s">
        <v>321</v>
      </c>
      <c r="AQ506" s="214">
        <v>86.175359999999998</v>
      </c>
      <c r="AR506" s="214" t="b">
        <v>0</v>
      </c>
      <c r="AS506" s="212" t="s">
        <v>534</v>
      </c>
      <c r="AU506" s="222" t="s">
        <v>819</v>
      </c>
    </row>
    <row r="507" spans="1:47" x14ac:dyDescent="0.25">
      <c r="A507" s="245">
        <f t="shared" si="70"/>
        <v>507</v>
      </c>
      <c r="B507" s="246" t="str">
        <f t="shared" si="68"/>
        <v>Oil Field - Tank</v>
      </c>
      <c r="C507" s="246" t="str">
        <f ca="1">IF(B507="","",VLOOKUP(D507,'Species Data'!B:E,4,FALSE))</f>
        <v>ethylhexane</v>
      </c>
      <c r="D507" s="246">
        <f t="shared" ca="1" si="71"/>
        <v>226</v>
      </c>
      <c r="E507" s="246">
        <f t="shared" ca="1" si="72"/>
        <v>9.7000000000000003E-3</v>
      </c>
      <c r="F507" s="246" t="str">
        <f t="shared" ca="1" si="73"/>
        <v>3-ethylhexane</v>
      </c>
      <c r="G507" s="246">
        <f t="shared" ca="1" si="74"/>
        <v>114.22852</v>
      </c>
      <c r="H507" s="204" t="str">
        <f ca="1">IF(G507="","",IF(VLOOKUP(Tank!F507,'Species Data'!D:F,3,FALSE)=0,"X",IF(G507&lt;44.1,2,1)))</f>
        <v>X</v>
      </c>
      <c r="I507" s="204">
        <f t="shared" ca="1" si="75"/>
        <v>9.0107531698970997E-2</v>
      </c>
      <c r="J507" s="247">
        <f ca="1">IF(I507="","",IF(COUNTIF($D$12:D507,D507)=1,IF(H507=1,I507*H507,IF(H507="X","X",0)),0))</f>
        <v>0</v>
      </c>
      <c r="K507" s="248">
        <f t="shared" ca="1" si="69"/>
        <v>0</v>
      </c>
      <c r="L507" s="212" t="s">
        <v>679</v>
      </c>
      <c r="M507" s="212" t="s">
        <v>448</v>
      </c>
      <c r="N507" s="212" t="s">
        <v>470</v>
      </c>
      <c r="O507" s="213">
        <v>41419</v>
      </c>
      <c r="P507" s="212" t="s">
        <v>531</v>
      </c>
      <c r="Q507" s="214">
        <v>100</v>
      </c>
      <c r="R507" s="212" t="s">
        <v>445</v>
      </c>
      <c r="S507" s="212" t="s">
        <v>532</v>
      </c>
      <c r="T507" s="212" t="s">
        <v>445</v>
      </c>
      <c r="U507" s="212" t="s">
        <v>446</v>
      </c>
      <c r="V507" s="214" t="b">
        <v>1</v>
      </c>
      <c r="W507" s="214">
        <v>1989</v>
      </c>
      <c r="X507" s="214">
        <v>5</v>
      </c>
      <c r="Y507" s="214">
        <v>2</v>
      </c>
      <c r="Z507" s="214">
        <v>4</v>
      </c>
      <c r="AA507" s="212" t="s">
        <v>447</v>
      </c>
      <c r="AB507" s="212" t="s">
        <v>531</v>
      </c>
      <c r="AC507" s="212" t="s">
        <v>533</v>
      </c>
      <c r="AD507" s="214">
        <v>8.9402259999999991</v>
      </c>
      <c r="AE507" s="214">
        <v>226</v>
      </c>
      <c r="AF507" s="214">
        <v>9.7000000000000003E-3</v>
      </c>
      <c r="AG507" s="214">
        <v>-99</v>
      </c>
      <c r="AH507" s="212" t="s">
        <v>224</v>
      </c>
      <c r="AI507" s="212" t="s">
        <v>449</v>
      </c>
      <c r="AJ507" s="212" t="s">
        <v>439</v>
      </c>
      <c r="AK507" s="212" t="s">
        <v>531</v>
      </c>
      <c r="AL507" s="212" t="s">
        <v>461</v>
      </c>
      <c r="AM507" s="214" t="b">
        <v>0</v>
      </c>
      <c r="AN507" s="214" t="b">
        <v>0</v>
      </c>
      <c r="AO507" s="212" t="s">
        <v>440</v>
      </c>
      <c r="AP507" s="212" t="s">
        <v>531</v>
      </c>
      <c r="AQ507" s="214">
        <v>114.22852</v>
      </c>
      <c r="AR507" s="214" t="b">
        <v>0</v>
      </c>
      <c r="AS507" s="212" t="s">
        <v>534</v>
      </c>
      <c r="AU507" s="222" t="s">
        <v>819</v>
      </c>
    </row>
    <row r="508" spans="1:47" x14ac:dyDescent="0.25">
      <c r="A508" s="245">
        <f t="shared" si="70"/>
        <v>508</v>
      </c>
      <c r="B508" s="246" t="str">
        <f t="shared" si="68"/>
        <v>Oil Field - Tank</v>
      </c>
      <c r="C508" s="246" t="str">
        <f ca="1">IF(B508="","",VLOOKUP(D508,'Species Data'!B:E,4,FALSE))</f>
        <v>threemethex</v>
      </c>
      <c r="D508" s="246">
        <f t="shared" ca="1" si="71"/>
        <v>245</v>
      </c>
      <c r="E508" s="246">
        <f t="shared" ca="1" si="72"/>
        <v>6.6100000000000006E-2</v>
      </c>
      <c r="F508" s="246" t="str">
        <f t="shared" ca="1" si="73"/>
        <v>3-methylhexane</v>
      </c>
      <c r="G508" s="246">
        <f t="shared" ca="1" si="74"/>
        <v>100.20194000000001</v>
      </c>
      <c r="H508" s="204">
        <f ca="1">IF(G508="","",IF(VLOOKUP(Tank!F508,'Species Data'!D:F,3,FALSE)=0,"X",IF(G508&lt;44.1,2,1)))</f>
        <v>1</v>
      </c>
      <c r="I508" s="204">
        <f t="shared" ca="1" si="75"/>
        <v>0.33724323753508045</v>
      </c>
      <c r="J508" s="247">
        <f ca="1">IF(I508="","",IF(COUNTIF($D$12:D508,D508)=1,IF(H508=1,I508*H508,IF(H508="X","X",0)),0))</f>
        <v>0</v>
      </c>
      <c r="K508" s="248">
        <f t="shared" ca="1" si="69"/>
        <v>0</v>
      </c>
      <c r="L508" s="212" t="s">
        <v>679</v>
      </c>
      <c r="M508" s="212" t="s">
        <v>448</v>
      </c>
      <c r="N508" s="212" t="s">
        <v>470</v>
      </c>
      <c r="O508" s="213">
        <v>41419</v>
      </c>
      <c r="P508" s="212" t="s">
        <v>531</v>
      </c>
      <c r="Q508" s="214">
        <v>100</v>
      </c>
      <c r="R508" s="212" t="s">
        <v>445</v>
      </c>
      <c r="S508" s="212" t="s">
        <v>532</v>
      </c>
      <c r="T508" s="212" t="s">
        <v>445</v>
      </c>
      <c r="U508" s="212" t="s">
        <v>446</v>
      </c>
      <c r="V508" s="214" t="b">
        <v>1</v>
      </c>
      <c r="W508" s="214">
        <v>1989</v>
      </c>
      <c r="X508" s="214">
        <v>5</v>
      </c>
      <c r="Y508" s="214">
        <v>2</v>
      </c>
      <c r="Z508" s="214">
        <v>4</v>
      </c>
      <c r="AA508" s="212" t="s">
        <v>447</v>
      </c>
      <c r="AB508" s="212" t="s">
        <v>531</v>
      </c>
      <c r="AC508" s="212" t="s">
        <v>533</v>
      </c>
      <c r="AD508" s="214">
        <v>8.9402259999999991</v>
      </c>
      <c r="AE508" s="214">
        <v>245</v>
      </c>
      <c r="AF508" s="214">
        <v>6.6100000000000006E-2</v>
      </c>
      <c r="AG508" s="214">
        <v>-99</v>
      </c>
      <c r="AH508" s="212" t="s">
        <v>224</v>
      </c>
      <c r="AI508" s="212" t="s">
        <v>449</v>
      </c>
      <c r="AJ508" s="212" t="s">
        <v>325</v>
      </c>
      <c r="AK508" s="212" t="s">
        <v>531</v>
      </c>
      <c r="AL508" s="212" t="s">
        <v>390</v>
      </c>
      <c r="AM508" s="214" t="b">
        <v>1</v>
      </c>
      <c r="AN508" s="214" t="b">
        <v>0</v>
      </c>
      <c r="AO508" s="212" t="s">
        <v>326</v>
      </c>
      <c r="AP508" s="212" t="s">
        <v>327</v>
      </c>
      <c r="AQ508" s="214">
        <v>100.20194000000001</v>
      </c>
      <c r="AR508" s="214" t="b">
        <v>0</v>
      </c>
      <c r="AS508" s="212" t="s">
        <v>534</v>
      </c>
      <c r="AU508" s="222" t="s">
        <v>819</v>
      </c>
    </row>
    <row r="509" spans="1:47" x14ac:dyDescent="0.25">
      <c r="A509" s="245">
        <f t="shared" si="70"/>
        <v>509</v>
      </c>
      <c r="B509" s="246" t="str">
        <f t="shared" si="68"/>
        <v>Oil Field - Tank</v>
      </c>
      <c r="C509" s="246" t="str">
        <f ca="1">IF(B509="","",VLOOKUP(D509,'Species Data'!B:E,4,FALSE))</f>
        <v>threemetpen</v>
      </c>
      <c r="D509" s="246">
        <f t="shared" ca="1" si="71"/>
        <v>248</v>
      </c>
      <c r="E509" s="246">
        <f t="shared" ca="1" si="72"/>
        <v>0.20660000000000001</v>
      </c>
      <c r="F509" s="246" t="str">
        <f t="shared" ca="1" si="73"/>
        <v>3-methylpentane</v>
      </c>
      <c r="G509" s="246">
        <f t="shared" ca="1" si="74"/>
        <v>86.175359999999998</v>
      </c>
      <c r="H509" s="204">
        <f ca="1">IF(G509="","",IF(VLOOKUP(Tank!F509,'Species Data'!D:F,3,FALSE)=0,"X",IF(G509&lt;44.1,2,1)))</f>
        <v>1</v>
      </c>
      <c r="I509" s="204">
        <f t="shared" ca="1" si="75"/>
        <v>0.72479362468546382</v>
      </c>
      <c r="J509" s="247">
        <f ca="1">IF(I509="","",IF(COUNTIF($D$12:D509,D509)=1,IF(H509=1,I509*H509,IF(H509="X","X",0)),0))</f>
        <v>0</v>
      </c>
      <c r="K509" s="248">
        <f t="shared" ca="1" si="69"/>
        <v>0</v>
      </c>
      <c r="L509" s="212" t="s">
        <v>679</v>
      </c>
      <c r="M509" s="212" t="s">
        <v>448</v>
      </c>
      <c r="N509" s="212" t="s">
        <v>470</v>
      </c>
      <c r="O509" s="213">
        <v>41419</v>
      </c>
      <c r="P509" s="212" t="s">
        <v>531</v>
      </c>
      <c r="Q509" s="214">
        <v>100</v>
      </c>
      <c r="R509" s="212" t="s">
        <v>445</v>
      </c>
      <c r="S509" s="212" t="s">
        <v>532</v>
      </c>
      <c r="T509" s="212" t="s">
        <v>445</v>
      </c>
      <c r="U509" s="212" t="s">
        <v>446</v>
      </c>
      <c r="V509" s="214" t="b">
        <v>1</v>
      </c>
      <c r="W509" s="214">
        <v>1989</v>
      </c>
      <c r="X509" s="214">
        <v>5</v>
      </c>
      <c r="Y509" s="214">
        <v>2</v>
      </c>
      <c r="Z509" s="214">
        <v>4</v>
      </c>
      <c r="AA509" s="212" t="s">
        <v>447</v>
      </c>
      <c r="AB509" s="212" t="s">
        <v>531</v>
      </c>
      <c r="AC509" s="212" t="s">
        <v>533</v>
      </c>
      <c r="AD509" s="214">
        <v>8.9402259999999991</v>
      </c>
      <c r="AE509" s="214">
        <v>248</v>
      </c>
      <c r="AF509" s="214">
        <v>0.20660000000000001</v>
      </c>
      <c r="AG509" s="214">
        <v>-99</v>
      </c>
      <c r="AH509" s="212" t="s">
        <v>224</v>
      </c>
      <c r="AI509" s="212" t="s">
        <v>449</v>
      </c>
      <c r="AJ509" s="212" t="s">
        <v>328</v>
      </c>
      <c r="AK509" s="212" t="s">
        <v>531</v>
      </c>
      <c r="AL509" s="212" t="s">
        <v>391</v>
      </c>
      <c r="AM509" s="214" t="b">
        <v>1</v>
      </c>
      <c r="AN509" s="214" t="b">
        <v>0</v>
      </c>
      <c r="AO509" s="212" t="s">
        <v>329</v>
      </c>
      <c r="AP509" s="212" t="s">
        <v>330</v>
      </c>
      <c r="AQ509" s="214">
        <v>86.175359999999998</v>
      </c>
      <c r="AR509" s="214" t="b">
        <v>0</v>
      </c>
      <c r="AS509" s="212" t="s">
        <v>534</v>
      </c>
      <c r="AU509" s="222" t="s">
        <v>819</v>
      </c>
    </row>
    <row r="510" spans="1:47" x14ac:dyDescent="0.25">
      <c r="A510" s="245">
        <f t="shared" si="70"/>
        <v>510</v>
      </c>
      <c r="B510" s="246" t="str">
        <f t="shared" si="68"/>
        <v>Oil Field - Tank</v>
      </c>
      <c r="C510" s="246" t="str">
        <f ca="1">IF(B510="","",VLOOKUP(D510,'Species Data'!B:E,4,FALSE))</f>
        <v>benzene</v>
      </c>
      <c r="D510" s="246">
        <f t="shared" ca="1" si="71"/>
        <v>302</v>
      </c>
      <c r="E510" s="246">
        <f t="shared" ca="1" si="72"/>
        <v>5.1999999999999998E-3</v>
      </c>
      <c r="F510" s="246" t="str">
        <f t="shared" ca="1" si="73"/>
        <v>Benzene</v>
      </c>
      <c r="G510" s="246">
        <f t="shared" ca="1" si="74"/>
        <v>78.111840000000001</v>
      </c>
      <c r="H510" s="204">
        <f ca="1">IF(G510="","",IF(VLOOKUP(Tank!F510,'Species Data'!D:F,3,FALSE)=0,"X",IF(G510&lt;44.1,2,1)))</f>
        <v>1</v>
      </c>
      <c r="I510" s="204">
        <f t="shared" ca="1" si="75"/>
        <v>0.24518902048126334</v>
      </c>
      <c r="J510" s="247">
        <f ca="1">IF(I510="","",IF(COUNTIF($D$12:D510,D510)=1,IF(H510=1,I510*H510,IF(H510="X","X",0)),0))</f>
        <v>0</v>
      </c>
      <c r="K510" s="248">
        <f t="shared" ca="1" si="69"/>
        <v>0</v>
      </c>
      <c r="L510" s="212" t="s">
        <v>679</v>
      </c>
      <c r="M510" s="212" t="s">
        <v>448</v>
      </c>
      <c r="N510" s="212" t="s">
        <v>470</v>
      </c>
      <c r="O510" s="213">
        <v>41419</v>
      </c>
      <c r="P510" s="212" t="s">
        <v>531</v>
      </c>
      <c r="Q510" s="214">
        <v>100</v>
      </c>
      <c r="R510" s="212" t="s">
        <v>445</v>
      </c>
      <c r="S510" s="212" t="s">
        <v>532</v>
      </c>
      <c r="T510" s="212" t="s">
        <v>445</v>
      </c>
      <c r="U510" s="212" t="s">
        <v>446</v>
      </c>
      <c r="V510" s="214" t="b">
        <v>1</v>
      </c>
      <c r="W510" s="214">
        <v>1989</v>
      </c>
      <c r="X510" s="214">
        <v>5</v>
      </c>
      <c r="Y510" s="214">
        <v>2</v>
      </c>
      <c r="Z510" s="214">
        <v>4</v>
      </c>
      <c r="AA510" s="212" t="s">
        <v>447</v>
      </c>
      <c r="AB510" s="212" t="s">
        <v>531</v>
      </c>
      <c r="AC510" s="212" t="s">
        <v>533</v>
      </c>
      <c r="AD510" s="214">
        <v>8.9402259999999991</v>
      </c>
      <c r="AE510" s="214">
        <v>302</v>
      </c>
      <c r="AF510" s="214">
        <v>5.1999999999999998E-3</v>
      </c>
      <c r="AG510" s="214">
        <v>-99</v>
      </c>
      <c r="AH510" s="212" t="s">
        <v>224</v>
      </c>
      <c r="AI510" s="212" t="s">
        <v>449</v>
      </c>
      <c r="AJ510" s="212" t="s">
        <v>262</v>
      </c>
      <c r="AK510" s="212" t="s">
        <v>531</v>
      </c>
      <c r="AL510" s="212" t="s">
        <v>373</v>
      </c>
      <c r="AM510" s="214" t="b">
        <v>1</v>
      </c>
      <c r="AN510" s="214" t="b">
        <v>1</v>
      </c>
      <c r="AO510" s="212" t="s">
        <v>263</v>
      </c>
      <c r="AP510" s="212" t="s">
        <v>264</v>
      </c>
      <c r="AQ510" s="214">
        <v>78.111840000000001</v>
      </c>
      <c r="AR510" s="214" t="b">
        <v>0</v>
      </c>
      <c r="AS510" s="212" t="s">
        <v>534</v>
      </c>
      <c r="AU510" s="222" t="s">
        <v>819</v>
      </c>
    </row>
    <row r="511" spans="1:47" x14ac:dyDescent="0.25">
      <c r="A511" s="245">
        <f t="shared" si="70"/>
        <v>511</v>
      </c>
      <c r="B511" s="246" t="str">
        <f t="shared" si="68"/>
        <v>Oil Field - Tank</v>
      </c>
      <c r="C511" s="246" t="str">
        <f ca="1">IF(B511="","",VLOOKUP(D511,'Species Data'!B:E,4,FALSE))</f>
        <v>cyclohexane</v>
      </c>
      <c r="D511" s="246">
        <f t="shared" ca="1" si="71"/>
        <v>385</v>
      </c>
      <c r="E511" s="246">
        <f t="shared" ca="1" si="72"/>
        <v>7.6E-3</v>
      </c>
      <c r="F511" s="246" t="str">
        <f t="shared" ca="1" si="73"/>
        <v>Cyclohexane</v>
      </c>
      <c r="G511" s="246">
        <f t="shared" ca="1" si="74"/>
        <v>84.159480000000002</v>
      </c>
      <c r="H511" s="204">
        <f ca="1">IF(G511="","",IF(VLOOKUP(Tank!F511,'Species Data'!D:F,3,FALSE)=0,"X",IF(G511&lt;44.1,2,1)))</f>
        <v>1</v>
      </c>
      <c r="I511" s="204">
        <f t="shared" ca="1" si="75"/>
        <v>1.8406843372363042E-2</v>
      </c>
      <c r="J511" s="247">
        <f ca="1">IF(I511="","",IF(COUNTIF($D$12:D511,D511)=1,IF(H511=1,I511*H511,IF(H511="X","X",0)),0))</f>
        <v>0</v>
      </c>
      <c r="K511" s="248">
        <f t="shared" ca="1" si="69"/>
        <v>0</v>
      </c>
      <c r="L511" s="212" t="s">
        <v>679</v>
      </c>
      <c r="M511" s="212" t="s">
        <v>448</v>
      </c>
      <c r="N511" s="212" t="s">
        <v>470</v>
      </c>
      <c r="O511" s="213">
        <v>41419</v>
      </c>
      <c r="P511" s="212" t="s">
        <v>531</v>
      </c>
      <c r="Q511" s="214">
        <v>100</v>
      </c>
      <c r="R511" s="212" t="s">
        <v>445</v>
      </c>
      <c r="S511" s="212" t="s">
        <v>532</v>
      </c>
      <c r="T511" s="212" t="s">
        <v>445</v>
      </c>
      <c r="U511" s="212" t="s">
        <v>446</v>
      </c>
      <c r="V511" s="214" t="b">
        <v>1</v>
      </c>
      <c r="W511" s="214">
        <v>1989</v>
      </c>
      <c r="X511" s="214">
        <v>5</v>
      </c>
      <c r="Y511" s="214">
        <v>2</v>
      </c>
      <c r="Z511" s="214">
        <v>4</v>
      </c>
      <c r="AA511" s="212" t="s">
        <v>447</v>
      </c>
      <c r="AB511" s="212" t="s">
        <v>531</v>
      </c>
      <c r="AC511" s="212" t="s">
        <v>533</v>
      </c>
      <c r="AD511" s="214">
        <v>8.9402259999999991</v>
      </c>
      <c r="AE511" s="214">
        <v>385</v>
      </c>
      <c r="AF511" s="214">
        <v>7.6E-3</v>
      </c>
      <c r="AG511" s="214">
        <v>-99</v>
      </c>
      <c r="AH511" s="212" t="s">
        <v>224</v>
      </c>
      <c r="AI511" s="212" t="s">
        <v>449</v>
      </c>
      <c r="AJ511" s="212" t="s">
        <v>331</v>
      </c>
      <c r="AK511" s="212" t="s">
        <v>531</v>
      </c>
      <c r="AL511" s="212" t="s">
        <v>392</v>
      </c>
      <c r="AM511" s="214" t="b">
        <v>1</v>
      </c>
      <c r="AN511" s="214" t="b">
        <v>0</v>
      </c>
      <c r="AO511" s="212" t="s">
        <v>332</v>
      </c>
      <c r="AP511" s="212" t="s">
        <v>333</v>
      </c>
      <c r="AQ511" s="214">
        <v>84.159480000000002</v>
      </c>
      <c r="AR511" s="214" t="b">
        <v>0</v>
      </c>
      <c r="AS511" s="212" t="s">
        <v>534</v>
      </c>
      <c r="AU511" s="222" t="s">
        <v>819</v>
      </c>
    </row>
    <row r="512" spans="1:47" x14ac:dyDescent="0.25">
      <c r="A512" s="245">
        <f t="shared" si="70"/>
        <v>512</v>
      </c>
      <c r="B512" s="246" t="str">
        <f t="shared" si="68"/>
        <v>Oil Field - Tank</v>
      </c>
      <c r="C512" s="246" t="str">
        <f ca="1">IF(B512="","",VLOOKUP(D512,'Species Data'!B:E,4,FALSE))</f>
        <v>ethane</v>
      </c>
      <c r="D512" s="246">
        <f t="shared" ca="1" si="71"/>
        <v>438</v>
      </c>
      <c r="E512" s="246">
        <f t="shared" ca="1" si="72"/>
        <v>2.5933000000000002</v>
      </c>
      <c r="F512" s="246" t="str">
        <f t="shared" ca="1" si="73"/>
        <v>Ethane</v>
      </c>
      <c r="G512" s="246">
        <f t="shared" ca="1" si="74"/>
        <v>30.069040000000005</v>
      </c>
      <c r="H512" s="204">
        <f ca="1">IF(G512="","",IF(VLOOKUP(Tank!F512,'Species Data'!D:F,3,FALSE)=0,"X",IF(G512&lt;44.1,2,1)))</f>
        <v>2</v>
      </c>
      <c r="I512" s="204">
        <f t="shared" ca="1" si="75"/>
        <v>5.717421553913586</v>
      </c>
      <c r="J512" s="247">
        <f ca="1">IF(I512="","",IF(COUNTIF($D$12:D512,D512)=1,IF(H512=1,I512*H512,IF(H512="X","X",0)),0))</f>
        <v>0</v>
      </c>
      <c r="K512" s="248">
        <f t="shared" ca="1" si="69"/>
        <v>0</v>
      </c>
      <c r="L512" s="212" t="s">
        <v>679</v>
      </c>
      <c r="M512" s="212" t="s">
        <v>448</v>
      </c>
      <c r="N512" s="212" t="s">
        <v>470</v>
      </c>
      <c r="O512" s="213">
        <v>41419</v>
      </c>
      <c r="P512" s="212" t="s">
        <v>531</v>
      </c>
      <c r="Q512" s="214">
        <v>100</v>
      </c>
      <c r="R512" s="212" t="s">
        <v>445</v>
      </c>
      <c r="S512" s="212" t="s">
        <v>532</v>
      </c>
      <c r="T512" s="212" t="s">
        <v>445</v>
      </c>
      <c r="U512" s="212" t="s">
        <v>446</v>
      </c>
      <c r="V512" s="214" t="b">
        <v>1</v>
      </c>
      <c r="W512" s="214">
        <v>1989</v>
      </c>
      <c r="X512" s="214">
        <v>5</v>
      </c>
      <c r="Y512" s="214">
        <v>2</v>
      </c>
      <c r="Z512" s="214">
        <v>4</v>
      </c>
      <c r="AA512" s="212" t="s">
        <v>447</v>
      </c>
      <c r="AB512" s="212" t="s">
        <v>531</v>
      </c>
      <c r="AC512" s="212" t="s">
        <v>533</v>
      </c>
      <c r="AD512" s="214">
        <v>8.9402259999999991</v>
      </c>
      <c r="AE512" s="214">
        <v>438</v>
      </c>
      <c r="AF512" s="214">
        <v>2.5933000000000002</v>
      </c>
      <c r="AG512" s="214">
        <v>-99</v>
      </c>
      <c r="AH512" s="212" t="s">
        <v>224</v>
      </c>
      <c r="AI512" s="212" t="s">
        <v>449</v>
      </c>
      <c r="AJ512" s="212" t="s">
        <v>265</v>
      </c>
      <c r="AK512" s="212" t="s">
        <v>531</v>
      </c>
      <c r="AL512" s="212" t="s">
        <v>374</v>
      </c>
      <c r="AM512" s="214" t="b">
        <v>1</v>
      </c>
      <c r="AN512" s="214" t="b">
        <v>0</v>
      </c>
      <c r="AO512" s="212" t="s">
        <v>266</v>
      </c>
      <c r="AP512" s="212" t="s">
        <v>267</v>
      </c>
      <c r="AQ512" s="214">
        <v>30.069040000000005</v>
      </c>
      <c r="AR512" s="214" t="b">
        <v>1</v>
      </c>
      <c r="AS512" s="212" t="s">
        <v>534</v>
      </c>
      <c r="AU512" s="222" t="s">
        <v>819</v>
      </c>
    </row>
    <row r="513" spans="1:47" x14ac:dyDescent="0.25">
      <c r="A513" s="245">
        <f t="shared" si="70"/>
        <v>513</v>
      </c>
      <c r="B513" s="246" t="str">
        <f t="shared" si="68"/>
        <v>Oil Field - Tank</v>
      </c>
      <c r="C513" s="246" t="str">
        <f ca="1">IF(B513="","",VLOOKUP(D513,'Species Data'!B:E,4,FALSE))</f>
        <v>ethyl_benz</v>
      </c>
      <c r="D513" s="246">
        <f t="shared" ca="1" si="71"/>
        <v>449</v>
      </c>
      <c r="E513" s="246">
        <f t="shared" ca="1" si="72"/>
        <v>4.2900000000000001E-2</v>
      </c>
      <c r="F513" s="246" t="str">
        <f t="shared" ca="1" si="73"/>
        <v>Ethylbenzene</v>
      </c>
      <c r="G513" s="246">
        <f t="shared" ca="1" si="74"/>
        <v>106.16500000000001</v>
      </c>
      <c r="H513" s="204">
        <f ca="1">IF(G513="","",IF(VLOOKUP(Tank!F513,'Species Data'!D:F,3,FALSE)=0,"X",IF(G513&lt;44.1,2,1)))</f>
        <v>1</v>
      </c>
      <c r="I513" s="204">
        <f t="shared" ca="1" si="75"/>
        <v>0.12062115796311647</v>
      </c>
      <c r="J513" s="247">
        <f ca="1">IF(I513="","",IF(COUNTIF($D$12:D513,D513)=1,IF(H513=1,I513*H513,IF(H513="X","X",0)),0))</f>
        <v>0</v>
      </c>
      <c r="K513" s="248">
        <f t="shared" ca="1" si="69"/>
        <v>0</v>
      </c>
      <c r="L513" s="212" t="s">
        <v>679</v>
      </c>
      <c r="M513" s="212" t="s">
        <v>448</v>
      </c>
      <c r="N513" s="212" t="s">
        <v>470</v>
      </c>
      <c r="O513" s="213">
        <v>41419</v>
      </c>
      <c r="P513" s="212" t="s">
        <v>531</v>
      </c>
      <c r="Q513" s="214">
        <v>100</v>
      </c>
      <c r="R513" s="212" t="s">
        <v>445</v>
      </c>
      <c r="S513" s="212" t="s">
        <v>532</v>
      </c>
      <c r="T513" s="212" t="s">
        <v>445</v>
      </c>
      <c r="U513" s="212" t="s">
        <v>446</v>
      </c>
      <c r="V513" s="214" t="b">
        <v>1</v>
      </c>
      <c r="W513" s="214">
        <v>1989</v>
      </c>
      <c r="X513" s="214">
        <v>5</v>
      </c>
      <c r="Y513" s="214">
        <v>2</v>
      </c>
      <c r="Z513" s="214">
        <v>4</v>
      </c>
      <c r="AA513" s="212" t="s">
        <v>447</v>
      </c>
      <c r="AB513" s="212" t="s">
        <v>531</v>
      </c>
      <c r="AC513" s="212" t="s">
        <v>533</v>
      </c>
      <c r="AD513" s="214">
        <v>8.9402259999999991</v>
      </c>
      <c r="AE513" s="214">
        <v>449</v>
      </c>
      <c r="AF513" s="214">
        <v>4.2900000000000001E-2</v>
      </c>
      <c r="AG513" s="214">
        <v>-99</v>
      </c>
      <c r="AH513" s="212" t="s">
        <v>224</v>
      </c>
      <c r="AI513" s="212" t="s">
        <v>449</v>
      </c>
      <c r="AJ513" s="212" t="s">
        <v>337</v>
      </c>
      <c r="AK513" s="212" t="s">
        <v>531</v>
      </c>
      <c r="AL513" s="212" t="s">
        <v>394</v>
      </c>
      <c r="AM513" s="214" t="b">
        <v>1</v>
      </c>
      <c r="AN513" s="214" t="b">
        <v>1</v>
      </c>
      <c r="AO513" s="212" t="s">
        <v>338</v>
      </c>
      <c r="AP513" s="212" t="s">
        <v>339</v>
      </c>
      <c r="AQ513" s="214">
        <v>106.16500000000001</v>
      </c>
      <c r="AR513" s="214" t="b">
        <v>0</v>
      </c>
      <c r="AS513" s="212" t="s">
        <v>534</v>
      </c>
      <c r="AU513" s="222" t="s">
        <v>819</v>
      </c>
    </row>
    <row r="514" spans="1:47" x14ac:dyDescent="0.25">
      <c r="A514" s="245">
        <f t="shared" si="70"/>
        <v>514</v>
      </c>
      <c r="B514" s="246" t="str">
        <f t="shared" si="68"/>
        <v>Oil Field - Tank</v>
      </c>
      <c r="C514" s="246" t="str">
        <f ca="1">IF(B514="","",VLOOKUP(D514,'Species Data'!B:E,4,FALSE))</f>
        <v>isobut</v>
      </c>
      <c r="D514" s="246">
        <f t="shared" ca="1" si="71"/>
        <v>491</v>
      </c>
      <c r="E514" s="246">
        <f t="shared" ca="1" si="72"/>
        <v>1.6328</v>
      </c>
      <c r="F514" s="246" t="str">
        <f t="shared" ca="1" si="73"/>
        <v>Isobutane</v>
      </c>
      <c r="G514" s="246">
        <f t="shared" ca="1" si="74"/>
        <v>58.122199999999992</v>
      </c>
      <c r="H514" s="204">
        <f ca="1">IF(G514="","",IF(VLOOKUP(Tank!F514,'Species Data'!D:F,3,FALSE)=0,"X",IF(G514&lt;44.1,2,1)))</f>
        <v>1</v>
      </c>
      <c r="I514" s="204">
        <f t="shared" ca="1" si="75"/>
        <v>3.2562712602040991</v>
      </c>
      <c r="J514" s="247">
        <f ca="1">IF(I514="","",IF(COUNTIF($D$12:D514,D514)=1,IF(H514=1,I514*H514,IF(H514="X","X",0)),0))</f>
        <v>0</v>
      </c>
      <c r="K514" s="248">
        <f t="shared" ca="1" si="69"/>
        <v>0</v>
      </c>
      <c r="L514" s="212" t="s">
        <v>679</v>
      </c>
      <c r="M514" s="212" t="s">
        <v>448</v>
      </c>
      <c r="N514" s="212" t="s">
        <v>470</v>
      </c>
      <c r="O514" s="213">
        <v>41419</v>
      </c>
      <c r="P514" s="212" t="s">
        <v>531</v>
      </c>
      <c r="Q514" s="214">
        <v>100</v>
      </c>
      <c r="R514" s="212" t="s">
        <v>445</v>
      </c>
      <c r="S514" s="212" t="s">
        <v>532</v>
      </c>
      <c r="T514" s="212" t="s">
        <v>445</v>
      </c>
      <c r="U514" s="212" t="s">
        <v>446</v>
      </c>
      <c r="V514" s="214" t="b">
        <v>1</v>
      </c>
      <c r="W514" s="214">
        <v>1989</v>
      </c>
      <c r="X514" s="214">
        <v>5</v>
      </c>
      <c r="Y514" s="214">
        <v>2</v>
      </c>
      <c r="Z514" s="214">
        <v>4</v>
      </c>
      <c r="AA514" s="212" t="s">
        <v>447</v>
      </c>
      <c r="AB514" s="212" t="s">
        <v>531</v>
      </c>
      <c r="AC514" s="212" t="s">
        <v>533</v>
      </c>
      <c r="AD514" s="214">
        <v>8.9402259999999991</v>
      </c>
      <c r="AE514" s="214">
        <v>491</v>
      </c>
      <c r="AF514" s="214">
        <v>1.6328</v>
      </c>
      <c r="AG514" s="214">
        <v>-99</v>
      </c>
      <c r="AH514" s="212" t="s">
        <v>224</v>
      </c>
      <c r="AI514" s="212" t="s">
        <v>449</v>
      </c>
      <c r="AJ514" s="212" t="s">
        <v>268</v>
      </c>
      <c r="AK514" s="212" t="s">
        <v>531</v>
      </c>
      <c r="AL514" s="212" t="s">
        <v>375</v>
      </c>
      <c r="AM514" s="214" t="b">
        <v>1</v>
      </c>
      <c r="AN514" s="214" t="b">
        <v>0</v>
      </c>
      <c r="AO514" s="212" t="s">
        <v>269</v>
      </c>
      <c r="AP514" s="212" t="s">
        <v>270</v>
      </c>
      <c r="AQ514" s="214">
        <v>58.122199999999992</v>
      </c>
      <c r="AR514" s="214" t="b">
        <v>0</v>
      </c>
      <c r="AS514" s="212" t="s">
        <v>534</v>
      </c>
      <c r="AU514" s="222" t="s">
        <v>819</v>
      </c>
    </row>
    <row r="515" spans="1:47" x14ac:dyDescent="0.25">
      <c r="A515" s="245">
        <f t="shared" si="70"/>
        <v>515</v>
      </c>
      <c r="B515" s="246" t="str">
        <f t="shared" si="68"/>
        <v>Oil Field - Tank</v>
      </c>
      <c r="C515" s="246" t="str">
        <f ca="1">IF(B515="","",VLOOKUP(D515,'Species Data'!B:E,4,FALSE))</f>
        <v>isopentane</v>
      </c>
      <c r="D515" s="246">
        <f t="shared" ca="1" si="71"/>
        <v>508</v>
      </c>
      <c r="E515" s="246">
        <f t="shared" ca="1" si="72"/>
        <v>1.1617999999999999</v>
      </c>
      <c r="F515" s="246" t="str">
        <f t="shared" ca="1" si="73"/>
        <v>Isopentane (2-Methylbutane)</v>
      </c>
      <c r="G515" s="246">
        <f t="shared" ca="1" si="74"/>
        <v>72.148780000000002</v>
      </c>
      <c r="H515" s="204">
        <f ca="1">IF(G515="","",IF(VLOOKUP(Tank!F515,'Species Data'!D:F,3,FALSE)=0,"X",IF(G515&lt;44.1,2,1)))</f>
        <v>1</v>
      </c>
      <c r="I515" s="204">
        <f t="shared" ca="1" si="75"/>
        <v>3.397999287459827</v>
      </c>
      <c r="J515" s="247">
        <f ca="1">IF(I515="","",IF(COUNTIF($D$12:D515,D515)=1,IF(H515=1,I515*H515,IF(H515="X","X",0)),0))</f>
        <v>0</v>
      </c>
      <c r="K515" s="248">
        <f t="shared" ca="1" si="69"/>
        <v>0</v>
      </c>
      <c r="L515" s="212" t="s">
        <v>679</v>
      </c>
      <c r="M515" s="212" t="s">
        <v>448</v>
      </c>
      <c r="N515" s="212" t="s">
        <v>470</v>
      </c>
      <c r="O515" s="213">
        <v>41419</v>
      </c>
      <c r="P515" s="212" t="s">
        <v>531</v>
      </c>
      <c r="Q515" s="214">
        <v>100</v>
      </c>
      <c r="R515" s="212" t="s">
        <v>445</v>
      </c>
      <c r="S515" s="212" t="s">
        <v>532</v>
      </c>
      <c r="T515" s="212" t="s">
        <v>445</v>
      </c>
      <c r="U515" s="212" t="s">
        <v>446</v>
      </c>
      <c r="V515" s="214" t="b">
        <v>1</v>
      </c>
      <c r="W515" s="214">
        <v>1989</v>
      </c>
      <c r="X515" s="214">
        <v>5</v>
      </c>
      <c r="Y515" s="214">
        <v>2</v>
      </c>
      <c r="Z515" s="214">
        <v>4</v>
      </c>
      <c r="AA515" s="212" t="s">
        <v>447</v>
      </c>
      <c r="AB515" s="212" t="s">
        <v>531</v>
      </c>
      <c r="AC515" s="212" t="s">
        <v>533</v>
      </c>
      <c r="AD515" s="214">
        <v>8.9402259999999991</v>
      </c>
      <c r="AE515" s="214">
        <v>508</v>
      </c>
      <c r="AF515" s="214">
        <v>1.1617999999999999</v>
      </c>
      <c r="AG515" s="214">
        <v>-99</v>
      </c>
      <c r="AH515" s="212" t="s">
        <v>224</v>
      </c>
      <c r="AI515" s="212" t="s">
        <v>449</v>
      </c>
      <c r="AJ515" s="212" t="s">
        <v>342</v>
      </c>
      <c r="AK515" s="212" t="s">
        <v>531</v>
      </c>
      <c r="AL515" s="212" t="s">
        <v>395</v>
      </c>
      <c r="AM515" s="214" t="b">
        <v>1</v>
      </c>
      <c r="AN515" s="214" t="b">
        <v>0</v>
      </c>
      <c r="AO515" s="212" t="s">
        <v>343</v>
      </c>
      <c r="AP515" s="212" t="s">
        <v>344</v>
      </c>
      <c r="AQ515" s="214">
        <v>72.148780000000002</v>
      </c>
      <c r="AR515" s="214" t="b">
        <v>0</v>
      </c>
      <c r="AS515" s="212" t="s">
        <v>534</v>
      </c>
      <c r="AU515" s="222" t="s">
        <v>819</v>
      </c>
    </row>
    <row r="516" spans="1:47" x14ac:dyDescent="0.25">
      <c r="A516" s="245">
        <f t="shared" si="70"/>
        <v>516</v>
      </c>
      <c r="B516" s="246" t="str">
        <f t="shared" si="68"/>
        <v>Oil Field - Tank</v>
      </c>
      <c r="C516" s="246" t="str">
        <f ca="1">IF(B516="","",VLOOKUP(D516,'Species Data'!B:E,4,FALSE))</f>
        <v>M_xylene</v>
      </c>
      <c r="D516" s="246">
        <f t="shared" ca="1" si="71"/>
        <v>524</v>
      </c>
      <c r="E516" s="246">
        <f t="shared" ca="1" si="72"/>
        <v>1.37E-2</v>
      </c>
      <c r="F516" s="246" t="str">
        <f t="shared" ca="1" si="73"/>
        <v>M-xylene</v>
      </c>
      <c r="G516" s="246">
        <f t="shared" ca="1" si="74"/>
        <v>106.16500000000001</v>
      </c>
      <c r="H516" s="204">
        <f ca="1">IF(G516="","",IF(VLOOKUP(Tank!F516,'Species Data'!D:F,3,FALSE)=0,"X",IF(G516&lt;44.1,2,1)))</f>
        <v>1</v>
      </c>
      <c r="I516" s="204">
        <f t="shared" ca="1" si="75"/>
        <v>7.6727403249737883E-2</v>
      </c>
      <c r="J516" s="247">
        <f ca="1">IF(I516="","",IF(COUNTIF($D$12:D516,D516)=1,IF(H516=1,I516*H516,IF(H516="X","X",0)),0))</f>
        <v>0</v>
      </c>
      <c r="K516" s="248">
        <f t="shared" ca="1" si="69"/>
        <v>0</v>
      </c>
      <c r="L516" s="212" t="s">
        <v>679</v>
      </c>
      <c r="M516" s="212" t="s">
        <v>448</v>
      </c>
      <c r="N516" s="212" t="s">
        <v>470</v>
      </c>
      <c r="O516" s="213">
        <v>41419</v>
      </c>
      <c r="P516" s="212" t="s">
        <v>531</v>
      </c>
      <c r="Q516" s="214">
        <v>100</v>
      </c>
      <c r="R516" s="212" t="s">
        <v>445</v>
      </c>
      <c r="S516" s="212" t="s">
        <v>532</v>
      </c>
      <c r="T516" s="212" t="s">
        <v>445</v>
      </c>
      <c r="U516" s="212" t="s">
        <v>446</v>
      </c>
      <c r="V516" s="214" t="b">
        <v>1</v>
      </c>
      <c r="W516" s="214">
        <v>1989</v>
      </c>
      <c r="X516" s="214">
        <v>5</v>
      </c>
      <c r="Y516" s="214">
        <v>2</v>
      </c>
      <c r="Z516" s="214">
        <v>4</v>
      </c>
      <c r="AA516" s="212" t="s">
        <v>447</v>
      </c>
      <c r="AB516" s="212" t="s">
        <v>531</v>
      </c>
      <c r="AC516" s="212" t="s">
        <v>533</v>
      </c>
      <c r="AD516" s="214">
        <v>8.9402259999999991</v>
      </c>
      <c r="AE516" s="214">
        <v>524</v>
      </c>
      <c r="AF516" s="214">
        <v>1.37E-2</v>
      </c>
      <c r="AG516" s="214">
        <v>-99</v>
      </c>
      <c r="AH516" s="212" t="s">
        <v>224</v>
      </c>
      <c r="AI516" s="212" t="s">
        <v>449</v>
      </c>
      <c r="AJ516" s="212" t="s">
        <v>436</v>
      </c>
      <c r="AK516" s="212" t="s">
        <v>531</v>
      </c>
      <c r="AL516" s="212" t="s">
        <v>460</v>
      </c>
      <c r="AM516" s="214" t="b">
        <v>0</v>
      </c>
      <c r="AN516" s="214" t="b">
        <v>1</v>
      </c>
      <c r="AO516" s="212" t="s">
        <v>437</v>
      </c>
      <c r="AP516" s="212" t="s">
        <v>438</v>
      </c>
      <c r="AQ516" s="214">
        <v>106.16500000000001</v>
      </c>
      <c r="AR516" s="214" t="b">
        <v>0</v>
      </c>
      <c r="AS516" s="212" t="s">
        <v>534</v>
      </c>
      <c r="AU516" s="222" t="s">
        <v>819</v>
      </c>
    </row>
    <row r="517" spans="1:47" x14ac:dyDescent="0.25">
      <c r="A517" s="245">
        <f t="shared" si="70"/>
        <v>517</v>
      </c>
      <c r="B517" s="246" t="str">
        <f t="shared" si="68"/>
        <v>Oil Field - Tank</v>
      </c>
      <c r="C517" s="246" t="str">
        <f ca="1">IF(B517="","",VLOOKUP(D517,'Species Data'!B:E,4,FALSE))</f>
        <v>methane</v>
      </c>
      <c r="D517" s="246">
        <f t="shared" ca="1" si="71"/>
        <v>529</v>
      </c>
      <c r="E517" s="246">
        <f t="shared" ca="1" si="72"/>
        <v>86.221299999999999</v>
      </c>
      <c r="F517" s="246" t="str">
        <f t="shared" ca="1" si="73"/>
        <v>Methane</v>
      </c>
      <c r="G517" s="246">
        <f t="shared" ca="1" si="74"/>
        <v>16.042459999999998</v>
      </c>
      <c r="H517" s="204">
        <f ca="1">IF(G517="","",IF(VLOOKUP(Tank!F517,'Species Data'!D:F,3,FALSE)=0,"X",IF(G517&lt;44.1,2,1)))</f>
        <v>2</v>
      </c>
      <c r="I517" s="204">
        <f t="shared" ca="1" si="75"/>
        <v>44.518760713436194</v>
      </c>
      <c r="J517" s="247">
        <f ca="1">IF(I517="","",IF(COUNTIF($D$12:D517,D517)=1,IF(H517=1,I517*H517,IF(H517="X","X",0)),0))</f>
        <v>0</v>
      </c>
      <c r="K517" s="248">
        <f t="shared" ca="1" si="69"/>
        <v>0</v>
      </c>
      <c r="L517" s="212" t="s">
        <v>679</v>
      </c>
      <c r="M517" s="212" t="s">
        <v>448</v>
      </c>
      <c r="N517" s="212" t="s">
        <v>470</v>
      </c>
      <c r="O517" s="213">
        <v>41419</v>
      </c>
      <c r="P517" s="212" t="s">
        <v>531</v>
      </c>
      <c r="Q517" s="214">
        <v>100</v>
      </c>
      <c r="R517" s="212" t="s">
        <v>445</v>
      </c>
      <c r="S517" s="212" t="s">
        <v>532</v>
      </c>
      <c r="T517" s="212" t="s">
        <v>445</v>
      </c>
      <c r="U517" s="212" t="s">
        <v>446</v>
      </c>
      <c r="V517" s="214" t="b">
        <v>1</v>
      </c>
      <c r="W517" s="214">
        <v>1989</v>
      </c>
      <c r="X517" s="214">
        <v>5</v>
      </c>
      <c r="Y517" s="214">
        <v>2</v>
      </c>
      <c r="Z517" s="214">
        <v>4</v>
      </c>
      <c r="AA517" s="212" t="s">
        <v>447</v>
      </c>
      <c r="AB517" s="212" t="s">
        <v>531</v>
      </c>
      <c r="AC517" s="212" t="s">
        <v>533</v>
      </c>
      <c r="AD517" s="214">
        <v>8.9402259999999991</v>
      </c>
      <c r="AE517" s="214">
        <v>529</v>
      </c>
      <c r="AF517" s="214">
        <v>86.221299999999999</v>
      </c>
      <c r="AG517" s="214">
        <v>-99</v>
      </c>
      <c r="AH517" s="212" t="s">
        <v>224</v>
      </c>
      <c r="AI517" s="212" t="s">
        <v>449</v>
      </c>
      <c r="AJ517" s="212" t="s">
        <v>271</v>
      </c>
      <c r="AK517" s="212" t="s">
        <v>531</v>
      </c>
      <c r="AL517" s="212" t="s">
        <v>376</v>
      </c>
      <c r="AM517" s="214" t="b">
        <v>0</v>
      </c>
      <c r="AN517" s="214" t="b">
        <v>0</v>
      </c>
      <c r="AO517" s="212" t="s">
        <v>272</v>
      </c>
      <c r="AP517" s="212" t="s">
        <v>531</v>
      </c>
      <c r="AQ517" s="214">
        <v>16.042459999999998</v>
      </c>
      <c r="AR517" s="214" t="b">
        <v>1</v>
      </c>
      <c r="AS517" s="212" t="s">
        <v>534</v>
      </c>
      <c r="AU517" s="222" t="s">
        <v>819</v>
      </c>
    </row>
    <row r="518" spans="1:47" x14ac:dyDescent="0.25">
      <c r="A518" s="245">
        <f t="shared" si="70"/>
        <v>518</v>
      </c>
      <c r="B518" s="246" t="str">
        <f t="shared" si="68"/>
        <v>Oil Field - Tank</v>
      </c>
      <c r="C518" s="246" t="str">
        <f ca="1">IF(B518="","",VLOOKUP(D518,'Species Data'!B:E,4,FALSE))</f>
        <v>methcychex</v>
      </c>
      <c r="D518" s="246">
        <f t="shared" ca="1" si="71"/>
        <v>550</v>
      </c>
      <c r="E518" s="246">
        <f t="shared" ca="1" si="72"/>
        <v>3.4299999999999997E-2</v>
      </c>
      <c r="F518" s="246" t="str">
        <f t="shared" ca="1" si="73"/>
        <v>Methylcyclohexane</v>
      </c>
      <c r="G518" s="246">
        <f t="shared" ca="1" si="74"/>
        <v>98.186059999999998</v>
      </c>
      <c r="H518" s="204">
        <f ca="1">IF(G518="","",IF(VLOOKUP(Tank!F518,'Species Data'!D:F,3,FALSE)=0,"X",IF(G518&lt;44.1,2,1)))</f>
        <v>1</v>
      </c>
      <c r="I518" s="204">
        <f t="shared" ca="1" si="75"/>
        <v>0.52063166473064815</v>
      </c>
      <c r="J518" s="247">
        <f ca="1">IF(I518="","",IF(COUNTIF($D$12:D518,D518)=1,IF(H518=1,I518*H518,IF(H518="X","X",0)),0))</f>
        <v>0</v>
      </c>
      <c r="K518" s="248">
        <f t="shared" ca="1" si="69"/>
        <v>0</v>
      </c>
      <c r="L518" s="212" t="s">
        <v>679</v>
      </c>
      <c r="M518" s="212" t="s">
        <v>448</v>
      </c>
      <c r="N518" s="212" t="s">
        <v>470</v>
      </c>
      <c r="O518" s="213">
        <v>41419</v>
      </c>
      <c r="P518" s="212" t="s">
        <v>531</v>
      </c>
      <c r="Q518" s="214">
        <v>100</v>
      </c>
      <c r="R518" s="212" t="s">
        <v>445</v>
      </c>
      <c r="S518" s="212" t="s">
        <v>532</v>
      </c>
      <c r="T518" s="212" t="s">
        <v>445</v>
      </c>
      <c r="U518" s="212" t="s">
        <v>446</v>
      </c>
      <c r="V518" s="214" t="b">
        <v>1</v>
      </c>
      <c r="W518" s="214">
        <v>1989</v>
      </c>
      <c r="X518" s="214">
        <v>5</v>
      </c>
      <c r="Y518" s="214">
        <v>2</v>
      </c>
      <c r="Z518" s="214">
        <v>4</v>
      </c>
      <c r="AA518" s="212" t="s">
        <v>447</v>
      </c>
      <c r="AB518" s="212" t="s">
        <v>531</v>
      </c>
      <c r="AC518" s="212" t="s">
        <v>533</v>
      </c>
      <c r="AD518" s="214">
        <v>8.9402259999999991</v>
      </c>
      <c r="AE518" s="214">
        <v>550</v>
      </c>
      <c r="AF518" s="214">
        <v>3.4299999999999997E-2</v>
      </c>
      <c r="AG518" s="214">
        <v>-99</v>
      </c>
      <c r="AH518" s="212" t="s">
        <v>224</v>
      </c>
      <c r="AI518" s="212" t="s">
        <v>449</v>
      </c>
      <c r="AJ518" s="212" t="s">
        <v>348</v>
      </c>
      <c r="AK518" s="212" t="s">
        <v>531</v>
      </c>
      <c r="AL518" s="212" t="s">
        <v>396</v>
      </c>
      <c r="AM518" s="214" t="b">
        <v>1</v>
      </c>
      <c r="AN518" s="214" t="b">
        <v>0</v>
      </c>
      <c r="AO518" s="212" t="s">
        <v>349</v>
      </c>
      <c r="AP518" s="212" t="s">
        <v>350</v>
      </c>
      <c r="AQ518" s="214">
        <v>98.186059999999998</v>
      </c>
      <c r="AR518" s="214" t="b">
        <v>0</v>
      </c>
      <c r="AS518" s="212" t="s">
        <v>534</v>
      </c>
      <c r="AU518" s="222" t="s">
        <v>819</v>
      </c>
    </row>
    <row r="519" spans="1:47" x14ac:dyDescent="0.25">
      <c r="A519" s="245">
        <f t="shared" si="70"/>
        <v>519</v>
      </c>
      <c r="B519" s="246" t="str">
        <f t="shared" si="68"/>
        <v>Oil Field - Tank</v>
      </c>
      <c r="C519" s="246" t="str">
        <f ca="1">IF(B519="","",VLOOKUP(D519,'Species Data'!B:E,4,FALSE))</f>
        <v>methcycpen</v>
      </c>
      <c r="D519" s="246">
        <f t="shared" ca="1" si="71"/>
        <v>551</v>
      </c>
      <c r="E519" s="246">
        <f t="shared" ca="1" si="72"/>
        <v>0.3367</v>
      </c>
      <c r="F519" s="246" t="str">
        <f t="shared" ca="1" si="73"/>
        <v>Methylcyclopentane</v>
      </c>
      <c r="G519" s="246">
        <f t="shared" ca="1" si="74"/>
        <v>84.159480000000002</v>
      </c>
      <c r="H519" s="204">
        <f ca="1">IF(G519="","",IF(VLOOKUP(Tank!F519,'Species Data'!D:F,3,FALSE)=0,"X",IF(G519&lt;44.1,2,1)))</f>
        <v>1</v>
      </c>
      <c r="I519" s="204">
        <f t="shared" ca="1" si="75"/>
        <v>1.4788275300776224</v>
      </c>
      <c r="J519" s="247">
        <f ca="1">IF(I519="","",IF(COUNTIF($D$12:D519,D519)=1,IF(H519=1,I519*H519,IF(H519="X","X",0)),0))</f>
        <v>0</v>
      </c>
      <c r="K519" s="248">
        <f t="shared" ca="1" si="69"/>
        <v>0</v>
      </c>
      <c r="L519" s="212" t="s">
        <v>679</v>
      </c>
      <c r="M519" s="212" t="s">
        <v>448</v>
      </c>
      <c r="N519" s="212" t="s">
        <v>470</v>
      </c>
      <c r="O519" s="213">
        <v>41419</v>
      </c>
      <c r="P519" s="212" t="s">
        <v>531</v>
      </c>
      <c r="Q519" s="214">
        <v>100</v>
      </c>
      <c r="R519" s="212" t="s">
        <v>445</v>
      </c>
      <c r="S519" s="212" t="s">
        <v>532</v>
      </c>
      <c r="T519" s="212" t="s">
        <v>445</v>
      </c>
      <c r="U519" s="212" t="s">
        <v>446</v>
      </c>
      <c r="V519" s="214" t="b">
        <v>1</v>
      </c>
      <c r="W519" s="214">
        <v>1989</v>
      </c>
      <c r="X519" s="214">
        <v>5</v>
      </c>
      <c r="Y519" s="214">
        <v>2</v>
      </c>
      <c r="Z519" s="214">
        <v>4</v>
      </c>
      <c r="AA519" s="212" t="s">
        <v>447</v>
      </c>
      <c r="AB519" s="212" t="s">
        <v>531</v>
      </c>
      <c r="AC519" s="212" t="s">
        <v>533</v>
      </c>
      <c r="AD519" s="214">
        <v>8.9402259999999991</v>
      </c>
      <c r="AE519" s="214">
        <v>551</v>
      </c>
      <c r="AF519" s="214">
        <v>0.3367</v>
      </c>
      <c r="AG519" s="214">
        <v>-99</v>
      </c>
      <c r="AH519" s="212" t="s">
        <v>224</v>
      </c>
      <c r="AI519" s="212" t="s">
        <v>449</v>
      </c>
      <c r="AJ519" s="212" t="s">
        <v>351</v>
      </c>
      <c r="AK519" s="212" t="s">
        <v>531</v>
      </c>
      <c r="AL519" s="212" t="s">
        <v>397</v>
      </c>
      <c r="AM519" s="214" t="b">
        <v>1</v>
      </c>
      <c r="AN519" s="214" t="b">
        <v>0</v>
      </c>
      <c r="AO519" s="212" t="s">
        <v>352</v>
      </c>
      <c r="AP519" s="212" t="s">
        <v>353</v>
      </c>
      <c r="AQ519" s="214">
        <v>84.159480000000002</v>
      </c>
      <c r="AR519" s="214" t="b">
        <v>0</v>
      </c>
      <c r="AS519" s="212" t="s">
        <v>534</v>
      </c>
      <c r="AU519" s="222" t="s">
        <v>819</v>
      </c>
    </row>
    <row r="520" spans="1:47" x14ac:dyDescent="0.25">
      <c r="A520" s="245">
        <f t="shared" si="70"/>
        <v>520</v>
      </c>
      <c r="B520" s="246" t="str">
        <f t="shared" si="68"/>
        <v>Oil Field - Tank</v>
      </c>
      <c r="C520" s="246" t="str">
        <f ca="1">IF(B520="","",VLOOKUP(D520,'Species Data'!B:E,4,FALSE))</f>
        <v>N_but</v>
      </c>
      <c r="D520" s="246">
        <f t="shared" ca="1" si="71"/>
        <v>592</v>
      </c>
      <c r="E520" s="246">
        <f t="shared" ca="1" si="72"/>
        <v>1.9669000000000001</v>
      </c>
      <c r="F520" s="246" t="str">
        <f t="shared" ca="1" si="73"/>
        <v>N-butane</v>
      </c>
      <c r="G520" s="246">
        <f t="shared" ca="1" si="74"/>
        <v>58.122199999999992</v>
      </c>
      <c r="H520" s="204">
        <f ca="1">IF(G520="","",IF(VLOOKUP(Tank!F520,'Species Data'!D:F,3,FALSE)=0,"X",IF(G520&lt;44.1,2,1)))</f>
        <v>1</v>
      </c>
      <c r="I520" s="204">
        <f t="shared" ca="1" si="75"/>
        <v>8.8589583793337763</v>
      </c>
      <c r="J520" s="247">
        <f ca="1">IF(I520="","",IF(COUNTIF($D$12:D520,D520)=1,IF(H520=1,I520*H520,IF(H520="X","X",0)),0))</f>
        <v>0</v>
      </c>
      <c r="K520" s="248">
        <f t="shared" ca="1" si="69"/>
        <v>0</v>
      </c>
      <c r="L520" s="212" t="s">
        <v>679</v>
      </c>
      <c r="M520" s="212" t="s">
        <v>448</v>
      </c>
      <c r="N520" s="212" t="s">
        <v>470</v>
      </c>
      <c r="O520" s="213">
        <v>41419</v>
      </c>
      <c r="P520" s="212" t="s">
        <v>531</v>
      </c>
      <c r="Q520" s="214">
        <v>100</v>
      </c>
      <c r="R520" s="212" t="s">
        <v>445</v>
      </c>
      <c r="S520" s="212" t="s">
        <v>532</v>
      </c>
      <c r="T520" s="212" t="s">
        <v>445</v>
      </c>
      <c r="U520" s="212" t="s">
        <v>446</v>
      </c>
      <c r="V520" s="214" t="b">
        <v>1</v>
      </c>
      <c r="W520" s="214">
        <v>1989</v>
      </c>
      <c r="X520" s="214">
        <v>5</v>
      </c>
      <c r="Y520" s="214">
        <v>2</v>
      </c>
      <c r="Z520" s="214">
        <v>4</v>
      </c>
      <c r="AA520" s="212" t="s">
        <v>447</v>
      </c>
      <c r="AB520" s="212" t="s">
        <v>531</v>
      </c>
      <c r="AC520" s="212" t="s">
        <v>533</v>
      </c>
      <c r="AD520" s="214">
        <v>8.9402259999999991</v>
      </c>
      <c r="AE520" s="214">
        <v>592</v>
      </c>
      <c r="AF520" s="214">
        <v>1.9669000000000001</v>
      </c>
      <c r="AG520" s="214">
        <v>-99</v>
      </c>
      <c r="AH520" s="212" t="s">
        <v>224</v>
      </c>
      <c r="AI520" s="212" t="s">
        <v>449</v>
      </c>
      <c r="AJ520" s="212" t="s">
        <v>273</v>
      </c>
      <c r="AK520" s="212" t="s">
        <v>531</v>
      </c>
      <c r="AL520" s="212" t="s">
        <v>377</v>
      </c>
      <c r="AM520" s="214" t="b">
        <v>1</v>
      </c>
      <c r="AN520" s="214" t="b">
        <v>0</v>
      </c>
      <c r="AO520" s="212" t="s">
        <v>274</v>
      </c>
      <c r="AP520" s="212" t="s">
        <v>275</v>
      </c>
      <c r="AQ520" s="214">
        <v>58.122199999999992</v>
      </c>
      <c r="AR520" s="214" t="b">
        <v>0</v>
      </c>
      <c r="AS520" s="212" t="s">
        <v>534</v>
      </c>
      <c r="AU520" s="222" t="s">
        <v>819</v>
      </c>
    </row>
    <row r="521" spans="1:47" x14ac:dyDescent="0.25">
      <c r="A521" s="245">
        <f t="shared" si="70"/>
        <v>521</v>
      </c>
      <c r="B521" s="246" t="str">
        <f t="shared" si="68"/>
        <v>Oil Field - Tank</v>
      </c>
      <c r="C521" s="246" t="str">
        <f ca="1">IF(B521="","",VLOOKUP(D521,'Species Data'!B:E,4,FALSE))</f>
        <v>N_hep</v>
      </c>
      <c r="D521" s="246">
        <f t="shared" ca="1" si="71"/>
        <v>600</v>
      </c>
      <c r="E521" s="246">
        <f t="shared" ca="1" si="72"/>
        <v>4.5400000000000003E-2</v>
      </c>
      <c r="F521" s="246" t="str">
        <f t="shared" ca="1" si="73"/>
        <v>N-heptane</v>
      </c>
      <c r="G521" s="246">
        <f t="shared" ca="1" si="74"/>
        <v>100.20194000000001</v>
      </c>
      <c r="H521" s="204">
        <f ca="1">IF(G521="","",IF(VLOOKUP(Tank!F521,'Species Data'!D:F,3,FALSE)=0,"X",IF(G521&lt;44.1,2,1)))</f>
        <v>1</v>
      </c>
      <c r="I521" s="204">
        <f t="shared" ca="1" si="75"/>
        <v>0.55093195561344066</v>
      </c>
      <c r="J521" s="247">
        <f ca="1">IF(I521="","",IF(COUNTIF($D$12:D521,D521)=1,IF(H521=1,I521*H521,IF(H521="X","X",0)),0))</f>
        <v>0</v>
      </c>
      <c r="K521" s="248">
        <f t="shared" ca="1" si="69"/>
        <v>0</v>
      </c>
      <c r="L521" s="212" t="s">
        <v>679</v>
      </c>
      <c r="M521" s="212" t="s">
        <v>448</v>
      </c>
      <c r="N521" s="212" t="s">
        <v>470</v>
      </c>
      <c r="O521" s="213">
        <v>41419</v>
      </c>
      <c r="P521" s="212" t="s">
        <v>531</v>
      </c>
      <c r="Q521" s="214">
        <v>100</v>
      </c>
      <c r="R521" s="212" t="s">
        <v>445</v>
      </c>
      <c r="S521" s="212" t="s">
        <v>532</v>
      </c>
      <c r="T521" s="212" t="s">
        <v>445</v>
      </c>
      <c r="U521" s="212" t="s">
        <v>446</v>
      </c>
      <c r="V521" s="214" t="b">
        <v>1</v>
      </c>
      <c r="W521" s="214">
        <v>1989</v>
      </c>
      <c r="X521" s="214">
        <v>5</v>
      </c>
      <c r="Y521" s="214">
        <v>2</v>
      </c>
      <c r="Z521" s="214">
        <v>4</v>
      </c>
      <c r="AA521" s="212" t="s">
        <v>447</v>
      </c>
      <c r="AB521" s="212" t="s">
        <v>531</v>
      </c>
      <c r="AC521" s="212" t="s">
        <v>533</v>
      </c>
      <c r="AD521" s="214">
        <v>8.9402259999999991</v>
      </c>
      <c r="AE521" s="214">
        <v>600</v>
      </c>
      <c r="AF521" s="214">
        <v>4.5400000000000003E-2</v>
      </c>
      <c r="AG521" s="214">
        <v>-99</v>
      </c>
      <c r="AH521" s="212" t="s">
        <v>224</v>
      </c>
      <c r="AI521" s="212" t="s">
        <v>449</v>
      </c>
      <c r="AJ521" s="212" t="s">
        <v>276</v>
      </c>
      <c r="AK521" s="212" t="s">
        <v>531</v>
      </c>
      <c r="AL521" s="212" t="s">
        <v>378</v>
      </c>
      <c r="AM521" s="214" t="b">
        <v>1</v>
      </c>
      <c r="AN521" s="214" t="b">
        <v>0</v>
      </c>
      <c r="AO521" s="212" t="s">
        <v>277</v>
      </c>
      <c r="AP521" s="212" t="s">
        <v>278</v>
      </c>
      <c r="AQ521" s="214">
        <v>100.20194000000001</v>
      </c>
      <c r="AR521" s="214" t="b">
        <v>0</v>
      </c>
      <c r="AS521" s="212" t="s">
        <v>534</v>
      </c>
      <c r="AU521" s="222" t="s">
        <v>819</v>
      </c>
    </row>
    <row r="522" spans="1:47" x14ac:dyDescent="0.25">
      <c r="A522" s="245">
        <f t="shared" si="70"/>
        <v>522</v>
      </c>
      <c r="B522" s="246" t="str">
        <f t="shared" si="68"/>
        <v>Oil Field - Tank</v>
      </c>
      <c r="C522" s="246" t="str">
        <f ca="1">IF(B522="","",VLOOKUP(D522,'Species Data'!B:E,4,FALSE))</f>
        <v>N_hex</v>
      </c>
      <c r="D522" s="246">
        <f t="shared" ca="1" si="71"/>
        <v>601</v>
      </c>
      <c r="E522" s="246">
        <f t="shared" ca="1" si="72"/>
        <v>0.1832</v>
      </c>
      <c r="F522" s="246" t="str">
        <f t="shared" ca="1" si="73"/>
        <v>N-hexane</v>
      </c>
      <c r="G522" s="246">
        <f t="shared" ca="1" si="74"/>
        <v>86.175359999999998</v>
      </c>
      <c r="H522" s="204">
        <f ca="1">IF(G522="","",IF(VLOOKUP(Tank!F522,'Species Data'!D:F,3,FALSE)=0,"X",IF(G522&lt;44.1,2,1)))</f>
        <v>1</v>
      </c>
      <c r="I522" s="204">
        <f t="shared" ca="1" si="75"/>
        <v>1.4244870084086145</v>
      </c>
      <c r="J522" s="247">
        <f ca="1">IF(I522="","",IF(COUNTIF($D$12:D522,D522)=1,IF(H522=1,I522*H522,IF(H522="X","X",0)),0))</f>
        <v>0</v>
      </c>
      <c r="K522" s="248">
        <f t="shared" ca="1" si="69"/>
        <v>0</v>
      </c>
      <c r="L522" s="212" t="s">
        <v>679</v>
      </c>
      <c r="M522" s="212" t="s">
        <v>448</v>
      </c>
      <c r="N522" s="212" t="s">
        <v>470</v>
      </c>
      <c r="O522" s="213">
        <v>41419</v>
      </c>
      <c r="P522" s="212" t="s">
        <v>531</v>
      </c>
      <c r="Q522" s="214">
        <v>100</v>
      </c>
      <c r="R522" s="212" t="s">
        <v>445</v>
      </c>
      <c r="S522" s="212" t="s">
        <v>532</v>
      </c>
      <c r="T522" s="212" t="s">
        <v>445</v>
      </c>
      <c r="U522" s="212" t="s">
        <v>446</v>
      </c>
      <c r="V522" s="214" t="b">
        <v>1</v>
      </c>
      <c r="W522" s="214">
        <v>1989</v>
      </c>
      <c r="X522" s="214">
        <v>5</v>
      </c>
      <c r="Y522" s="214">
        <v>2</v>
      </c>
      <c r="Z522" s="214">
        <v>4</v>
      </c>
      <c r="AA522" s="212" t="s">
        <v>447</v>
      </c>
      <c r="AB522" s="212" t="s">
        <v>531</v>
      </c>
      <c r="AC522" s="212" t="s">
        <v>533</v>
      </c>
      <c r="AD522" s="214">
        <v>8.9402259999999991</v>
      </c>
      <c r="AE522" s="214">
        <v>601</v>
      </c>
      <c r="AF522" s="214">
        <v>0.1832</v>
      </c>
      <c r="AG522" s="214">
        <v>-99</v>
      </c>
      <c r="AH522" s="212" t="s">
        <v>224</v>
      </c>
      <c r="AI522" s="212" t="s">
        <v>449</v>
      </c>
      <c r="AJ522" s="212" t="s">
        <v>279</v>
      </c>
      <c r="AK522" s="212" t="s">
        <v>531</v>
      </c>
      <c r="AL522" s="212" t="s">
        <v>379</v>
      </c>
      <c r="AM522" s="214" t="b">
        <v>1</v>
      </c>
      <c r="AN522" s="214" t="b">
        <v>1</v>
      </c>
      <c r="AO522" s="212" t="s">
        <v>280</v>
      </c>
      <c r="AP522" s="212" t="s">
        <v>281</v>
      </c>
      <c r="AQ522" s="214">
        <v>86.175359999999998</v>
      </c>
      <c r="AR522" s="214" t="b">
        <v>0</v>
      </c>
      <c r="AS522" s="212" t="s">
        <v>534</v>
      </c>
      <c r="AU522" s="222" t="s">
        <v>819</v>
      </c>
    </row>
    <row r="523" spans="1:47" x14ac:dyDescent="0.25">
      <c r="A523" s="245">
        <f t="shared" si="70"/>
        <v>523</v>
      </c>
      <c r="B523" s="246" t="str">
        <f t="shared" si="68"/>
        <v>Oil Field - Tank</v>
      </c>
      <c r="C523" s="246" t="str">
        <f ca="1">IF(B523="","",VLOOKUP(D523,'Species Data'!B:E,4,FALSE))</f>
        <v>N_nonane</v>
      </c>
      <c r="D523" s="246">
        <f t="shared" ca="1" si="71"/>
        <v>603</v>
      </c>
      <c r="E523" s="246">
        <f t="shared" ca="1" si="72"/>
        <v>6.7000000000000002E-3</v>
      </c>
      <c r="F523" s="246" t="str">
        <f t="shared" ca="1" si="73"/>
        <v>N-nonane</v>
      </c>
      <c r="G523" s="246">
        <f t="shared" ca="1" si="74"/>
        <v>128.2551</v>
      </c>
      <c r="H523" s="204">
        <f ca="1">IF(G523="","",IF(VLOOKUP(Tank!F523,'Species Data'!D:F,3,FALSE)=0,"X",IF(G523&lt;44.1,2,1)))</f>
        <v>1</v>
      </c>
      <c r="I523" s="204">
        <f t="shared" ca="1" si="75"/>
        <v>6.0467247152239355E-2</v>
      </c>
      <c r="J523" s="247">
        <f ca="1">IF(I523="","",IF(COUNTIF($D$12:D523,D523)=1,IF(H523=1,I523*H523,IF(H523="X","X",0)),0))</f>
        <v>0</v>
      </c>
      <c r="K523" s="248">
        <f t="shared" ca="1" si="69"/>
        <v>0</v>
      </c>
      <c r="L523" s="212" t="s">
        <v>679</v>
      </c>
      <c r="M523" s="212" t="s">
        <v>448</v>
      </c>
      <c r="N523" s="212" t="s">
        <v>470</v>
      </c>
      <c r="O523" s="213">
        <v>41419</v>
      </c>
      <c r="P523" s="212" t="s">
        <v>531</v>
      </c>
      <c r="Q523" s="214">
        <v>100</v>
      </c>
      <c r="R523" s="212" t="s">
        <v>445</v>
      </c>
      <c r="S523" s="212" t="s">
        <v>532</v>
      </c>
      <c r="T523" s="212" t="s">
        <v>445</v>
      </c>
      <c r="U523" s="212" t="s">
        <v>446</v>
      </c>
      <c r="V523" s="214" t="b">
        <v>1</v>
      </c>
      <c r="W523" s="214">
        <v>1989</v>
      </c>
      <c r="X523" s="214">
        <v>5</v>
      </c>
      <c r="Y523" s="214">
        <v>2</v>
      </c>
      <c r="Z523" s="214">
        <v>4</v>
      </c>
      <c r="AA523" s="212" t="s">
        <v>447</v>
      </c>
      <c r="AB523" s="212" t="s">
        <v>531</v>
      </c>
      <c r="AC523" s="212" t="s">
        <v>533</v>
      </c>
      <c r="AD523" s="214">
        <v>8.9402259999999991</v>
      </c>
      <c r="AE523" s="214">
        <v>603</v>
      </c>
      <c r="AF523" s="214">
        <v>6.7000000000000002E-3</v>
      </c>
      <c r="AG523" s="214">
        <v>-99</v>
      </c>
      <c r="AH523" s="212" t="s">
        <v>224</v>
      </c>
      <c r="AI523" s="212" t="s">
        <v>449</v>
      </c>
      <c r="AJ523" s="212" t="s">
        <v>417</v>
      </c>
      <c r="AK523" s="212" t="s">
        <v>531</v>
      </c>
      <c r="AL523" s="212" t="s">
        <v>453</v>
      </c>
      <c r="AM523" s="214" t="b">
        <v>1</v>
      </c>
      <c r="AN523" s="214" t="b">
        <v>0</v>
      </c>
      <c r="AO523" s="212" t="s">
        <v>418</v>
      </c>
      <c r="AP523" s="212" t="s">
        <v>419</v>
      </c>
      <c r="AQ523" s="214">
        <v>128.2551</v>
      </c>
      <c r="AR523" s="214" t="b">
        <v>0</v>
      </c>
      <c r="AS523" s="212" t="s">
        <v>534</v>
      </c>
      <c r="AU523" s="222" t="s">
        <v>819</v>
      </c>
    </row>
    <row r="524" spans="1:47" x14ac:dyDescent="0.25">
      <c r="A524" s="245">
        <f t="shared" si="70"/>
        <v>524</v>
      </c>
      <c r="B524" s="246" t="str">
        <f t="shared" ref="B524:B587" si="76">IF(ROW(A524)-(ROW($A$12))&lt;$B$10,$B$9,"")</f>
        <v>Oil Field - Tank</v>
      </c>
      <c r="C524" s="246" t="str">
        <f ca="1">IF(B524="","",VLOOKUP(D524,'Species Data'!B:E,4,FALSE))</f>
        <v>N_octane</v>
      </c>
      <c r="D524" s="246">
        <f t="shared" ca="1" si="71"/>
        <v>604</v>
      </c>
      <c r="E524" s="246">
        <f t="shared" ca="1" si="72"/>
        <v>5.2699999999999997E-2</v>
      </c>
      <c r="F524" s="246" t="str">
        <f t="shared" ca="1" si="73"/>
        <v>N-octane</v>
      </c>
      <c r="G524" s="246">
        <f t="shared" ca="1" si="74"/>
        <v>114.22852</v>
      </c>
      <c r="H524" s="204">
        <f ca="1">IF(G524="","",IF(VLOOKUP(Tank!F524,'Species Data'!D:F,3,FALSE)=0,"X",IF(G524&lt;44.1,2,1)))</f>
        <v>1</v>
      </c>
      <c r="I524" s="204">
        <f t="shared" ca="1" si="75"/>
        <v>0.21590207265989761</v>
      </c>
      <c r="J524" s="247">
        <f ca="1">IF(I524="","",IF(COUNTIF($D$12:D524,D524)=1,IF(H524=1,I524*H524,IF(H524="X","X",0)),0))</f>
        <v>0</v>
      </c>
      <c r="K524" s="248">
        <f t="shared" ca="1" si="69"/>
        <v>0</v>
      </c>
      <c r="L524" s="212" t="s">
        <v>679</v>
      </c>
      <c r="M524" s="212" t="s">
        <v>448</v>
      </c>
      <c r="N524" s="212" t="s">
        <v>470</v>
      </c>
      <c r="O524" s="213">
        <v>41419</v>
      </c>
      <c r="P524" s="212" t="s">
        <v>531</v>
      </c>
      <c r="Q524" s="214">
        <v>100</v>
      </c>
      <c r="R524" s="212" t="s">
        <v>445</v>
      </c>
      <c r="S524" s="212" t="s">
        <v>532</v>
      </c>
      <c r="T524" s="212" t="s">
        <v>445</v>
      </c>
      <c r="U524" s="212" t="s">
        <v>446</v>
      </c>
      <c r="V524" s="214" t="b">
        <v>1</v>
      </c>
      <c r="W524" s="214">
        <v>1989</v>
      </c>
      <c r="X524" s="214">
        <v>5</v>
      </c>
      <c r="Y524" s="214">
        <v>2</v>
      </c>
      <c r="Z524" s="214">
        <v>4</v>
      </c>
      <c r="AA524" s="212" t="s">
        <v>447</v>
      </c>
      <c r="AB524" s="212" t="s">
        <v>531</v>
      </c>
      <c r="AC524" s="212" t="s">
        <v>533</v>
      </c>
      <c r="AD524" s="214">
        <v>8.9402259999999991</v>
      </c>
      <c r="AE524" s="214">
        <v>604</v>
      </c>
      <c r="AF524" s="214">
        <v>5.2699999999999997E-2</v>
      </c>
      <c r="AG524" s="214">
        <v>-99</v>
      </c>
      <c r="AH524" s="212" t="s">
        <v>224</v>
      </c>
      <c r="AI524" s="212" t="s">
        <v>449</v>
      </c>
      <c r="AJ524" s="212" t="s">
        <v>282</v>
      </c>
      <c r="AK524" s="212" t="s">
        <v>531</v>
      </c>
      <c r="AL524" s="212" t="s">
        <v>380</v>
      </c>
      <c r="AM524" s="214" t="b">
        <v>1</v>
      </c>
      <c r="AN524" s="214" t="b">
        <v>0</v>
      </c>
      <c r="AO524" s="212" t="s">
        <v>283</v>
      </c>
      <c r="AP524" s="212" t="s">
        <v>284</v>
      </c>
      <c r="AQ524" s="214">
        <v>114.22852</v>
      </c>
      <c r="AR524" s="214" t="b">
        <v>0</v>
      </c>
      <c r="AS524" s="212" t="s">
        <v>534</v>
      </c>
      <c r="AU524" s="222" t="s">
        <v>819</v>
      </c>
    </row>
    <row r="525" spans="1:47" x14ac:dyDescent="0.25">
      <c r="A525" s="245">
        <f t="shared" si="70"/>
        <v>525</v>
      </c>
      <c r="B525" s="246" t="str">
        <f t="shared" si="76"/>
        <v>Oil Field - Tank</v>
      </c>
      <c r="C525" s="246" t="str">
        <f ca="1">IF(B525="","",VLOOKUP(D525,'Species Data'!B:E,4,FALSE))</f>
        <v>N_pentane</v>
      </c>
      <c r="D525" s="246">
        <f t="shared" ca="1" si="71"/>
        <v>605</v>
      </c>
      <c r="E525" s="246">
        <f t="shared" ca="1" si="72"/>
        <v>0.75480000000000003</v>
      </c>
      <c r="F525" s="246" t="str">
        <f t="shared" ca="1" si="73"/>
        <v>N-pentane</v>
      </c>
      <c r="G525" s="246">
        <f t="shared" ca="1" si="74"/>
        <v>72.148780000000002</v>
      </c>
      <c r="H525" s="204">
        <f ca="1">IF(G525="","",IF(VLOOKUP(Tank!F525,'Species Data'!D:F,3,FALSE)=0,"X",IF(G525&lt;44.1,2,1)))</f>
        <v>1</v>
      </c>
      <c r="I525" s="204">
        <f t="shared" ca="1" si="75"/>
        <v>3.2465311666992012</v>
      </c>
      <c r="J525" s="247">
        <f ca="1">IF(I525="","",IF(COUNTIF($D$12:D525,D525)=1,IF(H525=1,I525*H525,IF(H525="X","X",0)),0))</f>
        <v>0</v>
      </c>
      <c r="K525" s="248">
        <f t="shared" ref="K525:K588" ca="1" si="77">IF(J525="","",IF(J525="X",0,J525/$J$9*100))</f>
        <v>0</v>
      </c>
      <c r="L525" s="212" t="s">
        <v>679</v>
      </c>
      <c r="M525" s="212" t="s">
        <v>448</v>
      </c>
      <c r="N525" s="212" t="s">
        <v>470</v>
      </c>
      <c r="O525" s="213">
        <v>41419</v>
      </c>
      <c r="P525" s="212" t="s">
        <v>531</v>
      </c>
      <c r="Q525" s="214">
        <v>100</v>
      </c>
      <c r="R525" s="212" t="s">
        <v>445</v>
      </c>
      <c r="S525" s="212" t="s">
        <v>532</v>
      </c>
      <c r="T525" s="212" t="s">
        <v>445</v>
      </c>
      <c r="U525" s="212" t="s">
        <v>446</v>
      </c>
      <c r="V525" s="214" t="b">
        <v>1</v>
      </c>
      <c r="W525" s="214">
        <v>1989</v>
      </c>
      <c r="X525" s="214">
        <v>5</v>
      </c>
      <c r="Y525" s="214">
        <v>2</v>
      </c>
      <c r="Z525" s="214">
        <v>4</v>
      </c>
      <c r="AA525" s="212" t="s">
        <v>447</v>
      </c>
      <c r="AB525" s="212" t="s">
        <v>531</v>
      </c>
      <c r="AC525" s="212" t="s">
        <v>533</v>
      </c>
      <c r="AD525" s="214">
        <v>8.9402259999999991</v>
      </c>
      <c r="AE525" s="214">
        <v>605</v>
      </c>
      <c r="AF525" s="214">
        <v>0.75480000000000003</v>
      </c>
      <c r="AG525" s="214">
        <v>-99</v>
      </c>
      <c r="AH525" s="212" t="s">
        <v>224</v>
      </c>
      <c r="AI525" s="212" t="s">
        <v>449</v>
      </c>
      <c r="AJ525" s="212" t="s">
        <v>285</v>
      </c>
      <c r="AK525" s="212" t="s">
        <v>531</v>
      </c>
      <c r="AL525" s="212" t="s">
        <v>381</v>
      </c>
      <c r="AM525" s="214" t="b">
        <v>1</v>
      </c>
      <c r="AN525" s="214" t="b">
        <v>0</v>
      </c>
      <c r="AO525" s="212" t="s">
        <v>286</v>
      </c>
      <c r="AP525" s="212" t="s">
        <v>287</v>
      </c>
      <c r="AQ525" s="214">
        <v>72.148780000000002</v>
      </c>
      <c r="AR525" s="214" t="b">
        <v>0</v>
      </c>
      <c r="AS525" s="212" t="s">
        <v>534</v>
      </c>
      <c r="AU525" s="222" t="s">
        <v>819</v>
      </c>
    </row>
    <row r="526" spans="1:47" x14ac:dyDescent="0.25">
      <c r="A526" s="245">
        <f t="shared" si="70"/>
        <v>526</v>
      </c>
      <c r="B526" s="246" t="str">
        <f t="shared" si="76"/>
        <v>Oil Field - Tank</v>
      </c>
      <c r="C526" s="246" t="str">
        <f ca="1">IF(B526="","",VLOOKUP(D526,'Species Data'!B:E,4,FALSE))</f>
        <v>N_proben</v>
      </c>
      <c r="D526" s="246">
        <f t="shared" ca="1" si="71"/>
        <v>608</v>
      </c>
      <c r="E526" s="246">
        <f t="shared" ca="1" si="72"/>
        <v>4.5999999999999999E-3</v>
      </c>
      <c r="F526" s="246" t="str">
        <f t="shared" ca="1" si="73"/>
        <v>N-propylbenzene</v>
      </c>
      <c r="G526" s="246">
        <f t="shared" ca="1" si="74"/>
        <v>120.19158</v>
      </c>
      <c r="H526" s="204">
        <f ca="1">IF(G526="","",IF(VLOOKUP(Tank!F526,'Species Data'!D:F,3,FALSE)=0,"X",IF(G526&lt;44.1,2,1)))</f>
        <v>1</v>
      </c>
      <c r="I526" s="204">
        <f t="shared" ca="1" si="75"/>
        <v>2.0193527191194376E-2</v>
      </c>
      <c r="J526" s="247">
        <f ca="1">IF(I526="","",IF(COUNTIF($D$12:D526,D526)=1,IF(H526=1,I526*H526,IF(H526="X","X",0)),0))</f>
        <v>0</v>
      </c>
      <c r="K526" s="248">
        <f t="shared" ca="1" si="77"/>
        <v>0</v>
      </c>
      <c r="L526" s="212" t="s">
        <v>679</v>
      </c>
      <c r="M526" s="212" t="s">
        <v>448</v>
      </c>
      <c r="N526" s="212" t="s">
        <v>470</v>
      </c>
      <c r="O526" s="213">
        <v>41419</v>
      </c>
      <c r="P526" s="212" t="s">
        <v>531</v>
      </c>
      <c r="Q526" s="214">
        <v>100</v>
      </c>
      <c r="R526" s="212" t="s">
        <v>445</v>
      </c>
      <c r="S526" s="212" t="s">
        <v>532</v>
      </c>
      <c r="T526" s="212" t="s">
        <v>445</v>
      </c>
      <c r="U526" s="212" t="s">
        <v>446</v>
      </c>
      <c r="V526" s="214" t="b">
        <v>1</v>
      </c>
      <c r="W526" s="214">
        <v>1989</v>
      </c>
      <c r="X526" s="214">
        <v>5</v>
      </c>
      <c r="Y526" s="214">
        <v>2</v>
      </c>
      <c r="Z526" s="214">
        <v>4</v>
      </c>
      <c r="AA526" s="212" t="s">
        <v>447</v>
      </c>
      <c r="AB526" s="212" t="s">
        <v>531</v>
      </c>
      <c r="AC526" s="212" t="s">
        <v>533</v>
      </c>
      <c r="AD526" s="214">
        <v>8.9402259999999991</v>
      </c>
      <c r="AE526" s="214">
        <v>608</v>
      </c>
      <c r="AF526" s="214">
        <v>4.5999999999999999E-3</v>
      </c>
      <c r="AG526" s="214">
        <v>-99</v>
      </c>
      <c r="AH526" s="212" t="s">
        <v>224</v>
      </c>
      <c r="AI526" s="212" t="s">
        <v>449</v>
      </c>
      <c r="AJ526" s="212" t="s">
        <v>420</v>
      </c>
      <c r="AK526" s="212" t="s">
        <v>531</v>
      </c>
      <c r="AL526" s="212" t="s">
        <v>454</v>
      </c>
      <c r="AM526" s="214" t="b">
        <v>1</v>
      </c>
      <c r="AN526" s="214" t="b">
        <v>0</v>
      </c>
      <c r="AO526" s="212" t="s">
        <v>421</v>
      </c>
      <c r="AP526" s="212" t="s">
        <v>422</v>
      </c>
      <c r="AQ526" s="214">
        <v>120.19158</v>
      </c>
      <c r="AR526" s="214" t="b">
        <v>0</v>
      </c>
      <c r="AS526" s="212" t="s">
        <v>534</v>
      </c>
      <c r="AU526" s="222" t="s">
        <v>819</v>
      </c>
    </row>
    <row r="527" spans="1:47" x14ac:dyDescent="0.25">
      <c r="A527" s="245">
        <f t="shared" si="70"/>
        <v>527</v>
      </c>
      <c r="B527" s="246" t="str">
        <f t="shared" si="76"/>
        <v>Oil Field - Tank</v>
      </c>
      <c r="C527" s="246" t="str">
        <f ca="1">IF(B527="","",VLOOKUP(D527,'Species Data'!B:E,4,FALSE))</f>
        <v>O_xylene</v>
      </c>
      <c r="D527" s="246">
        <f t="shared" ca="1" si="71"/>
        <v>620</v>
      </c>
      <c r="E527" s="246">
        <f t="shared" ca="1" si="72"/>
        <v>5.4999999999999997E-3</v>
      </c>
      <c r="F527" s="246" t="str">
        <f t="shared" ca="1" si="73"/>
        <v>O-xylene</v>
      </c>
      <c r="G527" s="246">
        <f t="shared" ca="1" si="74"/>
        <v>106.16500000000001</v>
      </c>
      <c r="H527" s="204">
        <f ca="1">IF(G527="","",IF(VLOOKUP(Tank!F527,'Species Data'!D:F,3,FALSE)=0,"X",IF(G527&lt;44.1,2,1)))</f>
        <v>1</v>
      </c>
      <c r="I527" s="204">
        <f t="shared" ca="1" si="75"/>
        <v>5.0080480772615434E-2</v>
      </c>
      <c r="J527" s="247">
        <f ca="1">IF(I527="","",IF(COUNTIF($D$12:D527,D527)=1,IF(H527=1,I527*H527,IF(H527="X","X",0)),0))</f>
        <v>0</v>
      </c>
      <c r="K527" s="248">
        <f t="shared" ca="1" si="77"/>
        <v>0</v>
      </c>
      <c r="L527" s="212" t="s">
        <v>679</v>
      </c>
      <c r="M527" s="212" t="s">
        <v>448</v>
      </c>
      <c r="N527" s="212" t="s">
        <v>470</v>
      </c>
      <c r="O527" s="213">
        <v>41419</v>
      </c>
      <c r="P527" s="212" t="s">
        <v>531</v>
      </c>
      <c r="Q527" s="214">
        <v>100</v>
      </c>
      <c r="R527" s="212" t="s">
        <v>445</v>
      </c>
      <c r="S527" s="212" t="s">
        <v>532</v>
      </c>
      <c r="T527" s="212" t="s">
        <v>445</v>
      </c>
      <c r="U527" s="212" t="s">
        <v>446</v>
      </c>
      <c r="V527" s="214" t="b">
        <v>1</v>
      </c>
      <c r="W527" s="214">
        <v>1989</v>
      </c>
      <c r="X527" s="214">
        <v>5</v>
      </c>
      <c r="Y527" s="214">
        <v>2</v>
      </c>
      <c r="Z527" s="214">
        <v>4</v>
      </c>
      <c r="AA527" s="212" t="s">
        <v>447</v>
      </c>
      <c r="AB527" s="212" t="s">
        <v>531</v>
      </c>
      <c r="AC527" s="212" t="s">
        <v>533</v>
      </c>
      <c r="AD527" s="214">
        <v>8.9402259999999991</v>
      </c>
      <c r="AE527" s="214">
        <v>620</v>
      </c>
      <c r="AF527" s="214">
        <v>5.4999999999999997E-3</v>
      </c>
      <c r="AG527" s="214">
        <v>-99</v>
      </c>
      <c r="AH527" s="212" t="s">
        <v>224</v>
      </c>
      <c r="AI527" s="212" t="s">
        <v>449</v>
      </c>
      <c r="AJ527" s="212" t="s">
        <v>354</v>
      </c>
      <c r="AK527" s="212" t="s">
        <v>531</v>
      </c>
      <c r="AL527" s="212" t="s">
        <v>398</v>
      </c>
      <c r="AM527" s="214" t="b">
        <v>1</v>
      </c>
      <c r="AN527" s="214" t="b">
        <v>1</v>
      </c>
      <c r="AO527" s="212" t="s">
        <v>355</v>
      </c>
      <c r="AP527" s="212" t="s">
        <v>356</v>
      </c>
      <c r="AQ527" s="214">
        <v>106.16500000000001</v>
      </c>
      <c r="AR527" s="214" t="b">
        <v>0</v>
      </c>
      <c r="AS527" s="212" t="s">
        <v>534</v>
      </c>
      <c r="AU527" s="222" t="s">
        <v>819</v>
      </c>
    </row>
    <row r="528" spans="1:47" x14ac:dyDescent="0.25">
      <c r="A528" s="245">
        <f t="shared" si="70"/>
        <v>528</v>
      </c>
      <c r="B528" s="246" t="str">
        <f t="shared" si="76"/>
        <v>Oil Field - Tank</v>
      </c>
      <c r="C528" s="246" t="str">
        <f ca="1">IF(B528="","",VLOOKUP(D528,'Species Data'!B:E,4,FALSE))</f>
        <v>P_xylene</v>
      </c>
      <c r="D528" s="246">
        <f t="shared" ca="1" si="71"/>
        <v>648</v>
      </c>
      <c r="E528" s="246">
        <f t="shared" ca="1" si="72"/>
        <v>6.4999999999999997E-3</v>
      </c>
      <c r="F528" s="246" t="str">
        <f t="shared" ca="1" si="73"/>
        <v>P-xylene</v>
      </c>
      <c r="G528" s="246">
        <f t="shared" ca="1" si="74"/>
        <v>106.16500000000001</v>
      </c>
      <c r="H528" s="204">
        <f ca="1">IF(G528="","",IF(VLOOKUP(Tank!F528,'Species Data'!D:F,3,FALSE)=0,"X",IF(G528&lt;44.1,2,1)))</f>
        <v>1</v>
      </c>
      <c r="I528" s="204">
        <f t="shared" ca="1" si="75"/>
        <v>8.2000787207557213E-2</v>
      </c>
      <c r="J528" s="247">
        <f ca="1">IF(I528="","",IF(COUNTIF($D$12:D528,D528)=1,IF(H528=1,I528*H528,IF(H528="X","X",0)),0))</f>
        <v>0</v>
      </c>
      <c r="K528" s="248">
        <f t="shared" ca="1" si="77"/>
        <v>0</v>
      </c>
      <c r="L528" s="212" t="s">
        <v>679</v>
      </c>
      <c r="M528" s="212" t="s">
        <v>448</v>
      </c>
      <c r="N528" s="212" t="s">
        <v>470</v>
      </c>
      <c r="O528" s="213">
        <v>41419</v>
      </c>
      <c r="P528" s="212" t="s">
        <v>531</v>
      </c>
      <c r="Q528" s="214">
        <v>100</v>
      </c>
      <c r="R528" s="212" t="s">
        <v>445</v>
      </c>
      <c r="S528" s="212" t="s">
        <v>532</v>
      </c>
      <c r="T528" s="212" t="s">
        <v>445</v>
      </c>
      <c r="U528" s="212" t="s">
        <v>446</v>
      </c>
      <c r="V528" s="214" t="b">
        <v>1</v>
      </c>
      <c r="W528" s="214">
        <v>1989</v>
      </c>
      <c r="X528" s="214">
        <v>5</v>
      </c>
      <c r="Y528" s="214">
        <v>2</v>
      </c>
      <c r="Z528" s="214">
        <v>4</v>
      </c>
      <c r="AA528" s="212" t="s">
        <v>447</v>
      </c>
      <c r="AB528" s="212" t="s">
        <v>531</v>
      </c>
      <c r="AC528" s="212" t="s">
        <v>533</v>
      </c>
      <c r="AD528" s="214">
        <v>8.9402259999999991</v>
      </c>
      <c r="AE528" s="214">
        <v>648</v>
      </c>
      <c r="AF528" s="214">
        <v>6.4999999999999997E-3</v>
      </c>
      <c r="AG528" s="214">
        <v>-99</v>
      </c>
      <c r="AH528" s="212" t="s">
        <v>224</v>
      </c>
      <c r="AI528" s="212" t="s">
        <v>449</v>
      </c>
      <c r="AJ528" s="212" t="s">
        <v>433</v>
      </c>
      <c r="AK528" s="212" t="s">
        <v>531</v>
      </c>
      <c r="AL528" s="212" t="s">
        <v>459</v>
      </c>
      <c r="AM528" s="214" t="b">
        <v>0</v>
      </c>
      <c r="AN528" s="214" t="b">
        <v>1</v>
      </c>
      <c r="AO528" s="212" t="s">
        <v>434</v>
      </c>
      <c r="AP528" s="212" t="s">
        <v>435</v>
      </c>
      <c r="AQ528" s="214">
        <v>106.16500000000001</v>
      </c>
      <c r="AR528" s="214" t="b">
        <v>0</v>
      </c>
      <c r="AS528" s="212" t="s">
        <v>534</v>
      </c>
      <c r="AU528" s="222" t="s">
        <v>819</v>
      </c>
    </row>
    <row r="529" spans="1:47" x14ac:dyDescent="0.25">
      <c r="A529" s="245">
        <f t="shared" si="70"/>
        <v>529</v>
      </c>
      <c r="B529" s="246" t="str">
        <f t="shared" si="76"/>
        <v>Oil Field - Tank</v>
      </c>
      <c r="C529" s="246" t="str">
        <f ca="1">IF(B529="","",VLOOKUP(D529,'Species Data'!B:E,4,FALSE))</f>
        <v>propane</v>
      </c>
      <c r="D529" s="246">
        <f t="shared" ca="1" si="71"/>
        <v>671</v>
      </c>
      <c r="E529" s="246">
        <f t="shared" ca="1" si="72"/>
        <v>1.9722</v>
      </c>
      <c r="F529" s="246" t="str">
        <f t="shared" ca="1" si="73"/>
        <v>Propane</v>
      </c>
      <c r="G529" s="246">
        <f t="shared" ca="1" si="74"/>
        <v>44.095619999999997</v>
      </c>
      <c r="H529" s="204">
        <f ca="1">IF(G529="","",IF(VLOOKUP(Tank!F529,'Species Data'!D:F,3,FALSE)=0,"X",IF(G529&lt;44.1,2,1)))</f>
        <v>2</v>
      </c>
      <c r="I529" s="204">
        <f t="shared" ca="1" si="75"/>
        <v>10.138737331878389</v>
      </c>
      <c r="J529" s="247">
        <f ca="1">IF(I529="","",IF(COUNTIF($D$12:D529,D529)=1,IF(H529=1,I529*H529,IF(H529="X","X",0)),0))</f>
        <v>0</v>
      </c>
      <c r="K529" s="248">
        <f t="shared" ca="1" si="77"/>
        <v>0</v>
      </c>
      <c r="L529" s="212" t="s">
        <v>679</v>
      </c>
      <c r="M529" s="212" t="s">
        <v>448</v>
      </c>
      <c r="N529" s="212" t="s">
        <v>470</v>
      </c>
      <c r="O529" s="213">
        <v>41419</v>
      </c>
      <c r="P529" s="212" t="s">
        <v>531</v>
      </c>
      <c r="Q529" s="214">
        <v>100</v>
      </c>
      <c r="R529" s="212" t="s">
        <v>445</v>
      </c>
      <c r="S529" s="212" t="s">
        <v>532</v>
      </c>
      <c r="T529" s="212" t="s">
        <v>445</v>
      </c>
      <c r="U529" s="212" t="s">
        <v>446</v>
      </c>
      <c r="V529" s="214" t="b">
        <v>1</v>
      </c>
      <c r="W529" s="214">
        <v>1989</v>
      </c>
      <c r="X529" s="214">
        <v>5</v>
      </c>
      <c r="Y529" s="214">
        <v>2</v>
      </c>
      <c r="Z529" s="214">
        <v>4</v>
      </c>
      <c r="AA529" s="212" t="s">
        <v>447</v>
      </c>
      <c r="AB529" s="212" t="s">
        <v>531</v>
      </c>
      <c r="AC529" s="212" t="s">
        <v>533</v>
      </c>
      <c r="AD529" s="214">
        <v>8.9402259999999991</v>
      </c>
      <c r="AE529" s="214">
        <v>671</v>
      </c>
      <c r="AF529" s="214">
        <v>1.9722</v>
      </c>
      <c r="AG529" s="214">
        <v>-99</v>
      </c>
      <c r="AH529" s="212" t="s">
        <v>224</v>
      </c>
      <c r="AI529" s="212" t="s">
        <v>449</v>
      </c>
      <c r="AJ529" s="212" t="s">
        <v>288</v>
      </c>
      <c r="AK529" s="212" t="s">
        <v>531</v>
      </c>
      <c r="AL529" s="212" t="s">
        <v>382</v>
      </c>
      <c r="AM529" s="214" t="b">
        <v>1</v>
      </c>
      <c r="AN529" s="214" t="b">
        <v>0</v>
      </c>
      <c r="AO529" s="212" t="s">
        <v>289</v>
      </c>
      <c r="AP529" s="212" t="s">
        <v>290</v>
      </c>
      <c r="AQ529" s="214">
        <v>44.095619999999997</v>
      </c>
      <c r="AR529" s="214" t="b">
        <v>0</v>
      </c>
      <c r="AS529" s="212" t="s">
        <v>534</v>
      </c>
      <c r="AU529" s="222" t="s">
        <v>819</v>
      </c>
    </row>
    <row r="530" spans="1:47" x14ac:dyDescent="0.25">
      <c r="A530" s="245">
        <f t="shared" si="70"/>
        <v>530</v>
      </c>
      <c r="B530" s="246" t="str">
        <f t="shared" si="76"/>
        <v>Oil Field - Tank</v>
      </c>
      <c r="C530" s="246" t="str">
        <f ca="1">IF(B530="","",VLOOKUP(D530,'Species Data'!B:E,4,FALSE))</f>
        <v>toluene</v>
      </c>
      <c r="D530" s="246">
        <f t="shared" ca="1" si="71"/>
        <v>717</v>
      </c>
      <c r="E530" s="246">
        <f t="shared" ca="1" si="72"/>
        <v>1.2699999999999999E-2</v>
      </c>
      <c r="F530" s="246" t="str">
        <f t="shared" ca="1" si="73"/>
        <v>Toluene</v>
      </c>
      <c r="G530" s="246">
        <f t="shared" ca="1" si="74"/>
        <v>92.138419999999996</v>
      </c>
      <c r="H530" s="204">
        <f ca="1">IF(G530="","",IF(VLOOKUP(Tank!F530,'Species Data'!D:F,3,FALSE)=0,"X",IF(G530&lt;44.1,2,1)))</f>
        <v>1</v>
      </c>
      <c r="I530" s="204">
        <f t="shared" ca="1" si="75"/>
        <v>0.21631540996126902</v>
      </c>
      <c r="J530" s="247">
        <f ca="1">IF(I530="","",IF(COUNTIF($D$12:D530,D530)=1,IF(H530=1,I530*H530,IF(H530="X","X",0)),0))</f>
        <v>0</v>
      </c>
      <c r="K530" s="248">
        <f t="shared" ca="1" si="77"/>
        <v>0</v>
      </c>
      <c r="L530" s="212" t="s">
        <v>679</v>
      </c>
      <c r="M530" s="212" t="s">
        <v>448</v>
      </c>
      <c r="N530" s="212" t="s">
        <v>470</v>
      </c>
      <c r="O530" s="213">
        <v>41419</v>
      </c>
      <c r="P530" s="212" t="s">
        <v>531</v>
      </c>
      <c r="Q530" s="214">
        <v>100</v>
      </c>
      <c r="R530" s="212" t="s">
        <v>445</v>
      </c>
      <c r="S530" s="212" t="s">
        <v>532</v>
      </c>
      <c r="T530" s="212" t="s">
        <v>445</v>
      </c>
      <c r="U530" s="212" t="s">
        <v>446</v>
      </c>
      <c r="V530" s="214" t="b">
        <v>1</v>
      </c>
      <c r="W530" s="214">
        <v>1989</v>
      </c>
      <c r="X530" s="214">
        <v>5</v>
      </c>
      <c r="Y530" s="214">
        <v>2</v>
      </c>
      <c r="Z530" s="214">
        <v>4</v>
      </c>
      <c r="AA530" s="212" t="s">
        <v>447</v>
      </c>
      <c r="AB530" s="212" t="s">
        <v>531</v>
      </c>
      <c r="AC530" s="212" t="s">
        <v>533</v>
      </c>
      <c r="AD530" s="214">
        <v>8.9402259999999991</v>
      </c>
      <c r="AE530" s="214">
        <v>717</v>
      </c>
      <c r="AF530" s="214">
        <v>1.2699999999999999E-2</v>
      </c>
      <c r="AG530" s="214">
        <v>-99</v>
      </c>
      <c r="AH530" s="212" t="s">
        <v>224</v>
      </c>
      <c r="AI530" s="212" t="s">
        <v>449</v>
      </c>
      <c r="AJ530" s="212" t="s">
        <v>294</v>
      </c>
      <c r="AK530" s="212" t="s">
        <v>531</v>
      </c>
      <c r="AL530" s="212" t="s">
        <v>383</v>
      </c>
      <c r="AM530" s="214" t="b">
        <v>1</v>
      </c>
      <c r="AN530" s="214" t="b">
        <v>1</v>
      </c>
      <c r="AO530" s="212" t="s">
        <v>295</v>
      </c>
      <c r="AP530" s="212" t="s">
        <v>296</v>
      </c>
      <c r="AQ530" s="214">
        <v>92.138419999999996</v>
      </c>
      <c r="AR530" s="214" t="b">
        <v>0</v>
      </c>
      <c r="AS530" s="212" t="s">
        <v>534</v>
      </c>
      <c r="AU530" s="222" t="s">
        <v>819</v>
      </c>
    </row>
    <row r="531" spans="1:47" x14ac:dyDescent="0.25">
      <c r="A531" s="245">
        <f t="shared" si="70"/>
        <v>531</v>
      </c>
      <c r="B531" s="246" t="str">
        <f t="shared" si="76"/>
        <v>Oil Field - Tank</v>
      </c>
      <c r="C531" s="246" t="str">
        <f ca="1">IF(B531="","",VLOOKUP(D531,'Species Data'!B:E,4,FALSE))</f>
        <v>c10_comp</v>
      </c>
      <c r="D531" s="246">
        <f t="shared" ca="1" si="71"/>
        <v>1924</v>
      </c>
      <c r="E531" s="246">
        <f t="shared" ca="1" si="72"/>
        <v>1.5699999999999999E-2</v>
      </c>
      <c r="F531" s="246" t="str">
        <f t="shared" ca="1" si="73"/>
        <v>C-10 Compounds</v>
      </c>
      <c r="G531" s="246">
        <f t="shared" ca="1" si="74"/>
        <v>142.28167999999999</v>
      </c>
      <c r="H531" s="204" t="str">
        <f ca="1">IF(G531="","",IF(VLOOKUP(Tank!F531,'Species Data'!D:F,3,FALSE)=0,"X",IF(G531&lt;44.1,2,1)))</f>
        <v>X</v>
      </c>
      <c r="I531" s="204">
        <f t="shared" ca="1" si="75"/>
        <v>0.15904819352932459</v>
      </c>
      <c r="J531" s="247">
        <f ca="1">IF(I531="","",IF(COUNTIF($D$12:D531,D531)=1,IF(H531=1,I531*H531,IF(H531="X","X",0)),0))</f>
        <v>0</v>
      </c>
      <c r="K531" s="248">
        <f t="shared" ca="1" si="77"/>
        <v>0</v>
      </c>
      <c r="L531" s="212" t="s">
        <v>679</v>
      </c>
      <c r="M531" s="212" t="s">
        <v>448</v>
      </c>
      <c r="N531" s="212" t="s">
        <v>470</v>
      </c>
      <c r="O531" s="213">
        <v>41419</v>
      </c>
      <c r="P531" s="212" t="s">
        <v>531</v>
      </c>
      <c r="Q531" s="214">
        <v>100</v>
      </c>
      <c r="R531" s="212" t="s">
        <v>445</v>
      </c>
      <c r="S531" s="212" t="s">
        <v>532</v>
      </c>
      <c r="T531" s="212" t="s">
        <v>445</v>
      </c>
      <c r="U531" s="212" t="s">
        <v>446</v>
      </c>
      <c r="V531" s="214" t="b">
        <v>1</v>
      </c>
      <c r="W531" s="214">
        <v>1989</v>
      </c>
      <c r="X531" s="214">
        <v>5</v>
      </c>
      <c r="Y531" s="214">
        <v>2</v>
      </c>
      <c r="Z531" s="214">
        <v>4</v>
      </c>
      <c r="AA531" s="212" t="s">
        <v>447</v>
      </c>
      <c r="AB531" s="212" t="s">
        <v>531</v>
      </c>
      <c r="AC531" s="212" t="s">
        <v>533</v>
      </c>
      <c r="AD531" s="214">
        <v>8.9402259999999991</v>
      </c>
      <c r="AE531" s="214">
        <v>1924</v>
      </c>
      <c r="AF531" s="214">
        <v>1.5699999999999999E-2</v>
      </c>
      <c r="AG531" s="214">
        <v>-99</v>
      </c>
      <c r="AH531" s="212" t="s">
        <v>224</v>
      </c>
      <c r="AI531" s="212" t="s">
        <v>449</v>
      </c>
      <c r="AJ531" s="212" t="s">
        <v>224</v>
      </c>
      <c r="AK531" s="212" t="s">
        <v>531</v>
      </c>
      <c r="AL531" s="212" t="s">
        <v>466</v>
      </c>
      <c r="AM531" s="214" t="b">
        <v>0</v>
      </c>
      <c r="AN531" s="214" t="b">
        <v>0</v>
      </c>
      <c r="AO531" s="212" t="s">
        <v>535</v>
      </c>
      <c r="AP531" s="212" t="s">
        <v>536</v>
      </c>
      <c r="AQ531" s="214">
        <v>142.28167999999999</v>
      </c>
      <c r="AR531" s="214" t="b">
        <v>0</v>
      </c>
      <c r="AS531" s="212" t="s">
        <v>534</v>
      </c>
      <c r="AU531" s="222" t="s">
        <v>819</v>
      </c>
    </row>
    <row r="532" spans="1:47" x14ac:dyDescent="0.25">
      <c r="A532" s="245">
        <f t="shared" si="70"/>
        <v>532</v>
      </c>
      <c r="B532" s="246" t="str">
        <f t="shared" si="76"/>
        <v>Oil Field - Tank</v>
      </c>
      <c r="C532" s="246" t="str">
        <f ca="1">IF(B532="","",VLOOKUP(D532,'Species Data'!B:E,4,FALSE))</f>
        <v>c5_comp</v>
      </c>
      <c r="D532" s="246">
        <f t="shared" ca="1" si="71"/>
        <v>1986</v>
      </c>
      <c r="E532" s="246">
        <f t="shared" ca="1" si="72"/>
        <v>9.1800000000000007E-2</v>
      </c>
      <c r="F532" s="246" t="str">
        <f t="shared" ca="1" si="73"/>
        <v>C-5 Compounds</v>
      </c>
      <c r="G532" s="246">
        <f t="shared" ca="1" si="74"/>
        <v>72.148780000000002</v>
      </c>
      <c r="H532" s="204" t="str">
        <f ca="1">IF(G532="","",IF(VLOOKUP(Tank!F532,'Species Data'!D:F,3,FALSE)=0,"X",IF(G532&lt;44.1,2,1)))</f>
        <v>X</v>
      </c>
      <c r="I532" s="204">
        <f t="shared" ca="1" si="75"/>
        <v>2.1162936497523712</v>
      </c>
      <c r="J532" s="247">
        <f ca="1">IF(I532="","",IF(COUNTIF($D$12:D532,D532)=1,IF(H532=1,I532*H532,IF(H532="X","X",0)),0))</f>
        <v>0</v>
      </c>
      <c r="K532" s="248">
        <f t="shared" ca="1" si="77"/>
        <v>0</v>
      </c>
      <c r="L532" s="212" t="s">
        <v>679</v>
      </c>
      <c r="M532" s="212" t="s">
        <v>448</v>
      </c>
      <c r="N532" s="212" t="s">
        <v>470</v>
      </c>
      <c r="O532" s="213">
        <v>41419</v>
      </c>
      <c r="P532" s="212" t="s">
        <v>531</v>
      </c>
      <c r="Q532" s="214">
        <v>100</v>
      </c>
      <c r="R532" s="212" t="s">
        <v>445</v>
      </c>
      <c r="S532" s="212" t="s">
        <v>532</v>
      </c>
      <c r="T532" s="212" t="s">
        <v>445</v>
      </c>
      <c r="U532" s="212" t="s">
        <v>446</v>
      </c>
      <c r="V532" s="214" t="b">
        <v>1</v>
      </c>
      <c r="W532" s="214">
        <v>1989</v>
      </c>
      <c r="X532" s="214">
        <v>5</v>
      </c>
      <c r="Y532" s="214">
        <v>2</v>
      </c>
      <c r="Z532" s="214">
        <v>4</v>
      </c>
      <c r="AA532" s="212" t="s">
        <v>447</v>
      </c>
      <c r="AB532" s="212" t="s">
        <v>531</v>
      </c>
      <c r="AC532" s="212" t="s">
        <v>533</v>
      </c>
      <c r="AD532" s="214">
        <v>8.9402259999999991</v>
      </c>
      <c r="AE532" s="214">
        <v>1986</v>
      </c>
      <c r="AF532" s="214">
        <v>9.1800000000000007E-2</v>
      </c>
      <c r="AG532" s="214">
        <v>-99</v>
      </c>
      <c r="AH532" s="212" t="s">
        <v>224</v>
      </c>
      <c r="AI532" s="212" t="s">
        <v>449</v>
      </c>
      <c r="AJ532" s="212" t="s">
        <v>224</v>
      </c>
      <c r="AK532" s="212" t="s">
        <v>531</v>
      </c>
      <c r="AL532" s="212" t="s">
        <v>537</v>
      </c>
      <c r="AM532" s="214" t="b">
        <v>0</v>
      </c>
      <c r="AN532" s="214" t="b">
        <v>0</v>
      </c>
      <c r="AO532" s="212" t="s">
        <v>538</v>
      </c>
      <c r="AP532" s="212" t="s">
        <v>539</v>
      </c>
      <c r="AQ532" s="214">
        <v>72.148780000000002</v>
      </c>
      <c r="AR532" s="214" t="b">
        <v>0</v>
      </c>
      <c r="AS532" s="212" t="s">
        <v>534</v>
      </c>
      <c r="AU532" s="222" t="s">
        <v>819</v>
      </c>
    </row>
    <row r="533" spans="1:47" x14ac:dyDescent="0.25">
      <c r="A533" s="245">
        <f t="shared" si="70"/>
        <v>533</v>
      </c>
      <c r="B533" s="246" t="str">
        <f t="shared" si="76"/>
        <v>Oil Field - Tank</v>
      </c>
      <c r="C533" s="246" t="str">
        <f ca="1">IF(B533="","",VLOOKUP(D533,'Species Data'!B:E,4,FALSE))</f>
        <v>c6_comp</v>
      </c>
      <c r="D533" s="246">
        <f t="shared" ca="1" si="71"/>
        <v>1999</v>
      </c>
      <c r="E533" s="246">
        <f t="shared" ca="1" si="72"/>
        <v>0.71040000000000003</v>
      </c>
      <c r="F533" s="246" t="str">
        <f t="shared" ca="1" si="73"/>
        <v>C-6 Compounds</v>
      </c>
      <c r="G533" s="246">
        <f t="shared" ca="1" si="74"/>
        <v>86.175359999999998</v>
      </c>
      <c r="H533" s="204" t="str">
        <f ca="1">IF(G533="","",IF(VLOOKUP(Tank!F533,'Species Data'!D:F,3,FALSE)=0,"X",IF(G533&lt;44.1,2,1)))</f>
        <v>X</v>
      </c>
      <c r="I533" s="204">
        <f t="shared" ca="1" si="75"/>
        <v>3.9709781213899662</v>
      </c>
      <c r="J533" s="247">
        <f ca="1">IF(I533="","",IF(COUNTIF($D$12:D533,D533)=1,IF(H533=1,I533*H533,IF(H533="X","X",0)),0))</f>
        <v>0</v>
      </c>
      <c r="K533" s="248">
        <f t="shared" ca="1" si="77"/>
        <v>0</v>
      </c>
      <c r="L533" s="212" t="s">
        <v>679</v>
      </c>
      <c r="M533" s="212" t="s">
        <v>448</v>
      </c>
      <c r="N533" s="212" t="s">
        <v>470</v>
      </c>
      <c r="O533" s="213">
        <v>41419</v>
      </c>
      <c r="P533" s="212" t="s">
        <v>531</v>
      </c>
      <c r="Q533" s="214">
        <v>100</v>
      </c>
      <c r="R533" s="212" t="s">
        <v>445</v>
      </c>
      <c r="S533" s="212" t="s">
        <v>532</v>
      </c>
      <c r="T533" s="212" t="s">
        <v>445</v>
      </c>
      <c r="U533" s="212" t="s">
        <v>446</v>
      </c>
      <c r="V533" s="214" t="b">
        <v>1</v>
      </c>
      <c r="W533" s="214">
        <v>1989</v>
      </c>
      <c r="X533" s="214">
        <v>5</v>
      </c>
      <c r="Y533" s="214">
        <v>2</v>
      </c>
      <c r="Z533" s="214">
        <v>4</v>
      </c>
      <c r="AA533" s="212" t="s">
        <v>447</v>
      </c>
      <c r="AB533" s="212" t="s">
        <v>531</v>
      </c>
      <c r="AC533" s="212" t="s">
        <v>533</v>
      </c>
      <c r="AD533" s="214">
        <v>8.9402259999999991</v>
      </c>
      <c r="AE533" s="214">
        <v>1999</v>
      </c>
      <c r="AF533" s="214">
        <v>0.71040000000000003</v>
      </c>
      <c r="AG533" s="214">
        <v>-99</v>
      </c>
      <c r="AH533" s="212" t="s">
        <v>224</v>
      </c>
      <c r="AI533" s="212" t="s">
        <v>449</v>
      </c>
      <c r="AJ533" s="212" t="s">
        <v>224</v>
      </c>
      <c r="AK533" s="212" t="s">
        <v>531</v>
      </c>
      <c r="AL533" s="212" t="s">
        <v>540</v>
      </c>
      <c r="AM533" s="214" t="b">
        <v>0</v>
      </c>
      <c r="AN533" s="214" t="b">
        <v>0</v>
      </c>
      <c r="AO533" s="212" t="s">
        <v>541</v>
      </c>
      <c r="AP533" s="212" t="s">
        <v>542</v>
      </c>
      <c r="AQ533" s="214">
        <v>86.175359999999998</v>
      </c>
      <c r="AR533" s="214" t="b">
        <v>0</v>
      </c>
      <c r="AS533" s="212" t="s">
        <v>534</v>
      </c>
      <c r="AU533" s="222" t="s">
        <v>819</v>
      </c>
    </row>
    <row r="534" spans="1:47" x14ac:dyDescent="0.25">
      <c r="A534" s="245">
        <f t="shared" si="70"/>
        <v>534</v>
      </c>
      <c r="B534" s="246" t="str">
        <f t="shared" si="76"/>
        <v>Oil Field - Tank</v>
      </c>
      <c r="C534" s="246" t="str">
        <f ca="1">IF(B534="","",VLOOKUP(D534,'Species Data'!B:E,4,FALSE))</f>
        <v>c7_comp</v>
      </c>
      <c r="D534" s="246">
        <f t="shared" ca="1" si="71"/>
        <v>2005</v>
      </c>
      <c r="E534" s="246">
        <f t="shared" ca="1" si="72"/>
        <v>0.5625</v>
      </c>
      <c r="F534" s="246" t="str">
        <f t="shared" ca="1" si="73"/>
        <v>C-7 Compounds</v>
      </c>
      <c r="G534" s="246">
        <f t="shared" ca="1" si="74"/>
        <v>100.20194000000001</v>
      </c>
      <c r="H534" s="204" t="str">
        <f ca="1">IF(G534="","",IF(VLOOKUP(Tank!F534,'Species Data'!D:F,3,FALSE)=0,"X",IF(G534&lt;44.1,2,1)))</f>
        <v>X</v>
      </c>
      <c r="I534" s="204">
        <f t="shared" ca="1" si="75"/>
        <v>2.5253842436887401</v>
      </c>
      <c r="J534" s="247">
        <f ca="1">IF(I534="","",IF(COUNTIF($D$12:D534,D534)=1,IF(H534=1,I534*H534,IF(H534="X","X",0)),0))</f>
        <v>0</v>
      </c>
      <c r="K534" s="248">
        <f t="shared" ca="1" si="77"/>
        <v>0</v>
      </c>
      <c r="L534" s="212" t="s">
        <v>679</v>
      </c>
      <c r="M534" s="212" t="s">
        <v>448</v>
      </c>
      <c r="N534" s="212" t="s">
        <v>470</v>
      </c>
      <c r="O534" s="213">
        <v>41419</v>
      </c>
      <c r="P534" s="212" t="s">
        <v>531</v>
      </c>
      <c r="Q534" s="214">
        <v>100</v>
      </c>
      <c r="R534" s="212" t="s">
        <v>445</v>
      </c>
      <c r="S534" s="212" t="s">
        <v>532</v>
      </c>
      <c r="T534" s="212" t="s">
        <v>445</v>
      </c>
      <c r="U534" s="212" t="s">
        <v>446</v>
      </c>
      <c r="V534" s="214" t="b">
        <v>1</v>
      </c>
      <c r="W534" s="214">
        <v>1989</v>
      </c>
      <c r="X534" s="214">
        <v>5</v>
      </c>
      <c r="Y534" s="214">
        <v>2</v>
      </c>
      <c r="Z534" s="214">
        <v>4</v>
      </c>
      <c r="AA534" s="212" t="s">
        <v>447</v>
      </c>
      <c r="AB534" s="212" t="s">
        <v>531</v>
      </c>
      <c r="AC534" s="212" t="s">
        <v>533</v>
      </c>
      <c r="AD534" s="214">
        <v>8.9402259999999991</v>
      </c>
      <c r="AE534" s="214">
        <v>2005</v>
      </c>
      <c r="AF534" s="214">
        <v>0.5625</v>
      </c>
      <c r="AG534" s="214">
        <v>-99</v>
      </c>
      <c r="AH534" s="212" t="s">
        <v>224</v>
      </c>
      <c r="AI534" s="212" t="s">
        <v>449</v>
      </c>
      <c r="AJ534" s="212" t="s">
        <v>224</v>
      </c>
      <c r="AK534" s="212" t="s">
        <v>531</v>
      </c>
      <c r="AL534" s="212" t="s">
        <v>543</v>
      </c>
      <c r="AM534" s="214" t="b">
        <v>0</v>
      </c>
      <c r="AN534" s="214" t="b">
        <v>0</v>
      </c>
      <c r="AO534" s="212" t="s">
        <v>544</v>
      </c>
      <c r="AP534" s="212" t="s">
        <v>545</v>
      </c>
      <c r="AQ534" s="214">
        <v>100.20194000000001</v>
      </c>
      <c r="AR534" s="214" t="b">
        <v>0</v>
      </c>
      <c r="AS534" s="212" t="s">
        <v>534</v>
      </c>
      <c r="AU534" s="222" t="s">
        <v>819</v>
      </c>
    </row>
    <row r="535" spans="1:47" x14ac:dyDescent="0.25">
      <c r="A535" s="245">
        <f t="shared" si="70"/>
        <v>535</v>
      </c>
      <c r="B535" s="246" t="str">
        <f t="shared" si="76"/>
        <v>Oil Field - Tank</v>
      </c>
      <c r="C535" s="246" t="str">
        <f ca="1">IF(B535="","",VLOOKUP(D535,'Species Data'!B:E,4,FALSE))</f>
        <v>c8_comp</v>
      </c>
      <c r="D535" s="246">
        <f t="shared" ca="1" si="71"/>
        <v>2011</v>
      </c>
      <c r="E535" s="246">
        <f t="shared" ca="1" si="72"/>
        <v>0.34129999999999999</v>
      </c>
      <c r="F535" s="246" t="str">
        <f t="shared" ca="1" si="73"/>
        <v>C-8 Compounds</v>
      </c>
      <c r="G535" s="246">
        <f t="shared" ca="1" si="74"/>
        <v>113.21160686946486</v>
      </c>
      <c r="H535" s="204" t="str">
        <f ca="1">IF(G535="","",IF(VLOOKUP(Tank!F535,'Species Data'!D:F,3,FALSE)=0,"X",IF(G535&lt;44.1,2,1)))</f>
        <v>X</v>
      </c>
      <c r="I535" s="204">
        <f t="shared" ca="1" si="75"/>
        <v>1.3164259710226556</v>
      </c>
      <c r="J535" s="247">
        <f ca="1">IF(I535="","",IF(COUNTIF($D$12:D535,D535)=1,IF(H535=1,I535*H535,IF(H535="X","X",0)),0))</f>
        <v>0</v>
      </c>
      <c r="K535" s="248">
        <f t="shared" ca="1" si="77"/>
        <v>0</v>
      </c>
      <c r="L535" s="212" t="s">
        <v>679</v>
      </c>
      <c r="M535" s="212" t="s">
        <v>448</v>
      </c>
      <c r="N535" s="212" t="s">
        <v>470</v>
      </c>
      <c r="O535" s="213">
        <v>41419</v>
      </c>
      <c r="P535" s="212" t="s">
        <v>531</v>
      </c>
      <c r="Q535" s="214">
        <v>100</v>
      </c>
      <c r="R535" s="212" t="s">
        <v>445</v>
      </c>
      <c r="S535" s="212" t="s">
        <v>532</v>
      </c>
      <c r="T535" s="212" t="s">
        <v>445</v>
      </c>
      <c r="U535" s="212" t="s">
        <v>446</v>
      </c>
      <c r="V535" s="214" t="b">
        <v>1</v>
      </c>
      <c r="W535" s="214">
        <v>1989</v>
      </c>
      <c r="X535" s="214">
        <v>5</v>
      </c>
      <c r="Y535" s="214">
        <v>2</v>
      </c>
      <c r="Z535" s="214">
        <v>4</v>
      </c>
      <c r="AA535" s="212" t="s">
        <v>447</v>
      </c>
      <c r="AB535" s="212" t="s">
        <v>531</v>
      </c>
      <c r="AC535" s="212" t="s">
        <v>533</v>
      </c>
      <c r="AD535" s="214">
        <v>8.9402259999999991</v>
      </c>
      <c r="AE535" s="214">
        <v>2011</v>
      </c>
      <c r="AF535" s="214">
        <v>0.34129999999999999</v>
      </c>
      <c r="AG535" s="214">
        <v>-99</v>
      </c>
      <c r="AH535" s="212" t="s">
        <v>224</v>
      </c>
      <c r="AI535" s="212" t="s">
        <v>449</v>
      </c>
      <c r="AJ535" s="212" t="s">
        <v>224</v>
      </c>
      <c r="AK535" s="212" t="s">
        <v>531</v>
      </c>
      <c r="AL535" s="212" t="s">
        <v>546</v>
      </c>
      <c r="AM535" s="214" t="b">
        <v>0</v>
      </c>
      <c r="AN535" s="214" t="b">
        <v>0</v>
      </c>
      <c r="AO535" s="212" t="s">
        <v>547</v>
      </c>
      <c r="AP535" s="212" t="s">
        <v>548</v>
      </c>
      <c r="AQ535" s="214">
        <v>113.21160686946486</v>
      </c>
      <c r="AR535" s="214" t="b">
        <v>0</v>
      </c>
      <c r="AS535" s="212" t="s">
        <v>534</v>
      </c>
      <c r="AU535" s="222" t="s">
        <v>819</v>
      </c>
    </row>
    <row r="536" spans="1:47" x14ac:dyDescent="0.25">
      <c r="A536" s="245">
        <f t="shared" si="70"/>
        <v>536</v>
      </c>
      <c r="B536" s="246" t="str">
        <f t="shared" si="76"/>
        <v>Oil Field - Tank</v>
      </c>
      <c r="C536" s="246" t="str">
        <f ca="1">IF(B536="","",VLOOKUP(D536,'Species Data'!B:E,4,FALSE))</f>
        <v>c9_comp</v>
      </c>
      <c r="D536" s="246">
        <f t="shared" ca="1" si="71"/>
        <v>2018</v>
      </c>
      <c r="E536" s="246">
        <f t="shared" ca="1" si="72"/>
        <v>0.10059999999999999</v>
      </c>
      <c r="F536" s="246" t="str">
        <f t="shared" ca="1" si="73"/>
        <v>C-9 Compounds</v>
      </c>
      <c r="G536" s="246">
        <f t="shared" ca="1" si="74"/>
        <v>127.23917598649743</v>
      </c>
      <c r="H536" s="204" t="str">
        <f ca="1">IF(G536="","",IF(VLOOKUP(Tank!F536,'Species Data'!D:F,3,FALSE)=0,"X",IF(G536&lt;44.1,2,1)))</f>
        <v>X</v>
      </c>
      <c r="I536" s="204">
        <f t="shared" ca="1" si="75"/>
        <v>0.54975194428533192</v>
      </c>
      <c r="J536" s="247">
        <f ca="1">IF(I536="","",IF(COUNTIF($D$12:D536,D536)=1,IF(H536=1,I536*H536,IF(H536="X","X",0)),0))</f>
        <v>0</v>
      </c>
      <c r="K536" s="248">
        <f t="shared" ca="1" si="77"/>
        <v>0</v>
      </c>
      <c r="L536" s="212" t="s">
        <v>679</v>
      </c>
      <c r="M536" s="212" t="s">
        <v>448</v>
      </c>
      <c r="N536" s="212" t="s">
        <v>470</v>
      </c>
      <c r="O536" s="213">
        <v>41419</v>
      </c>
      <c r="P536" s="212" t="s">
        <v>531</v>
      </c>
      <c r="Q536" s="214">
        <v>100</v>
      </c>
      <c r="R536" s="212" t="s">
        <v>445</v>
      </c>
      <c r="S536" s="212" t="s">
        <v>532</v>
      </c>
      <c r="T536" s="212" t="s">
        <v>445</v>
      </c>
      <c r="U536" s="212" t="s">
        <v>446</v>
      </c>
      <c r="V536" s="214" t="b">
        <v>1</v>
      </c>
      <c r="W536" s="214">
        <v>1989</v>
      </c>
      <c r="X536" s="214">
        <v>5</v>
      </c>
      <c r="Y536" s="214">
        <v>2</v>
      </c>
      <c r="Z536" s="214">
        <v>4</v>
      </c>
      <c r="AA536" s="212" t="s">
        <v>447</v>
      </c>
      <c r="AB536" s="212" t="s">
        <v>531</v>
      </c>
      <c r="AC536" s="212" t="s">
        <v>533</v>
      </c>
      <c r="AD536" s="214">
        <v>8.9402259999999991</v>
      </c>
      <c r="AE536" s="214">
        <v>2018</v>
      </c>
      <c r="AF536" s="214">
        <v>0.10059999999999999</v>
      </c>
      <c r="AG536" s="214">
        <v>-99</v>
      </c>
      <c r="AH536" s="212" t="s">
        <v>224</v>
      </c>
      <c r="AI536" s="212" t="s">
        <v>449</v>
      </c>
      <c r="AJ536" s="212" t="s">
        <v>224</v>
      </c>
      <c r="AK536" s="212" t="s">
        <v>531</v>
      </c>
      <c r="AL536" s="212" t="s">
        <v>464</v>
      </c>
      <c r="AM536" s="214" t="b">
        <v>0</v>
      </c>
      <c r="AN536" s="214" t="b">
        <v>0</v>
      </c>
      <c r="AO536" s="212" t="s">
        <v>549</v>
      </c>
      <c r="AP536" s="212" t="s">
        <v>550</v>
      </c>
      <c r="AQ536" s="214">
        <v>127.23917598649743</v>
      </c>
      <c r="AR536" s="214" t="b">
        <v>0</v>
      </c>
      <c r="AS536" s="212" t="s">
        <v>534</v>
      </c>
      <c r="AU536" s="222" t="s">
        <v>819</v>
      </c>
    </row>
    <row r="537" spans="1:47" x14ac:dyDescent="0.25">
      <c r="A537" s="245">
        <f t="shared" si="70"/>
        <v>537</v>
      </c>
      <c r="B537" s="246" t="str">
        <f t="shared" si="76"/>
        <v>Oil Field - Tank</v>
      </c>
      <c r="C537" s="246" t="str">
        <f ca="1">IF(B537="","",VLOOKUP(D537,'Species Data'!B:E,4,FALSE))</f>
        <v>trimethben123</v>
      </c>
      <c r="D537" s="246">
        <f t="shared" ca="1" si="71"/>
        <v>25</v>
      </c>
      <c r="E537" s="246">
        <f t="shared" ca="1" si="72"/>
        <v>1.5599999999999999E-2</v>
      </c>
      <c r="F537" s="246" t="str">
        <f t="shared" ca="1" si="73"/>
        <v>1,2,3-trimethylbenzene</v>
      </c>
      <c r="G537" s="246">
        <f t="shared" ca="1" si="74"/>
        <v>120.19158</v>
      </c>
      <c r="H537" s="204">
        <f ca="1">IF(G537="","",IF(VLOOKUP(Tank!F537,'Species Data'!D:F,3,FALSE)=0,"X",IF(G537&lt;44.1,2,1)))</f>
        <v>1</v>
      </c>
      <c r="I537" s="204">
        <f t="shared" ca="1" si="75"/>
        <v>1.0560101376973221E-2</v>
      </c>
      <c r="J537" s="247">
        <f ca="1">IF(I537="","",IF(COUNTIF($D$12:D537,D537)=1,IF(H537=1,I537*H537,IF(H537="X","X",0)),0))</f>
        <v>0</v>
      </c>
      <c r="K537" s="248">
        <f t="shared" ca="1" si="77"/>
        <v>0</v>
      </c>
      <c r="L537" s="212" t="s">
        <v>679</v>
      </c>
      <c r="M537" s="212" t="s">
        <v>448</v>
      </c>
      <c r="N537" s="212" t="s">
        <v>470</v>
      </c>
      <c r="O537" s="213">
        <v>41419</v>
      </c>
      <c r="P537" s="212" t="s">
        <v>531</v>
      </c>
      <c r="Q537" s="214">
        <v>100</v>
      </c>
      <c r="R537" s="212" t="s">
        <v>445</v>
      </c>
      <c r="S537" s="212" t="s">
        <v>532</v>
      </c>
      <c r="T537" s="212" t="s">
        <v>445</v>
      </c>
      <c r="U537" s="212" t="s">
        <v>446</v>
      </c>
      <c r="V537" s="214" t="b">
        <v>1</v>
      </c>
      <c r="W537" s="214">
        <v>1989</v>
      </c>
      <c r="X537" s="214">
        <v>5</v>
      </c>
      <c r="Y537" s="214">
        <v>2</v>
      </c>
      <c r="Z537" s="214">
        <v>4</v>
      </c>
      <c r="AA537" s="212" t="s">
        <v>447</v>
      </c>
      <c r="AB537" s="212" t="s">
        <v>531</v>
      </c>
      <c r="AC537" s="212" t="s">
        <v>533</v>
      </c>
      <c r="AD537" s="214">
        <v>2.6904720000000002</v>
      </c>
      <c r="AE537" s="214">
        <v>25</v>
      </c>
      <c r="AF537" s="214">
        <v>1.5599999999999999E-2</v>
      </c>
      <c r="AG537" s="214">
        <v>-99</v>
      </c>
      <c r="AH537" s="212" t="s">
        <v>224</v>
      </c>
      <c r="AI537" s="212" t="s">
        <v>449</v>
      </c>
      <c r="AJ537" s="212" t="s">
        <v>627</v>
      </c>
      <c r="AK537" s="212" t="s">
        <v>531</v>
      </c>
      <c r="AL537" s="212" t="s">
        <v>628</v>
      </c>
      <c r="AM537" s="214" t="b">
        <v>1</v>
      </c>
      <c r="AN537" s="214" t="b">
        <v>0</v>
      </c>
      <c r="AO537" s="212" t="s">
        <v>629</v>
      </c>
      <c r="AP537" s="212" t="s">
        <v>630</v>
      </c>
      <c r="AQ537" s="214">
        <v>120.19158</v>
      </c>
      <c r="AR537" s="214" t="b">
        <v>0</v>
      </c>
      <c r="AS537" s="212" t="s">
        <v>534</v>
      </c>
      <c r="AU537" s="222" t="s">
        <v>819</v>
      </c>
    </row>
    <row r="538" spans="1:47" x14ac:dyDescent="0.25">
      <c r="A538" s="245">
        <f t="shared" si="70"/>
        <v>538</v>
      </c>
      <c r="B538" s="246" t="str">
        <f t="shared" si="76"/>
        <v>Oil Field - Tank</v>
      </c>
      <c r="C538" s="246" t="str">
        <f ca="1">IF(B538="","",VLOOKUP(D538,'Species Data'!B:E,4,FALSE))</f>
        <v>trimetben124</v>
      </c>
      <c r="D538" s="246">
        <f t="shared" ca="1" si="71"/>
        <v>30</v>
      </c>
      <c r="E538" s="246">
        <f t="shared" ca="1" si="72"/>
        <v>1.4999999999999999E-2</v>
      </c>
      <c r="F538" s="246" t="str">
        <f t="shared" ca="1" si="73"/>
        <v>1,2,4-trimethylbenzene  (1,3,4-trimethylbenzene)</v>
      </c>
      <c r="G538" s="246">
        <f t="shared" ca="1" si="74"/>
        <v>120.19158</v>
      </c>
      <c r="H538" s="204">
        <f ca="1">IF(G538="","",IF(VLOOKUP(Tank!F538,'Species Data'!D:F,3,FALSE)=0,"X",IF(G538&lt;44.1,2,1)))</f>
        <v>1</v>
      </c>
      <c r="I538" s="204">
        <f t="shared" ca="1" si="75"/>
        <v>1.1400109441050636E-2</v>
      </c>
      <c r="J538" s="247">
        <f ca="1">IF(I538="","",IF(COUNTIF($D$12:D538,D538)=1,IF(H538=1,I538*H538,IF(H538="X","X",0)),0))</f>
        <v>0</v>
      </c>
      <c r="K538" s="248">
        <f t="shared" ca="1" si="77"/>
        <v>0</v>
      </c>
      <c r="L538" s="212" t="s">
        <v>679</v>
      </c>
      <c r="M538" s="212" t="s">
        <v>448</v>
      </c>
      <c r="N538" s="212" t="s">
        <v>470</v>
      </c>
      <c r="O538" s="213">
        <v>41419</v>
      </c>
      <c r="P538" s="212" t="s">
        <v>531</v>
      </c>
      <c r="Q538" s="214">
        <v>100</v>
      </c>
      <c r="R538" s="212" t="s">
        <v>445</v>
      </c>
      <c r="S538" s="212" t="s">
        <v>532</v>
      </c>
      <c r="T538" s="212" t="s">
        <v>445</v>
      </c>
      <c r="U538" s="212" t="s">
        <v>446</v>
      </c>
      <c r="V538" s="214" t="b">
        <v>1</v>
      </c>
      <c r="W538" s="214">
        <v>1989</v>
      </c>
      <c r="X538" s="214">
        <v>5</v>
      </c>
      <c r="Y538" s="214">
        <v>2</v>
      </c>
      <c r="Z538" s="214">
        <v>4</v>
      </c>
      <c r="AA538" s="212" t="s">
        <v>447</v>
      </c>
      <c r="AB538" s="212" t="s">
        <v>531</v>
      </c>
      <c r="AC538" s="212" t="s">
        <v>533</v>
      </c>
      <c r="AD538" s="214">
        <v>2.6904720000000002</v>
      </c>
      <c r="AE538" s="214">
        <v>30</v>
      </c>
      <c r="AF538" s="214">
        <v>1.4999999999999999E-2</v>
      </c>
      <c r="AG538" s="214">
        <v>-99</v>
      </c>
      <c r="AH538" s="212" t="s">
        <v>224</v>
      </c>
      <c r="AI538" s="212" t="s">
        <v>449</v>
      </c>
      <c r="AJ538" s="212" t="s">
        <v>359</v>
      </c>
      <c r="AK538" s="212" t="s">
        <v>531</v>
      </c>
      <c r="AL538" s="212" t="s">
        <v>531</v>
      </c>
      <c r="AM538" s="214" t="b">
        <v>1</v>
      </c>
      <c r="AN538" s="214" t="b">
        <v>0</v>
      </c>
      <c r="AO538" s="212" t="s">
        <v>360</v>
      </c>
      <c r="AP538" s="212" t="s">
        <v>361</v>
      </c>
      <c r="AQ538" s="214">
        <v>120.19158</v>
      </c>
      <c r="AR538" s="214" t="b">
        <v>0</v>
      </c>
      <c r="AS538" s="212" t="s">
        <v>534</v>
      </c>
      <c r="AU538" s="222" t="s">
        <v>819</v>
      </c>
    </row>
    <row r="539" spans="1:47" x14ac:dyDescent="0.25">
      <c r="A539" s="245">
        <f t="shared" si="70"/>
        <v>539</v>
      </c>
      <c r="B539" s="246" t="str">
        <f t="shared" si="76"/>
        <v>Oil Field - Tank</v>
      </c>
      <c r="C539" s="246" t="str">
        <f ca="1">IF(B539="","",VLOOKUP(D539,'Species Data'!B:E,4,FALSE))</f>
        <v>dietben12</v>
      </c>
      <c r="D539" s="246">
        <f t="shared" ca="1" si="71"/>
        <v>36</v>
      </c>
      <c r="E539" s="246">
        <f t="shared" ca="1" si="72"/>
        <v>4.5999999999999999E-3</v>
      </c>
      <c r="F539" s="246" t="str">
        <f t="shared" ca="1" si="73"/>
        <v>1,2-diethylbenzene (ortho)</v>
      </c>
      <c r="G539" s="246">
        <f t="shared" ca="1" si="74"/>
        <v>134.21816000000001</v>
      </c>
      <c r="H539" s="204" t="str">
        <f ca="1">IF(G539="","",IF(VLOOKUP(Tank!F539,'Species Data'!D:F,3,FALSE)=0,"X",IF(G539&lt;44.1,2,1)))</f>
        <v>X</v>
      </c>
      <c r="I539" s="204">
        <f t="shared" ca="1" si="75"/>
        <v>3.1133632216202617E-3</v>
      </c>
      <c r="J539" s="247">
        <f ca="1">IF(I539="","",IF(COUNTIF($D$12:D539,D539)=1,IF(H539=1,I539*H539,IF(H539="X","X",0)),0))</f>
        <v>0</v>
      </c>
      <c r="K539" s="248">
        <f t="shared" ca="1" si="77"/>
        <v>0</v>
      </c>
      <c r="L539" s="212" t="s">
        <v>679</v>
      </c>
      <c r="M539" s="212" t="s">
        <v>448</v>
      </c>
      <c r="N539" s="212" t="s">
        <v>470</v>
      </c>
      <c r="O539" s="213">
        <v>41419</v>
      </c>
      <c r="P539" s="212" t="s">
        <v>531</v>
      </c>
      <c r="Q539" s="214">
        <v>100</v>
      </c>
      <c r="R539" s="212" t="s">
        <v>445</v>
      </c>
      <c r="S539" s="212" t="s">
        <v>532</v>
      </c>
      <c r="T539" s="212" t="s">
        <v>445</v>
      </c>
      <c r="U539" s="212" t="s">
        <v>446</v>
      </c>
      <c r="V539" s="214" t="b">
        <v>1</v>
      </c>
      <c r="W539" s="214">
        <v>1989</v>
      </c>
      <c r="X539" s="214">
        <v>5</v>
      </c>
      <c r="Y539" s="214">
        <v>2</v>
      </c>
      <c r="Z539" s="214">
        <v>4</v>
      </c>
      <c r="AA539" s="212" t="s">
        <v>447</v>
      </c>
      <c r="AB539" s="212" t="s">
        <v>531</v>
      </c>
      <c r="AC539" s="212" t="s">
        <v>533</v>
      </c>
      <c r="AD539" s="214">
        <v>2.6904720000000002</v>
      </c>
      <c r="AE539" s="214">
        <v>36</v>
      </c>
      <c r="AF539" s="214">
        <v>4.5999999999999999E-3</v>
      </c>
      <c r="AG539" s="214">
        <v>-99</v>
      </c>
      <c r="AH539" s="212" t="s">
        <v>224</v>
      </c>
      <c r="AI539" s="212" t="s">
        <v>449</v>
      </c>
      <c r="AJ539" s="212" t="s">
        <v>631</v>
      </c>
      <c r="AK539" s="212" t="s">
        <v>531</v>
      </c>
      <c r="AL539" s="212" t="s">
        <v>632</v>
      </c>
      <c r="AM539" s="214" t="b">
        <v>0</v>
      </c>
      <c r="AN539" s="214" t="b">
        <v>0</v>
      </c>
      <c r="AO539" s="212" t="s">
        <v>633</v>
      </c>
      <c r="AP539" s="212" t="s">
        <v>531</v>
      </c>
      <c r="AQ539" s="214">
        <v>134.21816000000001</v>
      </c>
      <c r="AR539" s="214" t="b">
        <v>0</v>
      </c>
      <c r="AS539" s="212" t="s">
        <v>534</v>
      </c>
      <c r="AU539" s="222" t="s">
        <v>819</v>
      </c>
    </row>
    <row r="540" spans="1:47" x14ac:dyDescent="0.25">
      <c r="A540" s="245">
        <f t="shared" si="70"/>
        <v>540</v>
      </c>
      <c r="B540" s="246" t="str">
        <f t="shared" si="76"/>
        <v>Oil Field - Tank</v>
      </c>
      <c r="C540" s="246" t="str">
        <f ca="1">IF(B540="","",VLOOKUP(D540,'Species Data'!B:E,4,FALSE))</f>
        <v>trimethben135</v>
      </c>
      <c r="D540" s="246">
        <f t="shared" ca="1" si="71"/>
        <v>44</v>
      </c>
      <c r="E540" s="246">
        <f t="shared" ca="1" si="72"/>
        <v>4.2200000000000001E-2</v>
      </c>
      <c r="F540" s="246" t="str">
        <f t="shared" ca="1" si="73"/>
        <v>1,3,5-trimethylbenzene</v>
      </c>
      <c r="G540" s="246">
        <f t="shared" ca="1" si="74"/>
        <v>120.19158</v>
      </c>
      <c r="H540" s="204">
        <f ca="1">IF(G540="","",IF(VLOOKUP(Tank!F540,'Species Data'!D:F,3,FALSE)=0,"X",IF(G540&lt;44.1,2,1)))</f>
        <v>1</v>
      </c>
      <c r="I540" s="204">
        <f t="shared" ca="1" si="75"/>
        <v>1.3046791915869061E-2</v>
      </c>
      <c r="J540" s="247">
        <f ca="1">IF(I540="","",IF(COUNTIF($D$12:D540,D540)=1,IF(H540=1,I540*H540,IF(H540="X","X",0)),0))</f>
        <v>0</v>
      </c>
      <c r="K540" s="248">
        <f t="shared" ca="1" si="77"/>
        <v>0</v>
      </c>
      <c r="L540" s="212" t="s">
        <v>679</v>
      </c>
      <c r="M540" s="212" t="s">
        <v>448</v>
      </c>
      <c r="N540" s="212" t="s">
        <v>470</v>
      </c>
      <c r="O540" s="213">
        <v>41419</v>
      </c>
      <c r="P540" s="212" t="s">
        <v>531</v>
      </c>
      <c r="Q540" s="214">
        <v>100</v>
      </c>
      <c r="R540" s="212" t="s">
        <v>445</v>
      </c>
      <c r="S540" s="212" t="s">
        <v>532</v>
      </c>
      <c r="T540" s="212" t="s">
        <v>445</v>
      </c>
      <c r="U540" s="212" t="s">
        <v>446</v>
      </c>
      <c r="V540" s="214" t="b">
        <v>1</v>
      </c>
      <c r="W540" s="214">
        <v>1989</v>
      </c>
      <c r="X540" s="214">
        <v>5</v>
      </c>
      <c r="Y540" s="214">
        <v>2</v>
      </c>
      <c r="Z540" s="214">
        <v>4</v>
      </c>
      <c r="AA540" s="212" t="s">
        <v>447</v>
      </c>
      <c r="AB540" s="212" t="s">
        <v>531</v>
      </c>
      <c r="AC540" s="212" t="s">
        <v>533</v>
      </c>
      <c r="AD540" s="214">
        <v>2.6904720000000002</v>
      </c>
      <c r="AE540" s="214">
        <v>44</v>
      </c>
      <c r="AF540" s="214">
        <v>4.2200000000000001E-2</v>
      </c>
      <c r="AG540" s="214">
        <v>-99</v>
      </c>
      <c r="AH540" s="212" t="s">
        <v>224</v>
      </c>
      <c r="AI540" s="212" t="s">
        <v>449</v>
      </c>
      <c r="AJ540" s="212" t="s">
        <v>400</v>
      </c>
      <c r="AK540" s="212" t="s">
        <v>531</v>
      </c>
      <c r="AL540" s="212" t="s">
        <v>401</v>
      </c>
      <c r="AM540" s="214" t="b">
        <v>1</v>
      </c>
      <c r="AN540" s="214" t="b">
        <v>0</v>
      </c>
      <c r="AO540" s="212" t="s">
        <v>402</v>
      </c>
      <c r="AP540" s="212" t="s">
        <v>403</v>
      </c>
      <c r="AQ540" s="214">
        <v>120.19158</v>
      </c>
      <c r="AR540" s="214" t="b">
        <v>0</v>
      </c>
      <c r="AS540" s="212" t="s">
        <v>534</v>
      </c>
      <c r="AU540" s="222" t="s">
        <v>819</v>
      </c>
    </row>
    <row r="541" spans="1:47" x14ac:dyDescent="0.25">
      <c r="A541" s="245">
        <f t="shared" si="70"/>
        <v>541</v>
      </c>
      <c r="B541" s="246" t="str">
        <f t="shared" si="76"/>
        <v>Oil Field - Tank</v>
      </c>
      <c r="C541" s="246" t="str">
        <f ca="1">IF(B541="","",VLOOKUP(D541,'Species Data'!B:E,4,FALSE))</f>
        <v>dietben13</v>
      </c>
      <c r="D541" s="246">
        <f t="shared" ca="1" si="71"/>
        <v>51</v>
      </c>
      <c r="E541" s="246">
        <f t="shared" ca="1" si="72"/>
        <v>8.3999999999999995E-3</v>
      </c>
      <c r="F541" s="246" t="str">
        <f t="shared" ca="1" si="73"/>
        <v>1,3-diethylbenzene (meta)</v>
      </c>
      <c r="G541" s="246">
        <f t="shared" ca="1" si="74"/>
        <v>134.21816000000001</v>
      </c>
      <c r="H541" s="204" t="str">
        <f ca="1">IF(G541="","",IF(VLOOKUP(Tank!F541,'Species Data'!D:F,3,FALSE)=0,"X",IF(G541&lt;44.1,2,1)))</f>
        <v>X</v>
      </c>
      <c r="I541" s="204">
        <f t="shared" ca="1" si="75"/>
        <v>1.9800190081824794E-3</v>
      </c>
      <c r="J541" s="247">
        <f ca="1">IF(I541="","",IF(COUNTIF($D$12:D541,D541)=1,IF(H541=1,I541*H541,IF(H541="X","X",0)),0))</f>
        <v>0</v>
      </c>
      <c r="K541" s="248">
        <f t="shared" ca="1" si="77"/>
        <v>0</v>
      </c>
      <c r="L541" s="212" t="s">
        <v>679</v>
      </c>
      <c r="M541" s="212" t="s">
        <v>448</v>
      </c>
      <c r="N541" s="212" t="s">
        <v>470</v>
      </c>
      <c r="O541" s="213">
        <v>41419</v>
      </c>
      <c r="P541" s="212" t="s">
        <v>531</v>
      </c>
      <c r="Q541" s="214">
        <v>100</v>
      </c>
      <c r="R541" s="212" t="s">
        <v>445</v>
      </c>
      <c r="S541" s="212" t="s">
        <v>532</v>
      </c>
      <c r="T541" s="212" t="s">
        <v>445</v>
      </c>
      <c r="U541" s="212" t="s">
        <v>446</v>
      </c>
      <c r="V541" s="214" t="b">
        <v>1</v>
      </c>
      <c r="W541" s="214">
        <v>1989</v>
      </c>
      <c r="X541" s="214">
        <v>5</v>
      </c>
      <c r="Y541" s="214">
        <v>2</v>
      </c>
      <c r="Z541" s="214">
        <v>4</v>
      </c>
      <c r="AA541" s="212" t="s">
        <v>447</v>
      </c>
      <c r="AB541" s="212" t="s">
        <v>531</v>
      </c>
      <c r="AC541" s="212" t="s">
        <v>533</v>
      </c>
      <c r="AD541" s="214">
        <v>2.6904720000000002</v>
      </c>
      <c r="AE541" s="214">
        <v>51</v>
      </c>
      <c r="AF541" s="214">
        <v>8.3999999999999995E-3</v>
      </c>
      <c r="AG541" s="214">
        <v>-99</v>
      </c>
      <c r="AH541" s="212" t="s">
        <v>224</v>
      </c>
      <c r="AI541" s="212" t="s">
        <v>449</v>
      </c>
      <c r="AJ541" s="212" t="s">
        <v>634</v>
      </c>
      <c r="AK541" s="212" t="s">
        <v>531</v>
      </c>
      <c r="AL541" s="212" t="s">
        <v>635</v>
      </c>
      <c r="AM541" s="214" t="b">
        <v>1</v>
      </c>
      <c r="AN541" s="214" t="b">
        <v>0</v>
      </c>
      <c r="AO541" s="212" t="s">
        <v>636</v>
      </c>
      <c r="AP541" s="212" t="s">
        <v>637</v>
      </c>
      <c r="AQ541" s="214">
        <v>134.21816000000001</v>
      </c>
      <c r="AR541" s="214" t="b">
        <v>0</v>
      </c>
      <c r="AS541" s="212" t="s">
        <v>534</v>
      </c>
      <c r="AU541" s="222" t="s">
        <v>819</v>
      </c>
    </row>
    <row r="542" spans="1:47" x14ac:dyDescent="0.25">
      <c r="A542" s="245">
        <f t="shared" si="70"/>
        <v>542</v>
      </c>
      <c r="B542" s="246" t="str">
        <f t="shared" si="76"/>
        <v>Oil Field - Tank</v>
      </c>
      <c r="C542" s="246" t="str">
        <f ca="1">IF(B542="","",VLOOKUP(D542,'Species Data'!B:E,4,FALSE))</f>
        <v>ethben12</v>
      </c>
      <c r="D542" s="246">
        <f t="shared" ca="1" si="71"/>
        <v>80</v>
      </c>
      <c r="E542" s="246">
        <f t="shared" ca="1" si="72"/>
        <v>4.19E-2</v>
      </c>
      <c r="F542" s="246" t="str">
        <f t="shared" ca="1" si="73"/>
        <v>1-Methyl-2-ethylbenzene</v>
      </c>
      <c r="G542" s="246">
        <f t="shared" ca="1" si="74"/>
        <v>120.19158</v>
      </c>
      <c r="H542" s="204">
        <f ca="1">IF(G542="","",IF(VLOOKUP(Tank!F542,'Species Data'!D:F,3,FALSE)=0,"X",IF(G542&lt;44.1,2,1)))</f>
        <v>1</v>
      </c>
      <c r="I542" s="204">
        <f t="shared" ca="1" si="75"/>
        <v>1.2980124609196252E-2</v>
      </c>
      <c r="J542" s="247">
        <f ca="1">IF(I542="","",IF(COUNTIF($D$12:D542,D542)=1,IF(H542=1,I542*H542,IF(H542="X","X",0)),0))</f>
        <v>0</v>
      </c>
      <c r="K542" s="248">
        <f t="shared" ca="1" si="77"/>
        <v>0</v>
      </c>
      <c r="L542" s="212" t="s">
        <v>679</v>
      </c>
      <c r="M542" s="212" t="s">
        <v>448</v>
      </c>
      <c r="N542" s="212" t="s">
        <v>470</v>
      </c>
      <c r="O542" s="213">
        <v>41419</v>
      </c>
      <c r="P542" s="212" t="s">
        <v>531</v>
      </c>
      <c r="Q542" s="214">
        <v>100</v>
      </c>
      <c r="R542" s="212" t="s">
        <v>445</v>
      </c>
      <c r="S542" s="212" t="s">
        <v>532</v>
      </c>
      <c r="T542" s="212" t="s">
        <v>445</v>
      </c>
      <c r="U542" s="212" t="s">
        <v>446</v>
      </c>
      <c r="V542" s="214" t="b">
        <v>1</v>
      </c>
      <c r="W542" s="214">
        <v>1989</v>
      </c>
      <c r="X542" s="214">
        <v>5</v>
      </c>
      <c r="Y542" s="214">
        <v>2</v>
      </c>
      <c r="Z542" s="214">
        <v>4</v>
      </c>
      <c r="AA542" s="212" t="s">
        <v>447</v>
      </c>
      <c r="AB542" s="212" t="s">
        <v>531</v>
      </c>
      <c r="AC542" s="212" t="s">
        <v>533</v>
      </c>
      <c r="AD542" s="214">
        <v>2.6904720000000002</v>
      </c>
      <c r="AE542" s="214">
        <v>80</v>
      </c>
      <c r="AF542" s="214">
        <v>4.19E-2</v>
      </c>
      <c r="AG542" s="214">
        <v>-99</v>
      </c>
      <c r="AH542" s="212" t="s">
        <v>224</v>
      </c>
      <c r="AI542" s="212" t="s">
        <v>449</v>
      </c>
      <c r="AJ542" s="212" t="s">
        <v>408</v>
      </c>
      <c r="AK542" s="212" t="s">
        <v>531</v>
      </c>
      <c r="AL542" s="212" t="s">
        <v>450</v>
      </c>
      <c r="AM542" s="214" t="b">
        <v>1</v>
      </c>
      <c r="AN542" s="214" t="b">
        <v>0</v>
      </c>
      <c r="AO542" s="212" t="s">
        <v>409</v>
      </c>
      <c r="AP542" s="212" t="s">
        <v>410</v>
      </c>
      <c r="AQ542" s="214">
        <v>120.19158</v>
      </c>
      <c r="AR542" s="214" t="b">
        <v>0</v>
      </c>
      <c r="AS542" s="212" t="s">
        <v>534</v>
      </c>
      <c r="AU542" s="222" t="s">
        <v>819</v>
      </c>
    </row>
    <row r="543" spans="1:47" x14ac:dyDescent="0.25">
      <c r="A543" s="245">
        <f t="shared" si="70"/>
        <v>543</v>
      </c>
      <c r="B543" s="246" t="str">
        <f t="shared" si="76"/>
        <v>Oil Field - Tank</v>
      </c>
      <c r="C543" s="246" t="str">
        <f ca="1">IF(B543="","",VLOOKUP(D543,'Species Data'!B:E,4,FALSE))</f>
        <v>ethben13</v>
      </c>
      <c r="D543" s="246">
        <f t="shared" ca="1" si="71"/>
        <v>89</v>
      </c>
      <c r="E543" s="246">
        <f t="shared" ca="1" si="72"/>
        <v>2.4500000000000001E-2</v>
      </c>
      <c r="F543" s="246" t="str">
        <f t="shared" ca="1" si="73"/>
        <v>1-Methyl-3-ethylbenzene (3-Ethyltoluene)</v>
      </c>
      <c r="G543" s="246">
        <f t="shared" ca="1" si="74"/>
        <v>120.19158</v>
      </c>
      <c r="H543" s="204">
        <f ca="1">IF(G543="","",IF(VLOOKUP(Tank!F543,'Species Data'!D:F,3,FALSE)=0,"X",IF(G543&lt;44.1,2,1)))</f>
        <v>1</v>
      </c>
      <c r="I543" s="204">
        <f t="shared" ca="1" si="75"/>
        <v>1.0893437910337275E-2</v>
      </c>
      <c r="J543" s="247">
        <f ca="1">IF(I543="","",IF(COUNTIF($D$12:D543,D543)=1,IF(H543=1,I543*H543,IF(H543="X","X",0)),0))</f>
        <v>0</v>
      </c>
      <c r="K543" s="248">
        <f t="shared" ca="1" si="77"/>
        <v>0</v>
      </c>
      <c r="L543" s="212" t="s">
        <v>679</v>
      </c>
      <c r="M543" s="212" t="s">
        <v>448</v>
      </c>
      <c r="N543" s="212" t="s">
        <v>470</v>
      </c>
      <c r="O543" s="213">
        <v>41419</v>
      </c>
      <c r="P543" s="212" t="s">
        <v>531</v>
      </c>
      <c r="Q543" s="214">
        <v>100</v>
      </c>
      <c r="R543" s="212" t="s">
        <v>445</v>
      </c>
      <c r="S543" s="212" t="s">
        <v>532</v>
      </c>
      <c r="T543" s="212" t="s">
        <v>445</v>
      </c>
      <c r="U543" s="212" t="s">
        <v>446</v>
      </c>
      <c r="V543" s="214" t="b">
        <v>1</v>
      </c>
      <c r="W543" s="214">
        <v>1989</v>
      </c>
      <c r="X543" s="214">
        <v>5</v>
      </c>
      <c r="Y543" s="214">
        <v>2</v>
      </c>
      <c r="Z543" s="214">
        <v>4</v>
      </c>
      <c r="AA543" s="212" t="s">
        <v>447</v>
      </c>
      <c r="AB543" s="212" t="s">
        <v>531</v>
      </c>
      <c r="AC543" s="212" t="s">
        <v>533</v>
      </c>
      <c r="AD543" s="214">
        <v>2.6904720000000002</v>
      </c>
      <c r="AE543" s="214">
        <v>89</v>
      </c>
      <c r="AF543" s="214">
        <v>2.4500000000000001E-2</v>
      </c>
      <c r="AG543" s="214">
        <v>-99</v>
      </c>
      <c r="AH543" s="212" t="s">
        <v>224</v>
      </c>
      <c r="AI543" s="212" t="s">
        <v>449</v>
      </c>
      <c r="AJ543" s="212" t="s">
        <v>411</v>
      </c>
      <c r="AK543" s="212" t="s">
        <v>531</v>
      </c>
      <c r="AL543" s="212" t="s">
        <v>451</v>
      </c>
      <c r="AM543" s="214" t="b">
        <v>1</v>
      </c>
      <c r="AN543" s="214" t="b">
        <v>0</v>
      </c>
      <c r="AO543" s="212" t="s">
        <v>412</v>
      </c>
      <c r="AP543" s="212" t="s">
        <v>413</v>
      </c>
      <c r="AQ543" s="214">
        <v>120.19158</v>
      </c>
      <c r="AR543" s="214" t="b">
        <v>0</v>
      </c>
      <c r="AS543" s="212" t="s">
        <v>534</v>
      </c>
      <c r="AU543" s="222" t="s">
        <v>819</v>
      </c>
    </row>
    <row r="544" spans="1:47" x14ac:dyDescent="0.25">
      <c r="A544" s="245">
        <f t="shared" si="70"/>
        <v>544</v>
      </c>
      <c r="B544" s="246" t="str">
        <f t="shared" si="76"/>
        <v>Oil Field - Tank</v>
      </c>
      <c r="C544" s="246" t="str">
        <f ca="1">IF(B544="","",VLOOKUP(D544,'Species Data'!B:E,4,FALSE))</f>
        <v>dimetbut22</v>
      </c>
      <c r="D544" s="246">
        <f t="shared" ca="1" si="71"/>
        <v>122</v>
      </c>
      <c r="E544" s="246">
        <f t="shared" ca="1" si="72"/>
        <v>6.2600000000000003E-2</v>
      </c>
      <c r="F544" s="246" t="str">
        <f t="shared" ca="1" si="73"/>
        <v>2,2-dimethylbutane</v>
      </c>
      <c r="G544" s="246">
        <f t="shared" ca="1" si="74"/>
        <v>86.175359999999998</v>
      </c>
      <c r="H544" s="204">
        <f ca="1">IF(G544="","",IF(VLOOKUP(Tank!F544,'Species Data'!D:F,3,FALSE)=0,"X",IF(G544&lt;44.1,2,1)))</f>
        <v>1</v>
      </c>
      <c r="I544" s="204">
        <f t="shared" ca="1" si="75"/>
        <v>8.538748638653601E-2</v>
      </c>
      <c r="J544" s="247">
        <f ca="1">IF(I544="","",IF(COUNTIF($D$12:D544,D544)=1,IF(H544=1,I544*H544,IF(H544="X","X",0)),0))</f>
        <v>0</v>
      </c>
      <c r="K544" s="248">
        <f t="shared" ca="1" si="77"/>
        <v>0</v>
      </c>
      <c r="L544" s="212" t="s">
        <v>679</v>
      </c>
      <c r="M544" s="212" t="s">
        <v>448</v>
      </c>
      <c r="N544" s="212" t="s">
        <v>470</v>
      </c>
      <c r="O544" s="213">
        <v>41419</v>
      </c>
      <c r="P544" s="212" t="s">
        <v>531</v>
      </c>
      <c r="Q544" s="214">
        <v>100</v>
      </c>
      <c r="R544" s="212" t="s">
        <v>445</v>
      </c>
      <c r="S544" s="212" t="s">
        <v>532</v>
      </c>
      <c r="T544" s="212" t="s">
        <v>445</v>
      </c>
      <c r="U544" s="212" t="s">
        <v>446</v>
      </c>
      <c r="V544" s="214" t="b">
        <v>1</v>
      </c>
      <c r="W544" s="214">
        <v>1989</v>
      </c>
      <c r="X544" s="214">
        <v>5</v>
      </c>
      <c r="Y544" s="214">
        <v>2</v>
      </c>
      <c r="Z544" s="214">
        <v>4</v>
      </c>
      <c r="AA544" s="212" t="s">
        <v>447</v>
      </c>
      <c r="AB544" s="212" t="s">
        <v>531</v>
      </c>
      <c r="AC544" s="212" t="s">
        <v>533</v>
      </c>
      <c r="AD544" s="214">
        <v>2.6904720000000002</v>
      </c>
      <c r="AE544" s="214">
        <v>122</v>
      </c>
      <c r="AF544" s="214">
        <v>6.2600000000000003E-2</v>
      </c>
      <c r="AG544" s="214">
        <v>-99</v>
      </c>
      <c r="AH544" s="212" t="s">
        <v>224</v>
      </c>
      <c r="AI544" s="212" t="s">
        <v>449</v>
      </c>
      <c r="AJ544" s="212" t="s">
        <v>301</v>
      </c>
      <c r="AK544" s="212" t="s">
        <v>531</v>
      </c>
      <c r="AL544" s="212" t="s">
        <v>384</v>
      </c>
      <c r="AM544" s="214" t="b">
        <v>1</v>
      </c>
      <c r="AN544" s="214" t="b">
        <v>0</v>
      </c>
      <c r="AO544" s="212" t="s">
        <v>302</v>
      </c>
      <c r="AP544" s="212" t="s">
        <v>303</v>
      </c>
      <c r="AQ544" s="214">
        <v>86.175359999999998</v>
      </c>
      <c r="AR544" s="214" t="b">
        <v>0</v>
      </c>
      <c r="AS544" s="212" t="s">
        <v>534</v>
      </c>
      <c r="AU544" s="222" t="s">
        <v>819</v>
      </c>
    </row>
    <row r="545" spans="1:47" x14ac:dyDescent="0.25">
      <c r="A545" s="245">
        <f t="shared" si="70"/>
        <v>545</v>
      </c>
      <c r="B545" s="246" t="str">
        <f t="shared" si="76"/>
        <v>Oil Field - Tank</v>
      </c>
      <c r="C545" s="246" t="str">
        <f ca="1">IF(B545="","",VLOOKUP(D545,'Species Data'!B:E,4,FALSE))</f>
        <v>dimethpro</v>
      </c>
      <c r="D545" s="246">
        <f t="shared" ca="1" si="71"/>
        <v>127</v>
      </c>
      <c r="E545" s="246">
        <f t="shared" ca="1" si="72"/>
        <v>4.5100000000000001E-2</v>
      </c>
      <c r="F545" s="246" t="str">
        <f t="shared" ca="1" si="73"/>
        <v>2,2-dimethylpropane</v>
      </c>
      <c r="G545" s="246">
        <f t="shared" ca="1" si="74"/>
        <v>72.148780000000002</v>
      </c>
      <c r="H545" s="204">
        <f ca="1">IF(G545="","",IF(VLOOKUP(Tank!F545,'Species Data'!D:F,3,FALSE)=0,"X",IF(G545&lt;44.1,2,1)))</f>
        <v>1</v>
      </c>
      <c r="I545" s="204">
        <f t="shared" ca="1" si="75"/>
        <v>9.7614270430329483E-2</v>
      </c>
      <c r="J545" s="247">
        <f ca="1">IF(I545="","",IF(COUNTIF($D$12:D545,D545)=1,IF(H545=1,I545*H545,IF(H545="X","X",0)),0))</f>
        <v>0</v>
      </c>
      <c r="K545" s="248">
        <f t="shared" ca="1" si="77"/>
        <v>0</v>
      </c>
      <c r="L545" s="212" t="s">
        <v>679</v>
      </c>
      <c r="M545" s="212" t="s">
        <v>448</v>
      </c>
      <c r="N545" s="212" t="s">
        <v>470</v>
      </c>
      <c r="O545" s="213">
        <v>41419</v>
      </c>
      <c r="P545" s="212" t="s">
        <v>531</v>
      </c>
      <c r="Q545" s="214">
        <v>100</v>
      </c>
      <c r="R545" s="212" t="s">
        <v>445</v>
      </c>
      <c r="S545" s="212" t="s">
        <v>532</v>
      </c>
      <c r="T545" s="212" t="s">
        <v>445</v>
      </c>
      <c r="U545" s="212" t="s">
        <v>446</v>
      </c>
      <c r="V545" s="214" t="b">
        <v>1</v>
      </c>
      <c r="W545" s="214">
        <v>1989</v>
      </c>
      <c r="X545" s="214">
        <v>5</v>
      </c>
      <c r="Y545" s="214">
        <v>2</v>
      </c>
      <c r="Z545" s="214">
        <v>4</v>
      </c>
      <c r="AA545" s="212" t="s">
        <v>447</v>
      </c>
      <c r="AB545" s="212" t="s">
        <v>531</v>
      </c>
      <c r="AC545" s="212" t="s">
        <v>533</v>
      </c>
      <c r="AD545" s="214">
        <v>2.6904720000000002</v>
      </c>
      <c r="AE545" s="214">
        <v>127</v>
      </c>
      <c r="AF545" s="214">
        <v>4.5100000000000001E-2</v>
      </c>
      <c r="AG545" s="214">
        <v>-99</v>
      </c>
      <c r="AH545" s="212" t="s">
        <v>224</v>
      </c>
      <c r="AI545" s="212" t="s">
        <v>449</v>
      </c>
      <c r="AJ545" s="212" t="s">
        <v>441</v>
      </c>
      <c r="AK545" s="212" t="s">
        <v>531</v>
      </c>
      <c r="AL545" s="212" t="s">
        <v>462</v>
      </c>
      <c r="AM545" s="214" t="b">
        <v>0</v>
      </c>
      <c r="AN545" s="214" t="b">
        <v>0</v>
      </c>
      <c r="AO545" s="212" t="s">
        <v>442</v>
      </c>
      <c r="AP545" s="212" t="s">
        <v>531</v>
      </c>
      <c r="AQ545" s="214">
        <v>72.148780000000002</v>
      </c>
      <c r="AR545" s="214" t="b">
        <v>0</v>
      </c>
      <c r="AS545" s="212" t="s">
        <v>534</v>
      </c>
      <c r="AU545" s="222" t="s">
        <v>819</v>
      </c>
    </row>
    <row r="546" spans="1:47" x14ac:dyDescent="0.25">
      <c r="A546" s="245">
        <f t="shared" si="70"/>
        <v>546</v>
      </c>
      <c r="B546" s="246" t="str">
        <f t="shared" si="76"/>
        <v>Oil Field - Tank</v>
      </c>
      <c r="C546" s="246" t="str">
        <f ca="1">IF(B546="","",VLOOKUP(D546,'Species Data'!B:E,4,FALSE))</f>
        <v>trimentpen3</v>
      </c>
      <c r="D546" s="246">
        <f t="shared" ca="1" si="71"/>
        <v>130</v>
      </c>
      <c r="E546" s="246">
        <f t="shared" ca="1" si="72"/>
        <v>0.41349999999999998</v>
      </c>
      <c r="F546" s="246" t="str">
        <f t="shared" ca="1" si="73"/>
        <v>2,3,4-trimethylpentane</v>
      </c>
      <c r="G546" s="246">
        <f t="shared" ca="1" si="74"/>
        <v>114.22852</v>
      </c>
      <c r="H546" s="204">
        <f ca="1">IF(G546="","",IF(VLOOKUP(Tank!F546,'Species Data'!D:F,3,FALSE)=0,"X",IF(G546&lt;44.1,2,1)))</f>
        <v>1</v>
      </c>
      <c r="I546" s="204">
        <f t="shared" ca="1" si="75"/>
        <v>0.22004211240427912</v>
      </c>
      <c r="J546" s="247">
        <f ca="1">IF(I546="","",IF(COUNTIF($D$12:D546,D546)=1,IF(H546=1,I546*H546,IF(H546="X","X",0)),0))</f>
        <v>0</v>
      </c>
      <c r="K546" s="248">
        <f t="shared" ca="1" si="77"/>
        <v>0</v>
      </c>
      <c r="L546" s="212" t="s">
        <v>679</v>
      </c>
      <c r="M546" s="212" t="s">
        <v>448</v>
      </c>
      <c r="N546" s="212" t="s">
        <v>470</v>
      </c>
      <c r="O546" s="213">
        <v>41419</v>
      </c>
      <c r="P546" s="212" t="s">
        <v>531</v>
      </c>
      <c r="Q546" s="214">
        <v>100</v>
      </c>
      <c r="R546" s="212" t="s">
        <v>445</v>
      </c>
      <c r="S546" s="212" t="s">
        <v>532</v>
      </c>
      <c r="T546" s="212" t="s">
        <v>445</v>
      </c>
      <c r="U546" s="212" t="s">
        <v>446</v>
      </c>
      <c r="V546" s="214" t="b">
        <v>1</v>
      </c>
      <c r="W546" s="214">
        <v>1989</v>
      </c>
      <c r="X546" s="214">
        <v>5</v>
      </c>
      <c r="Y546" s="214">
        <v>2</v>
      </c>
      <c r="Z546" s="214">
        <v>4</v>
      </c>
      <c r="AA546" s="212" t="s">
        <v>447</v>
      </c>
      <c r="AB546" s="212" t="s">
        <v>531</v>
      </c>
      <c r="AC546" s="212" t="s">
        <v>533</v>
      </c>
      <c r="AD546" s="214">
        <v>2.6904720000000002</v>
      </c>
      <c r="AE546" s="214">
        <v>130</v>
      </c>
      <c r="AF546" s="214">
        <v>0.41349999999999998</v>
      </c>
      <c r="AG546" s="214">
        <v>-99</v>
      </c>
      <c r="AH546" s="212" t="s">
        <v>224</v>
      </c>
      <c r="AI546" s="212" t="s">
        <v>449</v>
      </c>
      <c r="AJ546" s="212" t="s">
        <v>404</v>
      </c>
      <c r="AK546" s="212" t="s">
        <v>531</v>
      </c>
      <c r="AL546" s="212" t="s">
        <v>405</v>
      </c>
      <c r="AM546" s="214" t="b">
        <v>1</v>
      </c>
      <c r="AN546" s="214" t="b">
        <v>0</v>
      </c>
      <c r="AO546" s="212" t="s">
        <v>406</v>
      </c>
      <c r="AP546" s="212" t="s">
        <v>407</v>
      </c>
      <c r="AQ546" s="214">
        <v>114.22852</v>
      </c>
      <c r="AR546" s="214" t="b">
        <v>0</v>
      </c>
      <c r="AS546" s="212" t="s">
        <v>534</v>
      </c>
      <c r="AU546" s="222" t="s">
        <v>819</v>
      </c>
    </row>
    <row r="547" spans="1:47" x14ac:dyDescent="0.25">
      <c r="A547" s="245">
        <f t="shared" si="70"/>
        <v>547</v>
      </c>
      <c r="B547" s="246" t="str">
        <f t="shared" si="76"/>
        <v>Oil Field - Tank</v>
      </c>
      <c r="C547" s="246" t="str">
        <f ca="1">IF(B547="","",VLOOKUP(D547,'Species Data'!B:E,4,FALSE))</f>
        <v>dimethhex23</v>
      </c>
      <c r="D547" s="246">
        <f t="shared" ca="1" si="71"/>
        <v>138</v>
      </c>
      <c r="E547" s="246">
        <f t="shared" ca="1" si="72"/>
        <v>3.5099999999999999E-2</v>
      </c>
      <c r="F547" s="246" t="str">
        <f t="shared" ca="1" si="73"/>
        <v>2,3-dimethylhexane</v>
      </c>
      <c r="G547" s="246">
        <f t="shared" ca="1" si="74"/>
        <v>114.22852</v>
      </c>
      <c r="H547" s="204">
        <f ca="1">IF(G547="","",IF(VLOOKUP(Tank!F547,'Species Data'!D:F,3,FALSE)=0,"X",IF(G547&lt;44.1,2,1)))</f>
        <v>1</v>
      </c>
      <c r="I547" s="204">
        <f t="shared" ca="1" si="75"/>
        <v>2.958028397072613E-2</v>
      </c>
      <c r="J547" s="247">
        <f ca="1">IF(I547="","",IF(COUNTIF($D$12:D547,D547)=1,IF(H547=1,I547*H547,IF(H547="X","X",0)),0))</f>
        <v>0</v>
      </c>
      <c r="K547" s="248">
        <f t="shared" ca="1" si="77"/>
        <v>0</v>
      </c>
      <c r="L547" s="212" t="s">
        <v>679</v>
      </c>
      <c r="M547" s="212" t="s">
        <v>448</v>
      </c>
      <c r="N547" s="212" t="s">
        <v>470</v>
      </c>
      <c r="O547" s="213">
        <v>41419</v>
      </c>
      <c r="P547" s="212" t="s">
        <v>531</v>
      </c>
      <c r="Q547" s="214">
        <v>100</v>
      </c>
      <c r="R547" s="212" t="s">
        <v>445</v>
      </c>
      <c r="S547" s="212" t="s">
        <v>532</v>
      </c>
      <c r="T547" s="212" t="s">
        <v>445</v>
      </c>
      <c r="U547" s="212" t="s">
        <v>446</v>
      </c>
      <c r="V547" s="214" t="b">
        <v>1</v>
      </c>
      <c r="W547" s="214">
        <v>1989</v>
      </c>
      <c r="X547" s="214">
        <v>5</v>
      </c>
      <c r="Y547" s="214">
        <v>2</v>
      </c>
      <c r="Z547" s="214">
        <v>4</v>
      </c>
      <c r="AA547" s="212" t="s">
        <v>447</v>
      </c>
      <c r="AB547" s="212" t="s">
        <v>531</v>
      </c>
      <c r="AC547" s="212" t="s">
        <v>533</v>
      </c>
      <c r="AD547" s="214">
        <v>2.6904720000000002</v>
      </c>
      <c r="AE547" s="214">
        <v>138</v>
      </c>
      <c r="AF547" s="214">
        <v>3.5099999999999999E-2</v>
      </c>
      <c r="AG547" s="214">
        <v>-99</v>
      </c>
      <c r="AH547" s="212" t="s">
        <v>224</v>
      </c>
      <c r="AI547" s="212" t="s">
        <v>449</v>
      </c>
      <c r="AJ547" s="212" t="s">
        <v>443</v>
      </c>
      <c r="AK547" s="212" t="s">
        <v>531</v>
      </c>
      <c r="AL547" s="212" t="s">
        <v>463</v>
      </c>
      <c r="AM547" s="214" t="b">
        <v>0</v>
      </c>
      <c r="AN547" s="214" t="b">
        <v>0</v>
      </c>
      <c r="AO547" s="212" t="s">
        <v>444</v>
      </c>
      <c r="AP547" s="212" t="s">
        <v>531</v>
      </c>
      <c r="AQ547" s="214">
        <v>114.22852</v>
      </c>
      <c r="AR547" s="214" t="b">
        <v>0</v>
      </c>
      <c r="AS547" s="212" t="s">
        <v>534</v>
      </c>
      <c r="AU547" s="222" t="s">
        <v>819</v>
      </c>
    </row>
    <row r="548" spans="1:47" x14ac:dyDescent="0.25">
      <c r="A548" s="245">
        <f t="shared" si="70"/>
        <v>548</v>
      </c>
      <c r="B548" s="246" t="str">
        <f t="shared" si="76"/>
        <v>Oil Field - Tank</v>
      </c>
      <c r="C548" s="246" t="str">
        <f ca="1">IF(B548="","",VLOOKUP(D548,'Species Data'!B:E,4,FALSE))</f>
        <v>dimetpen3</v>
      </c>
      <c r="D548" s="246">
        <f t="shared" ca="1" si="71"/>
        <v>140</v>
      </c>
      <c r="E548" s="246">
        <f t="shared" ca="1" si="72"/>
        <v>0.2155</v>
      </c>
      <c r="F548" s="246" t="str">
        <f t="shared" ca="1" si="73"/>
        <v>2,3-dimethylpentane</v>
      </c>
      <c r="G548" s="246">
        <f t="shared" ca="1" si="74"/>
        <v>100.20194000000001</v>
      </c>
      <c r="H548" s="204">
        <f ca="1">IF(G548="","",IF(VLOOKUP(Tank!F548,'Species Data'!D:F,3,FALSE)=0,"X",IF(G548&lt;44.1,2,1)))</f>
        <v>1</v>
      </c>
      <c r="I548" s="204">
        <f t="shared" ca="1" si="75"/>
        <v>0.24488235087056845</v>
      </c>
      <c r="J548" s="247">
        <f ca="1">IF(I548="","",IF(COUNTIF($D$12:D548,D548)=1,IF(H548=1,I548*H548,IF(H548="X","X",0)),0))</f>
        <v>0</v>
      </c>
      <c r="K548" s="248">
        <f t="shared" ca="1" si="77"/>
        <v>0</v>
      </c>
      <c r="L548" s="212" t="s">
        <v>679</v>
      </c>
      <c r="M548" s="212" t="s">
        <v>448</v>
      </c>
      <c r="N548" s="212" t="s">
        <v>470</v>
      </c>
      <c r="O548" s="213">
        <v>41419</v>
      </c>
      <c r="P548" s="212" t="s">
        <v>531</v>
      </c>
      <c r="Q548" s="214">
        <v>100</v>
      </c>
      <c r="R548" s="212" t="s">
        <v>445</v>
      </c>
      <c r="S548" s="212" t="s">
        <v>532</v>
      </c>
      <c r="T548" s="212" t="s">
        <v>445</v>
      </c>
      <c r="U548" s="212" t="s">
        <v>446</v>
      </c>
      <c r="V548" s="214" t="b">
        <v>1</v>
      </c>
      <c r="W548" s="214">
        <v>1989</v>
      </c>
      <c r="X548" s="214">
        <v>5</v>
      </c>
      <c r="Y548" s="214">
        <v>2</v>
      </c>
      <c r="Z548" s="214">
        <v>4</v>
      </c>
      <c r="AA548" s="212" t="s">
        <v>447</v>
      </c>
      <c r="AB548" s="212" t="s">
        <v>531</v>
      </c>
      <c r="AC548" s="212" t="s">
        <v>533</v>
      </c>
      <c r="AD548" s="214">
        <v>2.6904720000000002</v>
      </c>
      <c r="AE548" s="214">
        <v>140</v>
      </c>
      <c r="AF548" s="214">
        <v>0.2155</v>
      </c>
      <c r="AG548" s="214">
        <v>-99</v>
      </c>
      <c r="AH548" s="212" t="s">
        <v>224</v>
      </c>
      <c r="AI548" s="212" t="s">
        <v>449</v>
      </c>
      <c r="AJ548" s="212" t="s">
        <v>307</v>
      </c>
      <c r="AK548" s="212" t="s">
        <v>531</v>
      </c>
      <c r="AL548" s="212" t="s">
        <v>385</v>
      </c>
      <c r="AM548" s="214" t="b">
        <v>1</v>
      </c>
      <c r="AN548" s="214" t="b">
        <v>0</v>
      </c>
      <c r="AO548" s="212" t="s">
        <v>308</v>
      </c>
      <c r="AP548" s="212" t="s">
        <v>309</v>
      </c>
      <c r="AQ548" s="214">
        <v>100.20194000000001</v>
      </c>
      <c r="AR548" s="214" t="b">
        <v>0</v>
      </c>
      <c r="AS548" s="212" t="s">
        <v>534</v>
      </c>
      <c r="AU548" s="222" t="s">
        <v>819</v>
      </c>
    </row>
    <row r="549" spans="1:47" x14ac:dyDescent="0.25">
      <c r="A549" s="245">
        <f t="shared" ref="A549:A612" si="78">IF(B549="","",A548+1)</f>
        <v>549</v>
      </c>
      <c r="B549" s="246" t="str">
        <f t="shared" si="76"/>
        <v>Oil Field - Tank</v>
      </c>
      <c r="C549" s="246" t="str">
        <f ca="1">IF(B549="","",VLOOKUP(D549,'Species Data'!B:E,4,FALSE))</f>
        <v>dimethhex24</v>
      </c>
      <c r="D549" s="246">
        <f t="shared" ref="D549:D612" ca="1" si="79">IF(B549="","",INDIRECT("AE"&amp;$A549))</f>
        <v>149</v>
      </c>
      <c r="E549" s="246">
        <f t="shared" ref="E549:E612" ca="1" si="80">IF(D549="","",INDIRECT("AF"&amp;$A549))</f>
        <v>4.36E-2</v>
      </c>
      <c r="F549" s="246" t="str">
        <f t="shared" ref="F549:F612" ca="1" si="81">IF(E549="","",INDIRECT("AO"&amp;$A549))</f>
        <v>2,4-dimethylhexane</v>
      </c>
      <c r="G549" s="246">
        <f t="shared" ref="G549:G612" ca="1" si="82">IF(F549="","",INDIRECT("AQ"&amp;$A549))</f>
        <v>114.22852</v>
      </c>
      <c r="H549" s="204">
        <f ca="1">IF(G549="","",IF(VLOOKUP(Tank!F549,'Species Data'!D:F,3,FALSE)=0,"X",IF(G549&lt;44.1,2,1)))</f>
        <v>1</v>
      </c>
      <c r="I549" s="204">
        <f t="shared" ref="I549:I612" ca="1" si="83">IF(H549="","",SUMIF(D:D,D549,E:E)/($E$9/100))</f>
        <v>6.6793974555489091E-2</v>
      </c>
      <c r="J549" s="247">
        <f ca="1">IF(I549="","",IF(COUNTIF($D$12:D549,D549)=1,IF(H549=1,I549*H549,IF(H549="X","X",0)),0))</f>
        <v>0</v>
      </c>
      <c r="K549" s="248">
        <f t="shared" ca="1" si="77"/>
        <v>0</v>
      </c>
      <c r="L549" s="212" t="s">
        <v>679</v>
      </c>
      <c r="M549" s="212" t="s">
        <v>448</v>
      </c>
      <c r="N549" s="212" t="s">
        <v>470</v>
      </c>
      <c r="O549" s="213">
        <v>41419</v>
      </c>
      <c r="P549" s="212" t="s">
        <v>531</v>
      </c>
      <c r="Q549" s="214">
        <v>100</v>
      </c>
      <c r="R549" s="212" t="s">
        <v>445</v>
      </c>
      <c r="S549" s="212" t="s">
        <v>532</v>
      </c>
      <c r="T549" s="212" t="s">
        <v>445</v>
      </c>
      <c r="U549" s="212" t="s">
        <v>446</v>
      </c>
      <c r="V549" s="214" t="b">
        <v>1</v>
      </c>
      <c r="W549" s="214">
        <v>1989</v>
      </c>
      <c r="X549" s="214">
        <v>5</v>
      </c>
      <c r="Y549" s="214">
        <v>2</v>
      </c>
      <c r="Z549" s="214">
        <v>4</v>
      </c>
      <c r="AA549" s="212" t="s">
        <v>447</v>
      </c>
      <c r="AB549" s="212" t="s">
        <v>531</v>
      </c>
      <c r="AC549" s="212" t="s">
        <v>533</v>
      </c>
      <c r="AD549" s="214">
        <v>2.6904720000000002</v>
      </c>
      <c r="AE549" s="214">
        <v>149</v>
      </c>
      <c r="AF549" s="214">
        <v>4.36E-2</v>
      </c>
      <c r="AG549" s="214">
        <v>-99</v>
      </c>
      <c r="AH549" s="212" t="s">
        <v>224</v>
      </c>
      <c r="AI549" s="212" t="s">
        <v>449</v>
      </c>
      <c r="AJ549" s="212" t="s">
        <v>427</v>
      </c>
      <c r="AK549" s="212" t="s">
        <v>531</v>
      </c>
      <c r="AL549" s="212" t="s">
        <v>457</v>
      </c>
      <c r="AM549" s="214" t="b">
        <v>0</v>
      </c>
      <c r="AN549" s="214" t="b">
        <v>0</v>
      </c>
      <c r="AO549" s="212" t="s">
        <v>428</v>
      </c>
      <c r="AP549" s="212" t="s">
        <v>429</v>
      </c>
      <c r="AQ549" s="214">
        <v>114.22852</v>
      </c>
      <c r="AR549" s="214" t="b">
        <v>0</v>
      </c>
      <c r="AS549" s="212" t="s">
        <v>534</v>
      </c>
      <c r="AU549" s="222" t="s">
        <v>819</v>
      </c>
    </row>
    <row r="550" spans="1:47" x14ac:dyDescent="0.25">
      <c r="A550" s="245">
        <f t="shared" si="78"/>
        <v>550</v>
      </c>
      <c r="B550" s="246" t="str">
        <f t="shared" si="76"/>
        <v>Oil Field - Tank</v>
      </c>
      <c r="C550" s="246" t="str">
        <f ca="1">IF(B550="","",VLOOKUP(D550,'Species Data'!B:E,4,FALSE))</f>
        <v>dimetpen4</v>
      </c>
      <c r="D550" s="246">
        <f t="shared" ca="1" si="79"/>
        <v>152</v>
      </c>
      <c r="E550" s="246">
        <f t="shared" ca="1" si="80"/>
        <v>6.5699999999999995E-2</v>
      </c>
      <c r="F550" s="246" t="str">
        <f t="shared" ca="1" si="81"/>
        <v>2,4-dimethylpentane</v>
      </c>
      <c r="G550" s="246">
        <f t="shared" ca="1" si="82"/>
        <v>100.20194000000001</v>
      </c>
      <c r="H550" s="204">
        <f ca="1">IF(G550="","",IF(VLOOKUP(Tank!F550,'Species Data'!D:F,3,FALSE)=0,"X",IF(G550&lt;44.1,2,1)))</f>
        <v>1</v>
      </c>
      <c r="I550" s="204">
        <f t="shared" ca="1" si="83"/>
        <v>7.947409628465768E-2</v>
      </c>
      <c r="J550" s="247">
        <f ca="1">IF(I550="","",IF(COUNTIF($D$12:D550,D550)=1,IF(H550=1,I550*H550,IF(H550="X","X",0)),0))</f>
        <v>0</v>
      </c>
      <c r="K550" s="248">
        <f t="shared" ca="1" si="77"/>
        <v>0</v>
      </c>
      <c r="L550" s="212" t="s">
        <v>679</v>
      </c>
      <c r="M550" s="212" t="s">
        <v>448</v>
      </c>
      <c r="N550" s="212" t="s">
        <v>470</v>
      </c>
      <c r="O550" s="213">
        <v>41419</v>
      </c>
      <c r="P550" s="212" t="s">
        <v>531</v>
      </c>
      <c r="Q550" s="214">
        <v>100</v>
      </c>
      <c r="R550" s="212" t="s">
        <v>445</v>
      </c>
      <c r="S550" s="212" t="s">
        <v>532</v>
      </c>
      <c r="T550" s="212" t="s">
        <v>445</v>
      </c>
      <c r="U550" s="212" t="s">
        <v>446</v>
      </c>
      <c r="V550" s="214" t="b">
        <v>1</v>
      </c>
      <c r="W550" s="214">
        <v>1989</v>
      </c>
      <c r="X550" s="214">
        <v>5</v>
      </c>
      <c r="Y550" s="214">
        <v>2</v>
      </c>
      <c r="Z550" s="214">
        <v>4</v>
      </c>
      <c r="AA550" s="212" t="s">
        <v>447</v>
      </c>
      <c r="AB550" s="212" t="s">
        <v>531</v>
      </c>
      <c r="AC550" s="212" t="s">
        <v>533</v>
      </c>
      <c r="AD550" s="214">
        <v>2.6904720000000002</v>
      </c>
      <c r="AE550" s="214">
        <v>152</v>
      </c>
      <c r="AF550" s="214">
        <v>6.5699999999999995E-2</v>
      </c>
      <c r="AG550" s="214">
        <v>-99</v>
      </c>
      <c r="AH550" s="212" t="s">
        <v>224</v>
      </c>
      <c r="AI550" s="212" t="s">
        <v>449</v>
      </c>
      <c r="AJ550" s="212" t="s">
        <v>310</v>
      </c>
      <c r="AK550" s="212" t="s">
        <v>531</v>
      </c>
      <c r="AL550" s="212" t="s">
        <v>386</v>
      </c>
      <c r="AM550" s="214" t="b">
        <v>1</v>
      </c>
      <c r="AN550" s="214" t="b">
        <v>0</v>
      </c>
      <c r="AO550" s="212" t="s">
        <v>311</v>
      </c>
      <c r="AP550" s="212" t="s">
        <v>312</v>
      </c>
      <c r="AQ550" s="214">
        <v>100.20194000000001</v>
      </c>
      <c r="AR550" s="214" t="b">
        <v>0</v>
      </c>
      <c r="AS550" s="212" t="s">
        <v>534</v>
      </c>
      <c r="AU550" s="222" t="s">
        <v>819</v>
      </c>
    </row>
    <row r="551" spans="1:47" x14ac:dyDescent="0.25">
      <c r="A551" s="245">
        <f t="shared" si="78"/>
        <v>551</v>
      </c>
      <c r="B551" s="246" t="str">
        <f t="shared" si="76"/>
        <v>Oil Field - Tank</v>
      </c>
      <c r="C551" s="246" t="str">
        <f ca="1">IF(B551="","",VLOOKUP(D551,'Species Data'!B:E,4,FALSE))</f>
        <v>methep2</v>
      </c>
      <c r="D551" s="246">
        <f t="shared" ca="1" si="79"/>
        <v>193</v>
      </c>
      <c r="E551" s="246">
        <f t="shared" ca="1" si="80"/>
        <v>0.31569999999999998</v>
      </c>
      <c r="F551" s="246" t="str">
        <f t="shared" ca="1" si="81"/>
        <v>2-methylheptane</v>
      </c>
      <c r="G551" s="246">
        <f t="shared" ca="1" si="82"/>
        <v>114.22852</v>
      </c>
      <c r="H551" s="204">
        <f ca="1">IF(G551="","",IF(VLOOKUP(Tank!F551,'Species Data'!D:F,3,FALSE)=0,"X",IF(G551&lt;44.1,2,1)))</f>
        <v>1</v>
      </c>
      <c r="I551" s="204">
        <f t="shared" ca="1" si="83"/>
        <v>0.11845447049625013</v>
      </c>
      <c r="J551" s="247">
        <f ca="1">IF(I551="","",IF(COUNTIF($D$12:D551,D551)=1,IF(H551=1,I551*H551,IF(H551="X","X",0)),0))</f>
        <v>0</v>
      </c>
      <c r="K551" s="248">
        <f t="shared" ca="1" si="77"/>
        <v>0</v>
      </c>
      <c r="L551" s="212" t="s">
        <v>679</v>
      </c>
      <c r="M551" s="212" t="s">
        <v>448</v>
      </c>
      <c r="N551" s="212" t="s">
        <v>470</v>
      </c>
      <c r="O551" s="213">
        <v>41419</v>
      </c>
      <c r="P551" s="212" t="s">
        <v>531</v>
      </c>
      <c r="Q551" s="214">
        <v>100</v>
      </c>
      <c r="R551" s="212" t="s">
        <v>445</v>
      </c>
      <c r="S551" s="212" t="s">
        <v>532</v>
      </c>
      <c r="T551" s="212" t="s">
        <v>445</v>
      </c>
      <c r="U551" s="212" t="s">
        <v>446</v>
      </c>
      <c r="V551" s="214" t="b">
        <v>1</v>
      </c>
      <c r="W551" s="214">
        <v>1989</v>
      </c>
      <c r="X551" s="214">
        <v>5</v>
      </c>
      <c r="Y551" s="214">
        <v>2</v>
      </c>
      <c r="Z551" s="214">
        <v>4</v>
      </c>
      <c r="AA551" s="212" t="s">
        <v>447</v>
      </c>
      <c r="AB551" s="212" t="s">
        <v>531</v>
      </c>
      <c r="AC551" s="212" t="s">
        <v>533</v>
      </c>
      <c r="AD551" s="214">
        <v>2.6904720000000002</v>
      </c>
      <c r="AE551" s="214">
        <v>193</v>
      </c>
      <c r="AF551" s="214">
        <v>0.31569999999999998</v>
      </c>
      <c r="AG551" s="214">
        <v>-99</v>
      </c>
      <c r="AH551" s="212" t="s">
        <v>224</v>
      </c>
      <c r="AI551" s="212" t="s">
        <v>449</v>
      </c>
      <c r="AJ551" s="212" t="s">
        <v>313</v>
      </c>
      <c r="AK551" s="212" t="s">
        <v>531</v>
      </c>
      <c r="AL551" s="212" t="s">
        <v>387</v>
      </c>
      <c r="AM551" s="214" t="b">
        <v>1</v>
      </c>
      <c r="AN551" s="214" t="b">
        <v>0</v>
      </c>
      <c r="AO551" s="212" t="s">
        <v>314</v>
      </c>
      <c r="AP551" s="212" t="s">
        <v>315</v>
      </c>
      <c r="AQ551" s="214">
        <v>114.22852</v>
      </c>
      <c r="AR551" s="214" t="b">
        <v>0</v>
      </c>
      <c r="AS551" s="212" t="s">
        <v>534</v>
      </c>
      <c r="AU551" s="222" t="s">
        <v>819</v>
      </c>
    </row>
    <row r="552" spans="1:47" x14ac:dyDescent="0.25">
      <c r="A552" s="245">
        <f t="shared" si="78"/>
        <v>552</v>
      </c>
      <c r="B552" s="246" t="str">
        <f t="shared" si="76"/>
        <v>Oil Field - Tank</v>
      </c>
      <c r="C552" s="246" t="str">
        <f ca="1">IF(B552="","",VLOOKUP(D552,'Species Data'!B:E,4,FALSE))</f>
        <v>twomethex</v>
      </c>
      <c r="D552" s="246">
        <f t="shared" ca="1" si="79"/>
        <v>194</v>
      </c>
      <c r="E552" s="246">
        <f t="shared" ca="1" si="80"/>
        <v>0.25580000000000003</v>
      </c>
      <c r="F552" s="246" t="str">
        <f t="shared" ca="1" si="81"/>
        <v>2-methylhexane</v>
      </c>
      <c r="G552" s="246">
        <f t="shared" ca="1" si="82"/>
        <v>100.20194000000001</v>
      </c>
      <c r="H552" s="204">
        <f ca="1">IF(G552="","",IF(VLOOKUP(Tank!F552,'Species Data'!D:F,3,FALSE)=0,"X",IF(G552&lt;44.1,2,1)))</f>
        <v>1</v>
      </c>
      <c r="I552" s="204">
        <f t="shared" ca="1" si="83"/>
        <v>0.30248957056654424</v>
      </c>
      <c r="J552" s="247">
        <f ca="1">IF(I552="","",IF(COUNTIF($D$12:D552,D552)=1,IF(H552=1,I552*H552,IF(H552="X","X",0)),0))</f>
        <v>0</v>
      </c>
      <c r="K552" s="248">
        <f t="shared" ca="1" si="77"/>
        <v>0</v>
      </c>
      <c r="L552" s="212" t="s">
        <v>679</v>
      </c>
      <c r="M552" s="212" t="s">
        <v>448</v>
      </c>
      <c r="N552" s="212" t="s">
        <v>470</v>
      </c>
      <c r="O552" s="213">
        <v>41419</v>
      </c>
      <c r="P552" s="212" t="s">
        <v>531</v>
      </c>
      <c r="Q552" s="214">
        <v>100</v>
      </c>
      <c r="R552" s="212" t="s">
        <v>445</v>
      </c>
      <c r="S552" s="212" t="s">
        <v>532</v>
      </c>
      <c r="T552" s="212" t="s">
        <v>445</v>
      </c>
      <c r="U552" s="212" t="s">
        <v>446</v>
      </c>
      <c r="V552" s="214" t="b">
        <v>1</v>
      </c>
      <c r="W552" s="214">
        <v>1989</v>
      </c>
      <c r="X552" s="214">
        <v>5</v>
      </c>
      <c r="Y552" s="214">
        <v>2</v>
      </c>
      <c r="Z552" s="214">
        <v>4</v>
      </c>
      <c r="AA552" s="212" t="s">
        <v>447</v>
      </c>
      <c r="AB552" s="212" t="s">
        <v>531</v>
      </c>
      <c r="AC552" s="212" t="s">
        <v>533</v>
      </c>
      <c r="AD552" s="214">
        <v>2.6904720000000002</v>
      </c>
      <c r="AE552" s="214">
        <v>194</v>
      </c>
      <c r="AF552" s="214">
        <v>0.25580000000000003</v>
      </c>
      <c r="AG552" s="214">
        <v>-99</v>
      </c>
      <c r="AH552" s="212" t="s">
        <v>224</v>
      </c>
      <c r="AI552" s="212" t="s">
        <v>449</v>
      </c>
      <c r="AJ552" s="212" t="s">
        <v>316</v>
      </c>
      <c r="AK552" s="212" t="s">
        <v>531</v>
      </c>
      <c r="AL552" s="212" t="s">
        <v>388</v>
      </c>
      <c r="AM552" s="214" t="b">
        <v>1</v>
      </c>
      <c r="AN552" s="214" t="b">
        <v>0</v>
      </c>
      <c r="AO552" s="212" t="s">
        <v>317</v>
      </c>
      <c r="AP552" s="212" t="s">
        <v>318</v>
      </c>
      <c r="AQ552" s="214">
        <v>100.20194000000001</v>
      </c>
      <c r="AR552" s="214" t="b">
        <v>0</v>
      </c>
      <c r="AS552" s="212" t="s">
        <v>534</v>
      </c>
      <c r="AU552" s="222" t="s">
        <v>819</v>
      </c>
    </row>
    <row r="553" spans="1:47" x14ac:dyDescent="0.25">
      <c r="A553" s="245">
        <f t="shared" si="78"/>
        <v>553</v>
      </c>
      <c r="B553" s="246" t="str">
        <f t="shared" si="76"/>
        <v>Oil Field - Tank</v>
      </c>
      <c r="C553" s="246" t="str">
        <f ca="1">IF(B553="","",VLOOKUP(D553,'Species Data'!B:E,4,FALSE))</f>
        <v>twometpen</v>
      </c>
      <c r="D553" s="246">
        <f t="shared" ca="1" si="79"/>
        <v>199</v>
      </c>
      <c r="E553" s="246">
        <f t="shared" ca="1" si="80"/>
        <v>1.1014999999999999</v>
      </c>
      <c r="F553" s="246" t="str">
        <f t="shared" ca="1" si="81"/>
        <v>2-methylpentane (isohexane)</v>
      </c>
      <c r="G553" s="246">
        <f t="shared" ca="1" si="82"/>
        <v>86.175359999999998</v>
      </c>
      <c r="H553" s="204">
        <f ca="1">IF(G553="","",IF(VLOOKUP(Tank!F553,'Species Data'!D:F,3,FALSE)=0,"X",IF(G553&lt;44.1,2,1)))</f>
        <v>1</v>
      </c>
      <c r="I553" s="204">
        <f t="shared" ca="1" si="83"/>
        <v>0.93120227287515311</v>
      </c>
      <c r="J553" s="247">
        <f ca="1">IF(I553="","",IF(COUNTIF($D$12:D553,D553)=1,IF(H553=1,I553*H553,IF(H553="X","X",0)),0))</f>
        <v>0</v>
      </c>
      <c r="K553" s="248">
        <f t="shared" ca="1" si="77"/>
        <v>0</v>
      </c>
      <c r="L553" s="212" t="s">
        <v>679</v>
      </c>
      <c r="M553" s="212" t="s">
        <v>448</v>
      </c>
      <c r="N553" s="212" t="s">
        <v>470</v>
      </c>
      <c r="O553" s="213">
        <v>41419</v>
      </c>
      <c r="P553" s="212" t="s">
        <v>531</v>
      </c>
      <c r="Q553" s="214">
        <v>100</v>
      </c>
      <c r="R553" s="212" t="s">
        <v>445</v>
      </c>
      <c r="S553" s="212" t="s">
        <v>532</v>
      </c>
      <c r="T553" s="212" t="s">
        <v>445</v>
      </c>
      <c r="U553" s="212" t="s">
        <v>446</v>
      </c>
      <c r="V553" s="214" t="b">
        <v>1</v>
      </c>
      <c r="W553" s="214">
        <v>1989</v>
      </c>
      <c r="X553" s="214">
        <v>5</v>
      </c>
      <c r="Y553" s="214">
        <v>2</v>
      </c>
      <c r="Z553" s="214">
        <v>4</v>
      </c>
      <c r="AA553" s="212" t="s">
        <v>447</v>
      </c>
      <c r="AB553" s="212" t="s">
        <v>531</v>
      </c>
      <c r="AC553" s="212" t="s">
        <v>533</v>
      </c>
      <c r="AD553" s="214">
        <v>2.6904720000000002</v>
      </c>
      <c r="AE553" s="214">
        <v>199</v>
      </c>
      <c r="AF553" s="214">
        <v>1.1014999999999999</v>
      </c>
      <c r="AG553" s="214">
        <v>-99</v>
      </c>
      <c r="AH553" s="212" t="s">
        <v>224</v>
      </c>
      <c r="AI553" s="212" t="s">
        <v>449</v>
      </c>
      <c r="AJ553" s="212" t="s">
        <v>319</v>
      </c>
      <c r="AK553" s="212" t="s">
        <v>531</v>
      </c>
      <c r="AL553" s="212" t="s">
        <v>389</v>
      </c>
      <c r="AM553" s="214" t="b">
        <v>1</v>
      </c>
      <c r="AN553" s="214" t="b">
        <v>0</v>
      </c>
      <c r="AO553" s="212" t="s">
        <v>320</v>
      </c>
      <c r="AP553" s="212" t="s">
        <v>321</v>
      </c>
      <c r="AQ553" s="214">
        <v>86.175359999999998</v>
      </c>
      <c r="AR553" s="214" t="b">
        <v>0</v>
      </c>
      <c r="AS553" s="212" t="s">
        <v>534</v>
      </c>
      <c r="AU553" s="222" t="s">
        <v>819</v>
      </c>
    </row>
    <row r="554" spans="1:47" x14ac:dyDescent="0.25">
      <c r="A554" s="245">
        <f t="shared" si="78"/>
        <v>554</v>
      </c>
      <c r="B554" s="246" t="str">
        <f t="shared" si="76"/>
        <v>Oil Field - Tank</v>
      </c>
      <c r="C554" s="246" t="str">
        <f ca="1">IF(B554="","",VLOOKUP(D554,'Species Data'!B:E,4,FALSE))</f>
        <v>ethylhexane</v>
      </c>
      <c r="D554" s="246">
        <f t="shared" ca="1" si="79"/>
        <v>226</v>
      </c>
      <c r="E554" s="246">
        <f t="shared" ca="1" si="80"/>
        <v>0.1527</v>
      </c>
      <c r="F554" s="246" t="str">
        <f t="shared" ca="1" si="81"/>
        <v>3-ethylhexane</v>
      </c>
      <c r="G554" s="246">
        <f t="shared" ca="1" si="82"/>
        <v>114.22852</v>
      </c>
      <c r="H554" s="204" t="str">
        <f ca="1">IF(G554="","",IF(VLOOKUP(Tank!F554,'Species Data'!D:F,3,FALSE)=0,"X",IF(G554&lt;44.1,2,1)))</f>
        <v>X</v>
      </c>
      <c r="I554" s="204">
        <f t="shared" ca="1" si="83"/>
        <v>9.0107531698970997E-2</v>
      </c>
      <c r="J554" s="247">
        <f ca="1">IF(I554="","",IF(COUNTIF($D$12:D554,D554)=1,IF(H554=1,I554*H554,IF(H554="X","X",0)),0))</f>
        <v>0</v>
      </c>
      <c r="K554" s="248">
        <f t="shared" ca="1" si="77"/>
        <v>0</v>
      </c>
      <c r="L554" s="212" t="s">
        <v>679</v>
      </c>
      <c r="M554" s="212" t="s">
        <v>448</v>
      </c>
      <c r="N554" s="212" t="s">
        <v>470</v>
      </c>
      <c r="O554" s="213">
        <v>41419</v>
      </c>
      <c r="P554" s="212" t="s">
        <v>531</v>
      </c>
      <c r="Q554" s="214">
        <v>100</v>
      </c>
      <c r="R554" s="212" t="s">
        <v>445</v>
      </c>
      <c r="S554" s="212" t="s">
        <v>532</v>
      </c>
      <c r="T554" s="212" t="s">
        <v>445</v>
      </c>
      <c r="U554" s="212" t="s">
        <v>446</v>
      </c>
      <c r="V554" s="214" t="b">
        <v>1</v>
      </c>
      <c r="W554" s="214">
        <v>1989</v>
      </c>
      <c r="X554" s="214">
        <v>5</v>
      </c>
      <c r="Y554" s="214">
        <v>2</v>
      </c>
      <c r="Z554" s="214">
        <v>4</v>
      </c>
      <c r="AA554" s="212" t="s">
        <v>447</v>
      </c>
      <c r="AB554" s="212" t="s">
        <v>531</v>
      </c>
      <c r="AC554" s="212" t="s">
        <v>533</v>
      </c>
      <c r="AD554" s="214">
        <v>2.6904720000000002</v>
      </c>
      <c r="AE554" s="214">
        <v>226</v>
      </c>
      <c r="AF554" s="214">
        <v>0.1527</v>
      </c>
      <c r="AG554" s="214">
        <v>-99</v>
      </c>
      <c r="AH554" s="212" t="s">
        <v>224</v>
      </c>
      <c r="AI554" s="212" t="s">
        <v>449</v>
      </c>
      <c r="AJ554" s="212" t="s">
        <v>439</v>
      </c>
      <c r="AK554" s="212" t="s">
        <v>531</v>
      </c>
      <c r="AL554" s="212" t="s">
        <v>461</v>
      </c>
      <c r="AM554" s="214" t="b">
        <v>0</v>
      </c>
      <c r="AN554" s="214" t="b">
        <v>0</v>
      </c>
      <c r="AO554" s="212" t="s">
        <v>440</v>
      </c>
      <c r="AP554" s="212" t="s">
        <v>531</v>
      </c>
      <c r="AQ554" s="214">
        <v>114.22852</v>
      </c>
      <c r="AR554" s="214" t="b">
        <v>0</v>
      </c>
      <c r="AS554" s="212" t="s">
        <v>534</v>
      </c>
      <c r="AU554" s="222" t="s">
        <v>819</v>
      </c>
    </row>
    <row r="555" spans="1:47" x14ac:dyDescent="0.25">
      <c r="A555" s="245">
        <f t="shared" si="78"/>
        <v>555</v>
      </c>
      <c r="B555" s="246" t="str">
        <f t="shared" si="76"/>
        <v>Oil Field - Tank</v>
      </c>
      <c r="C555" s="246" t="str">
        <f ca="1">IF(B555="","",VLOOKUP(D555,'Species Data'!B:E,4,FALSE))</f>
        <v>threemethex</v>
      </c>
      <c r="D555" s="246">
        <f t="shared" ca="1" si="79"/>
        <v>245</v>
      </c>
      <c r="E555" s="246">
        <f t="shared" ca="1" si="80"/>
        <v>0.36409999999999998</v>
      </c>
      <c r="F555" s="246" t="str">
        <f t="shared" ca="1" si="81"/>
        <v>3-methylhexane</v>
      </c>
      <c r="G555" s="246">
        <f t="shared" ca="1" si="82"/>
        <v>100.20194000000001</v>
      </c>
      <c r="H555" s="204">
        <f ca="1">IF(G555="","",IF(VLOOKUP(Tank!F555,'Species Data'!D:F,3,FALSE)=0,"X",IF(G555&lt;44.1,2,1)))</f>
        <v>1</v>
      </c>
      <c r="I555" s="204">
        <f t="shared" ca="1" si="83"/>
        <v>0.33724323753508045</v>
      </c>
      <c r="J555" s="247">
        <f ca="1">IF(I555="","",IF(COUNTIF($D$12:D555,D555)=1,IF(H555=1,I555*H555,IF(H555="X","X",0)),0))</f>
        <v>0</v>
      </c>
      <c r="K555" s="248">
        <f t="shared" ca="1" si="77"/>
        <v>0</v>
      </c>
      <c r="L555" s="212" t="s">
        <v>679</v>
      </c>
      <c r="M555" s="212" t="s">
        <v>448</v>
      </c>
      <c r="N555" s="212" t="s">
        <v>470</v>
      </c>
      <c r="O555" s="213">
        <v>41419</v>
      </c>
      <c r="P555" s="212" t="s">
        <v>531</v>
      </c>
      <c r="Q555" s="214">
        <v>100</v>
      </c>
      <c r="R555" s="212" t="s">
        <v>445</v>
      </c>
      <c r="S555" s="212" t="s">
        <v>532</v>
      </c>
      <c r="T555" s="212" t="s">
        <v>445</v>
      </c>
      <c r="U555" s="212" t="s">
        <v>446</v>
      </c>
      <c r="V555" s="214" t="b">
        <v>1</v>
      </c>
      <c r="W555" s="214">
        <v>1989</v>
      </c>
      <c r="X555" s="214">
        <v>5</v>
      </c>
      <c r="Y555" s="214">
        <v>2</v>
      </c>
      <c r="Z555" s="214">
        <v>4</v>
      </c>
      <c r="AA555" s="212" t="s">
        <v>447</v>
      </c>
      <c r="AB555" s="212" t="s">
        <v>531</v>
      </c>
      <c r="AC555" s="212" t="s">
        <v>533</v>
      </c>
      <c r="AD555" s="214">
        <v>2.6904720000000002</v>
      </c>
      <c r="AE555" s="214">
        <v>245</v>
      </c>
      <c r="AF555" s="214">
        <v>0.36409999999999998</v>
      </c>
      <c r="AG555" s="214">
        <v>-99</v>
      </c>
      <c r="AH555" s="212" t="s">
        <v>224</v>
      </c>
      <c r="AI555" s="212" t="s">
        <v>449</v>
      </c>
      <c r="AJ555" s="212" t="s">
        <v>325</v>
      </c>
      <c r="AK555" s="212" t="s">
        <v>531</v>
      </c>
      <c r="AL555" s="212" t="s">
        <v>390</v>
      </c>
      <c r="AM555" s="214" t="b">
        <v>1</v>
      </c>
      <c r="AN555" s="214" t="b">
        <v>0</v>
      </c>
      <c r="AO555" s="212" t="s">
        <v>326</v>
      </c>
      <c r="AP555" s="212" t="s">
        <v>327</v>
      </c>
      <c r="AQ555" s="214">
        <v>100.20194000000001</v>
      </c>
      <c r="AR555" s="214" t="b">
        <v>0</v>
      </c>
      <c r="AS555" s="212" t="s">
        <v>534</v>
      </c>
      <c r="AU555" s="222" t="s">
        <v>819</v>
      </c>
    </row>
    <row r="556" spans="1:47" x14ac:dyDescent="0.25">
      <c r="A556" s="245">
        <f t="shared" si="78"/>
        <v>556</v>
      </c>
      <c r="B556" s="246" t="str">
        <f t="shared" si="76"/>
        <v>Oil Field - Tank</v>
      </c>
      <c r="C556" s="246" t="str">
        <f ca="1">IF(B556="","",VLOOKUP(D556,'Species Data'!B:E,4,FALSE))</f>
        <v>threemetpen</v>
      </c>
      <c r="D556" s="246">
        <f t="shared" ca="1" si="79"/>
        <v>248</v>
      </c>
      <c r="E556" s="246">
        <f t="shared" ca="1" si="80"/>
        <v>0.79759999999999998</v>
      </c>
      <c r="F556" s="246" t="str">
        <f t="shared" ca="1" si="81"/>
        <v>3-methylpentane</v>
      </c>
      <c r="G556" s="246">
        <f t="shared" ca="1" si="82"/>
        <v>86.175359999999998</v>
      </c>
      <c r="H556" s="204">
        <f ca="1">IF(G556="","",IF(VLOOKUP(Tank!F556,'Species Data'!D:F,3,FALSE)=0,"X",IF(G556&lt;44.1,2,1)))</f>
        <v>1</v>
      </c>
      <c r="I556" s="204">
        <f t="shared" ca="1" si="83"/>
        <v>0.72479362468546382</v>
      </c>
      <c r="J556" s="247">
        <f ca="1">IF(I556="","",IF(COUNTIF($D$12:D556,D556)=1,IF(H556=1,I556*H556,IF(H556="X","X",0)),0))</f>
        <v>0</v>
      </c>
      <c r="K556" s="248">
        <f t="shared" ca="1" si="77"/>
        <v>0</v>
      </c>
      <c r="L556" s="212" t="s">
        <v>679</v>
      </c>
      <c r="M556" s="212" t="s">
        <v>448</v>
      </c>
      <c r="N556" s="212" t="s">
        <v>470</v>
      </c>
      <c r="O556" s="213">
        <v>41419</v>
      </c>
      <c r="P556" s="212" t="s">
        <v>531</v>
      </c>
      <c r="Q556" s="214">
        <v>100</v>
      </c>
      <c r="R556" s="212" t="s">
        <v>445</v>
      </c>
      <c r="S556" s="212" t="s">
        <v>532</v>
      </c>
      <c r="T556" s="212" t="s">
        <v>445</v>
      </c>
      <c r="U556" s="212" t="s">
        <v>446</v>
      </c>
      <c r="V556" s="214" t="b">
        <v>1</v>
      </c>
      <c r="W556" s="214">
        <v>1989</v>
      </c>
      <c r="X556" s="214">
        <v>5</v>
      </c>
      <c r="Y556" s="214">
        <v>2</v>
      </c>
      <c r="Z556" s="214">
        <v>4</v>
      </c>
      <c r="AA556" s="212" t="s">
        <v>447</v>
      </c>
      <c r="AB556" s="212" t="s">
        <v>531</v>
      </c>
      <c r="AC556" s="212" t="s">
        <v>533</v>
      </c>
      <c r="AD556" s="214">
        <v>2.6904720000000002</v>
      </c>
      <c r="AE556" s="214">
        <v>248</v>
      </c>
      <c r="AF556" s="214">
        <v>0.79759999999999998</v>
      </c>
      <c r="AG556" s="214">
        <v>-99</v>
      </c>
      <c r="AH556" s="212" t="s">
        <v>224</v>
      </c>
      <c r="AI556" s="212" t="s">
        <v>449</v>
      </c>
      <c r="AJ556" s="212" t="s">
        <v>328</v>
      </c>
      <c r="AK556" s="212" t="s">
        <v>531</v>
      </c>
      <c r="AL556" s="212" t="s">
        <v>391</v>
      </c>
      <c r="AM556" s="214" t="b">
        <v>1</v>
      </c>
      <c r="AN556" s="214" t="b">
        <v>0</v>
      </c>
      <c r="AO556" s="212" t="s">
        <v>329</v>
      </c>
      <c r="AP556" s="212" t="s">
        <v>330</v>
      </c>
      <c r="AQ556" s="214">
        <v>86.175359999999998</v>
      </c>
      <c r="AR556" s="214" t="b">
        <v>0</v>
      </c>
      <c r="AS556" s="212" t="s">
        <v>534</v>
      </c>
      <c r="AU556" s="222" t="s">
        <v>819</v>
      </c>
    </row>
    <row r="557" spans="1:47" x14ac:dyDescent="0.25">
      <c r="A557" s="245">
        <f t="shared" si="78"/>
        <v>557</v>
      </c>
      <c r="B557" s="246" t="str">
        <f t="shared" si="76"/>
        <v>Oil Field - Tank</v>
      </c>
      <c r="C557" s="246" t="str">
        <f ca="1">IF(B557="","",VLOOKUP(D557,'Species Data'!B:E,4,FALSE))</f>
        <v>benzene</v>
      </c>
      <c r="D557" s="246">
        <f t="shared" ca="1" si="79"/>
        <v>302</v>
      </c>
      <c r="E557" s="246">
        <f t="shared" ca="1" si="80"/>
        <v>0.28620000000000001</v>
      </c>
      <c r="F557" s="246" t="str">
        <f t="shared" ca="1" si="81"/>
        <v>Benzene</v>
      </c>
      <c r="G557" s="246">
        <f t="shared" ca="1" si="82"/>
        <v>78.111840000000001</v>
      </c>
      <c r="H557" s="204">
        <f ca="1">IF(G557="","",IF(VLOOKUP(Tank!F557,'Species Data'!D:F,3,FALSE)=0,"X",IF(G557&lt;44.1,2,1)))</f>
        <v>1</v>
      </c>
      <c r="I557" s="204">
        <f t="shared" ca="1" si="83"/>
        <v>0.24518902048126334</v>
      </c>
      <c r="J557" s="247">
        <f ca="1">IF(I557="","",IF(COUNTIF($D$12:D557,D557)=1,IF(H557=1,I557*H557,IF(H557="X","X",0)),0))</f>
        <v>0</v>
      </c>
      <c r="K557" s="248">
        <f t="shared" ca="1" si="77"/>
        <v>0</v>
      </c>
      <c r="L557" s="212" t="s">
        <v>679</v>
      </c>
      <c r="M557" s="212" t="s">
        <v>448</v>
      </c>
      <c r="N557" s="212" t="s">
        <v>470</v>
      </c>
      <c r="O557" s="213">
        <v>41419</v>
      </c>
      <c r="P557" s="212" t="s">
        <v>531</v>
      </c>
      <c r="Q557" s="214">
        <v>100</v>
      </c>
      <c r="R557" s="212" t="s">
        <v>445</v>
      </c>
      <c r="S557" s="212" t="s">
        <v>532</v>
      </c>
      <c r="T557" s="212" t="s">
        <v>445</v>
      </c>
      <c r="U557" s="212" t="s">
        <v>446</v>
      </c>
      <c r="V557" s="214" t="b">
        <v>1</v>
      </c>
      <c r="W557" s="214">
        <v>1989</v>
      </c>
      <c r="X557" s="214">
        <v>5</v>
      </c>
      <c r="Y557" s="214">
        <v>2</v>
      </c>
      <c r="Z557" s="214">
        <v>4</v>
      </c>
      <c r="AA557" s="212" t="s">
        <v>447</v>
      </c>
      <c r="AB557" s="212" t="s">
        <v>531</v>
      </c>
      <c r="AC557" s="212" t="s">
        <v>533</v>
      </c>
      <c r="AD557" s="214">
        <v>2.6904720000000002</v>
      </c>
      <c r="AE557" s="214">
        <v>302</v>
      </c>
      <c r="AF557" s="214">
        <v>0.28620000000000001</v>
      </c>
      <c r="AG557" s="214">
        <v>-99</v>
      </c>
      <c r="AH557" s="212" t="s">
        <v>224</v>
      </c>
      <c r="AI557" s="212" t="s">
        <v>449</v>
      </c>
      <c r="AJ557" s="212" t="s">
        <v>262</v>
      </c>
      <c r="AK557" s="212" t="s">
        <v>531</v>
      </c>
      <c r="AL557" s="212" t="s">
        <v>373</v>
      </c>
      <c r="AM557" s="214" t="b">
        <v>1</v>
      </c>
      <c r="AN557" s="214" t="b">
        <v>1</v>
      </c>
      <c r="AO557" s="212" t="s">
        <v>263</v>
      </c>
      <c r="AP557" s="212" t="s">
        <v>264</v>
      </c>
      <c r="AQ557" s="214">
        <v>78.111840000000001</v>
      </c>
      <c r="AR557" s="214" t="b">
        <v>0</v>
      </c>
      <c r="AS557" s="212" t="s">
        <v>534</v>
      </c>
      <c r="AU557" s="222" t="s">
        <v>819</v>
      </c>
    </row>
    <row r="558" spans="1:47" x14ac:dyDescent="0.25">
      <c r="A558" s="245">
        <f t="shared" si="78"/>
        <v>558</v>
      </c>
      <c r="B558" s="246" t="str">
        <f t="shared" si="76"/>
        <v>Oil Field - Tank</v>
      </c>
      <c r="C558" s="246" t="str">
        <f ca="1">IF(B558="","",VLOOKUP(D558,'Species Data'!B:E,4,FALSE))</f>
        <v>cyclohexane</v>
      </c>
      <c r="D558" s="246">
        <f t="shared" ca="1" si="79"/>
        <v>385</v>
      </c>
      <c r="E558" s="246">
        <f t="shared" ca="1" si="80"/>
        <v>1.41E-2</v>
      </c>
      <c r="F558" s="246" t="str">
        <f t="shared" ca="1" si="81"/>
        <v>Cyclohexane</v>
      </c>
      <c r="G558" s="246">
        <f t="shared" ca="1" si="82"/>
        <v>84.159480000000002</v>
      </c>
      <c r="H558" s="204">
        <f ca="1">IF(G558="","",IF(VLOOKUP(Tank!F558,'Species Data'!D:F,3,FALSE)=0,"X",IF(G558&lt;44.1,2,1)))</f>
        <v>1</v>
      </c>
      <c r="I558" s="204">
        <f t="shared" ca="1" si="83"/>
        <v>1.8406843372363042E-2</v>
      </c>
      <c r="J558" s="247">
        <f ca="1">IF(I558="","",IF(COUNTIF($D$12:D558,D558)=1,IF(H558=1,I558*H558,IF(H558="X","X",0)),0))</f>
        <v>0</v>
      </c>
      <c r="K558" s="248">
        <f t="shared" ca="1" si="77"/>
        <v>0</v>
      </c>
      <c r="L558" s="212" t="s">
        <v>679</v>
      </c>
      <c r="M558" s="212" t="s">
        <v>448</v>
      </c>
      <c r="N558" s="212" t="s">
        <v>470</v>
      </c>
      <c r="O558" s="213">
        <v>41419</v>
      </c>
      <c r="P558" s="212" t="s">
        <v>531</v>
      </c>
      <c r="Q558" s="214">
        <v>100</v>
      </c>
      <c r="R558" s="212" t="s">
        <v>445</v>
      </c>
      <c r="S558" s="212" t="s">
        <v>532</v>
      </c>
      <c r="T558" s="212" t="s">
        <v>445</v>
      </c>
      <c r="U558" s="212" t="s">
        <v>446</v>
      </c>
      <c r="V558" s="214" t="b">
        <v>1</v>
      </c>
      <c r="W558" s="214">
        <v>1989</v>
      </c>
      <c r="X558" s="214">
        <v>5</v>
      </c>
      <c r="Y558" s="214">
        <v>2</v>
      </c>
      <c r="Z558" s="214">
        <v>4</v>
      </c>
      <c r="AA558" s="212" t="s">
        <v>447</v>
      </c>
      <c r="AB558" s="212" t="s">
        <v>531</v>
      </c>
      <c r="AC558" s="212" t="s">
        <v>533</v>
      </c>
      <c r="AD558" s="214">
        <v>2.6904720000000002</v>
      </c>
      <c r="AE558" s="214">
        <v>385</v>
      </c>
      <c r="AF558" s="214">
        <v>1.41E-2</v>
      </c>
      <c r="AG558" s="214">
        <v>-99</v>
      </c>
      <c r="AH558" s="212" t="s">
        <v>224</v>
      </c>
      <c r="AI558" s="212" t="s">
        <v>449</v>
      </c>
      <c r="AJ558" s="212" t="s">
        <v>331</v>
      </c>
      <c r="AK558" s="212" t="s">
        <v>531</v>
      </c>
      <c r="AL558" s="212" t="s">
        <v>392</v>
      </c>
      <c r="AM558" s="214" t="b">
        <v>1</v>
      </c>
      <c r="AN558" s="214" t="b">
        <v>0</v>
      </c>
      <c r="AO558" s="212" t="s">
        <v>332</v>
      </c>
      <c r="AP558" s="212" t="s">
        <v>333</v>
      </c>
      <c r="AQ558" s="214">
        <v>84.159480000000002</v>
      </c>
      <c r="AR558" s="214" t="b">
        <v>0</v>
      </c>
      <c r="AS558" s="212" t="s">
        <v>534</v>
      </c>
      <c r="AU558" s="222" t="s">
        <v>819</v>
      </c>
    </row>
    <row r="559" spans="1:47" x14ac:dyDescent="0.25">
      <c r="A559" s="245">
        <f t="shared" si="78"/>
        <v>559</v>
      </c>
      <c r="B559" s="246" t="str">
        <f t="shared" si="76"/>
        <v>Oil Field - Tank</v>
      </c>
      <c r="C559" s="246" t="str">
        <f ca="1">IF(B559="","",VLOOKUP(D559,'Species Data'!B:E,4,FALSE))</f>
        <v>cyclopentane</v>
      </c>
      <c r="D559" s="246">
        <f t="shared" ca="1" si="79"/>
        <v>390</v>
      </c>
      <c r="E559" s="246">
        <f t="shared" ca="1" si="80"/>
        <v>0.2334</v>
      </c>
      <c r="F559" s="246" t="str">
        <f t="shared" ca="1" si="81"/>
        <v>Cyclopentane</v>
      </c>
      <c r="G559" s="246">
        <f t="shared" ca="1" si="82"/>
        <v>70.132900000000006</v>
      </c>
      <c r="H559" s="204">
        <f ca="1">IF(G559="","",IF(VLOOKUP(Tank!F559,'Species Data'!D:F,3,FALSE)=0,"X",IF(G559&lt;44.1,2,1)))</f>
        <v>1</v>
      </c>
      <c r="I559" s="204">
        <f t="shared" ca="1" si="83"/>
        <v>0.15432814821688956</v>
      </c>
      <c r="J559" s="247">
        <f ca="1">IF(I559="","",IF(COUNTIF($D$12:D559,D559)=1,IF(H559=1,I559*H559,IF(H559="X","X",0)),0))</f>
        <v>0</v>
      </c>
      <c r="K559" s="248">
        <f t="shared" ca="1" si="77"/>
        <v>0</v>
      </c>
      <c r="L559" s="212" t="s">
        <v>679</v>
      </c>
      <c r="M559" s="212" t="s">
        <v>448</v>
      </c>
      <c r="N559" s="212" t="s">
        <v>470</v>
      </c>
      <c r="O559" s="213">
        <v>41419</v>
      </c>
      <c r="P559" s="212" t="s">
        <v>531</v>
      </c>
      <c r="Q559" s="214">
        <v>100</v>
      </c>
      <c r="R559" s="212" t="s">
        <v>445</v>
      </c>
      <c r="S559" s="212" t="s">
        <v>532</v>
      </c>
      <c r="T559" s="212" t="s">
        <v>445</v>
      </c>
      <c r="U559" s="212" t="s">
        <v>446</v>
      </c>
      <c r="V559" s="214" t="b">
        <v>1</v>
      </c>
      <c r="W559" s="214">
        <v>1989</v>
      </c>
      <c r="X559" s="214">
        <v>5</v>
      </c>
      <c r="Y559" s="214">
        <v>2</v>
      </c>
      <c r="Z559" s="214">
        <v>4</v>
      </c>
      <c r="AA559" s="212" t="s">
        <v>447</v>
      </c>
      <c r="AB559" s="212" t="s">
        <v>531</v>
      </c>
      <c r="AC559" s="212" t="s">
        <v>533</v>
      </c>
      <c r="AD559" s="214">
        <v>2.6904720000000002</v>
      </c>
      <c r="AE559" s="214">
        <v>390</v>
      </c>
      <c r="AF559" s="214">
        <v>0.2334</v>
      </c>
      <c r="AG559" s="214">
        <v>-99</v>
      </c>
      <c r="AH559" s="212" t="s">
        <v>224</v>
      </c>
      <c r="AI559" s="212" t="s">
        <v>449</v>
      </c>
      <c r="AJ559" s="212" t="s">
        <v>334</v>
      </c>
      <c r="AK559" s="212" t="s">
        <v>531</v>
      </c>
      <c r="AL559" s="212" t="s">
        <v>393</v>
      </c>
      <c r="AM559" s="214" t="b">
        <v>1</v>
      </c>
      <c r="AN559" s="214" t="b">
        <v>0</v>
      </c>
      <c r="AO559" s="212" t="s">
        <v>335</v>
      </c>
      <c r="AP559" s="212" t="s">
        <v>336</v>
      </c>
      <c r="AQ559" s="214">
        <v>70.132900000000006</v>
      </c>
      <c r="AR559" s="214" t="b">
        <v>0</v>
      </c>
      <c r="AS559" s="212" t="s">
        <v>534</v>
      </c>
      <c r="AU559" s="222" t="s">
        <v>819</v>
      </c>
    </row>
    <row r="560" spans="1:47" x14ac:dyDescent="0.25">
      <c r="A560" s="245">
        <f t="shared" si="78"/>
        <v>560</v>
      </c>
      <c r="B560" s="246" t="str">
        <f t="shared" si="76"/>
        <v>Oil Field - Tank</v>
      </c>
      <c r="C560" s="246" t="str">
        <f ca="1">IF(B560="","",VLOOKUP(D560,'Species Data'!B:E,4,FALSE))</f>
        <v>ethane</v>
      </c>
      <c r="D560" s="246">
        <f t="shared" ca="1" si="79"/>
        <v>438</v>
      </c>
      <c r="E560" s="246">
        <f t="shared" ca="1" si="80"/>
        <v>4.7093999999999996</v>
      </c>
      <c r="F560" s="246" t="str">
        <f t="shared" ca="1" si="81"/>
        <v>Ethane</v>
      </c>
      <c r="G560" s="246">
        <f t="shared" ca="1" si="82"/>
        <v>30.069040000000005</v>
      </c>
      <c r="H560" s="204">
        <f ca="1">IF(G560="","",IF(VLOOKUP(Tank!F560,'Species Data'!D:F,3,FALSE)=0,"X",IF(G560&lt;44.1,2,1)))</f>
        <v>2</v>
      </c>
      <c r="I560" s="204">
        <f t="shared" ca="1" si="83"/>
        <v>5.717421553913586</v>
      </c>
      <c r="J560" s="247">
        <f ca="1">IF(I560="","",IF(COUNTIF($D$12:D560,D560)=1,IF(H560=1,I560*H560,IF(H560="X","X",0)),0))</f>
        <v>0</v>
      </c>
      <c r="K560" s="248">
        <f t="shared" ca="1" si="77"/>
        <v>0</v>
      </c>
      <c r="L560" s="212" t="s">
        <v>679</v>
      </c>
      <c r="M560" s="212" t="s">
        <v>448</v>
      </c>
      <c r="N560" s="212" t="s">
        <v>470</v>
      </c>
      <c r="O560" s="213">
        <v>41419</v>
      </c>
      <c r="P560" s="212" t="s">
        <v>531</v>
      </c>
      <c r="Q560" s="214">
        <v>100</v>
      </c>
      <c r="R560" s="212" t="s">
        <v>445</v>
      </c>
      <c r="S560" s="212" t="s">
        <v>532</v>
      </c>
      <c r="T560" s="212" t="s">
        <v>445</v>
      </c>
      <c r="U560" s="212" t="s">
        <v>446</v>
      </c>
      <c r="V560" s="214" t="b">
        <v>1</v>
      </c>
      <c r="W560" s="214">
        <v>1989</v>
      </c>
      <c r="X560" s="214">
        <v>5</v>
      </c>
      <c r="Y560" s="214">
        <v>2</v>
      </c>
      <c r="Z560" s="214">
        <v>4</v>
      </c>
      <c r="AA560" s="212" t="s">
        <v>447</v>
      </c>
      <c r="AB560" s="212" t="s">
        <v>531</v>
      </c>
      <c r="AC560" s="212" t="s">
        <v>533</v>
      </c>
      <c r="AD560" s="214">
        <v>2.6904720000000002</v>
      </c>
      <c r="AE560" s="214">
        <v>438</v>
      </c>
      <c r="AF560" s="214">
        <v>4.7093999999999996</v>
      </c>
      <c r="AG560" s="214">
        <v>-99</v>
      </c>
      <c r="AH560" s="212" t="s">
        <v>224</v>
      </c>
      <c r="AI560" s="212" t="s">
        <v>449</v>
      </c>
      <c r="AJ560" s="212" t="s">
        <v>265</v>
      </c>
      <c r="AK560" s="212" t="s">
        <v>531</v>
      </c>
      <c r="AL560" s="212" t="s">
        <v>374</v>
      </c>
      <c r="AM560" s="214" t="b">
        <v>1</v>
      </c>
      <c r="AN560" s="214" t="b">
        <v>0</v>
      </c>
      <c r="AO560" s="212" t="s">
        <v>266</v>
      </c>
      <c r="AP560" s="212" t="s">
        <v>267</v>
      </c>
      <c r="AQ560" s="214">
        <v>30.069040000000005</v>
      </c>
      <c r="AR560" s="214" t="b">
        <v>1</v>
      </c>
      <c r="AS560" s="212" t="s">
        <v>534</v>
      </c>
      <c r="AU560" s="222" t="s">
        <v>819</v>
      </c>
    </row>
    <row r="561" spans="1:47" x14ac:dyDescent="0.25">
      <c r="A561" s="245">
        <f t="shared" si="78"/>
        <v>561</v>
      </c>
      <c r="B561" s="246" t="str">
        <f t="shared" si="76"/>
        <v>Oil Field - Tank</v>
      </c>
      <c r="C561" s="246" t="str">
        <f ca="1">IF(B561="","",VLOOKUP(D561,'Species Data'!B:E,4,FALSE))</f>
        <v>ethyl_benz</v>
      </c>
      <c r="D561" s="246">
        <f t="shared" ca="1" si="79"/>
        <v>449</v>
      </c>
      <c r="E561" s="246">
        <f t="shared" ca="1" si="80"/>
        <v>0.20610000000000001</v>
      </c>
      <c r="F561" s="246" t="str">
        <f t="shared" ca="1" si="81"/>
        <v>Ethylbenzene</v>
      </c>
      <c r="G561" s="246">
        <f t="shared" ca="1" si="82"/>
        <v>106.16500000000001</v>
      </c>
      <c r="H561" s="204">
        <f ca="1">IF(G561="","",IF(VLOOKUP(Tank!F561,'Species Data'!D:F,3,FALSE)=0,"X",IF(G561&lt;44.1,2,1)))</f>
        <v>1</v>
      </c>
      <c r="I561" s="204">
        <f t="shared" ca="1" si="83"/>
        <v>0.12062115796311647</v>
      </c>
      <c r="J561" s="247">
        <f ca="1">IF(I561="","",IF(COUNTIF($D$12:D561,D561)=1,IF(H561=1,I561*H561,IF(H561="X","X",0)),0))</f>
        <v>0</v>
      </c>
      <c r="K561" s="248">
        <f t="shared" ca="1" si="77"/>
        <v>0</v>
      </c>
      <c r="L561" s="212" t="s">
        <v>679</v>
      </c>
      <c r="M561" s="212" t="s">
        <v>448</v>
      </c>
      <c r="N561" s="212" t="s">
        <v>470</v>
      </c>
      <c r="O561" s="213">
        <v>41419</v>
      </c>
      <c r="P561" s="212" t="s">
        <v>531</v>
      </c>
      <c r="Q561" s="214">
        <v>100</v>
      </c>
      <c r="R561" s="212" t="s">
        <v>445</v>
      </c>
      <c r="S561" s="212" t="s">
        <v>532</v>
      </c>
      <c r="T561" s="212" t="s">
        <v>445</v>
      </c>
      <c r="U561" s="212" t="s">
        <v>446</v>
      </c>
      <c r="V561" s="214" t="b">
        <v>1</v>
      </c>
      <c r="W561" s="214">
        <v>1989</v>
      </c>
      <c r="X561" s="214">
        <v>5</v>
      </c>
      <c r="Y561" s="214">
        <v>2</v>
      </c>
      <c r="Z561" s="214">
        <v>4</v>
      </c>
      <c r="AA561" s="212" t="s">
        <v>447</v>
      </c>
      <c r="AB561" s="212" t="s">
        <v>531</v>
      </c>
      <c r="AC561" s="212" t="s">
        <v>533</v>
      </c>
      <c r="AD561" s="214">
        <v>2.6904720000000002</v>
      </c>
      <c r="AE561" s="214">
        <v>449</v>
      </c>
      <c r="AF561" s="214">
        <v>0.20610000000000001</v>
      </c>
      <c r="AG561" s="214">
        <v>-99</v>
      </c>
      <c r="AH561" s="212" t="s">
        <v>224</v>
      </c>
      <c r="AI561" s="212" t="s">
        <v>449</v>
      </c>
      <c r="AJ561" s="212" t="s">
        <v>337</v>
      </c>
      <c r="AK561" s="212" t="s">
        <v>531</v>
      </c>
      <c r="AL561" s="212" t="s">
        <v>394</v>
      </c>
      <c r="AM561" s="214" t="b">
        <v>1</v>
      </c>
      <c r="AN561" s="214" t="b">
        <v>1</v>
      </c>
      <c r="AO561" s="212" t="s">
        <v>338</v>
      </c>
      <c r="AP561" s="212" t="s">
        <v>339</v>
      </c>
      <c r="AQ561" s="214">
        <v>106.16500000000001</v>
      </c>
      <c r="AR561" s="214" t="b">
        <v>0</v>
      </c>
      <c r="AS561" s="212" t="s">
        <v>534</v>
      </c>
      <c r="AU561" s="222" t="s">
        <v>819</v>
      </c>
    </row>
    <row r="562" spans="1:47" x14ac:dyDescent="0.25">
      <c r="A562" s="245">
        <f t="shared" si="78"/>
        <v>562</v>
      </c>
      <c r="B562" s="246" t="str">
        <f t="shared" si="76"/>
        <v>Oil Field - Tank</v>
      </c>
      <c r="C562" s="246" t="str">
        <f ca="1">IF(B562="","",VLOOKUP(D562,'Species Data'!B:E,4,FALSE))</f>
        <v>isobut</v>
      </c>
      <c r="D562" s="246">
        <f t="shared" ca="1" si="79"/>
        <v>491</v>
      </c>
      <c r="E562" s="246">
        <f t="shared" ca="1" si="80"/>
        <v>3.2892999999999999</v>
      </c>
      <c r="F562" s="246" t="str">
        <f t="shared" ca="1" si="81"/>
        <v>Isobutane</v>
      </c>
      <c r="G562" s="246">
        <f t="shared" ca="1" si="82"/>
        <v>58.122199999999992</v>
      </c>
      <c r="H562" s="204">
        <f ca="1">IF(G562="","",IF(VLOOKUP(Tank!F562,'Species Data'!D:F,3,FALSE)=0,"X",IF(G562&lt;44.1,2,1)))</f>
        <v>1</v>
      </c>
      <c r="I562" s="204">
        <f t="shared" ca="1" si="83"/>
        <v>3.2562712602040991</v>
      </c>
      <c r="J562" s="247">
        <f ca="1">IF(I562="","",IF(COUNTIF($D$12:D562,D562)=1,IF(H562=1,I562*H562,IF(H562="X","X",0)),0))</f>
        <v>0</v>
      </c>
      <c r="K562" s="248">
        <f t="shared" ca="1" si="77"/>
        <v>0</v>
      </c>
      <c r="L562" s="212" t="s">
        <v>679</v>
      </c>
      <c r="M562" s="212" t="s">
        <v>448</v>
      </c>
      <c r="N562" s="212" t="s">
        <v>470</v>
      </c>
      <c r="O562" s="213">
        <v>41419</v>
      </c>
      <c r="P562" s="212" t="s">
        <v>531</v>
      </c>
      <c r="Q562" s="214">
        <v>100</v>
      </c>
      <c r="R562" s="212" t="s">
        <v>445</v>
      </c>
      <c r="S562" s="212" t="s">
        <v>532</v>
      </c>
      <c r="T562" s="212" t="s">
        <v>445</v>
      </c>
      <c r="U562" s="212" t="s">
        <v>446</v>
      </c>
      <c r="V562" s="214" t="b">
        <v>1</v>
      </c>
      <c r="W562" s="214">
        <v>1989</v>
      </c>
      <c r="X562" s="214">
        <v>5</v>
      </c>
      <c r="Y562" s="214">
        <v>2</v>
      </c>
      <c r="Z562" s="214">
        <v>4</v>
      </c>
      <c r="AA562" s="212" t="s">
        <v>447</v>
      </c>
      <c r="AB562" s="212" t="s">
        <v>531</v>
      </c>
      <c r="AC562" s="212" t="s">
        <v>533</v>
      </c>
      <c r="AD562" s="214">
        <v>2.6904720000000002</v>
      </c>
      <c r="AE562" s="214">
        <v>491</v>
      </c>
      <c r="AF562" s="214">
        <v>3.2892999999999999</v>
      </c>
      <c r="AG562" s="214">
        <v>-99</v>
      </c>
      <c r="AH562" s="212" t="s">
        <v>224</v>
      </c>
      <c r="AI562" s="212" t="s">
        <v>449</v>
      </c>
      <c r="AJ562" s="212" t="s">
        <v>268</v>
      </c>
      <c r="AK562" s="212" t="s">
        <v>531</v>
      </c>
      <c r="AL562" s="212" t="s">
        <v>375</v>
      </c>
      <c r="AM562" s="214" t="b">
        <v>1</v>
      </c>
      <c r="AN562" s="214" t="b">
        <v>0</v>
      </c>
      <c r="AO562" s="212" t="s">
        <v>269</v>
      </c>
      <c r="AP562" s="212" t="s">
        <v>270</v>
      </c>
      <c r="AQ562" s="214">
        <v>58.122199999999992</v>
      </c>
      <c r="AR562" s="214" t="b">
        <v>0</v>
      </c>
      <c r="AS562" s="212" t="s">
        <v>534</v>
      </c>
      <c r="AU562" s="222" t="s">
        <v>819</v>
      </c>
    </row>
    <row r="563" spans="1:47" x14ac:dyDescent="0.25">
      <c r="A563" s="245">
        <f t="shared" si="78"/>
        <v>563</v>
      </c>
      <c r="B563" s="246" t="str">
        <f t="shared" si="76"/>
        <v>Oil Field - Tank</v>
      </c>
      <c r="C563" s="246" t="str">
        <f ca="1">IF(B563="","",VLOOKUP(D563,'Species Data'!B:E,4,FALSE))</f>
        <v>isopentane</v>
      </c>
      <c r="D563" s="246">
        <f t="shared" ca="1" si="79"/>
        <v>508</v>
      </c>
      <c r="E563" s="246">
        <f t="shared" ca="1" si="80"/>
        <v>3.3784999999999998</v>
      </c>
      <c r="F563" s="246" t="str">
        <f t="shared" ca="1" si="81"/>
        <v>Isopentane (2-Methylbutane)</v>
      </c>
      <c r="G563" s="246">
        <f t="shared" ca="1" si="82"/>
        <v>72.148780000000002</v>
      </c>
      <c r="H563" s="204">
        <f ca="1">IF(G563="","",IF(VLOOKUP(Tank!F563,'Species Data'!D:F,3,FALSE)=0,"X",IF(G563&lt;44.1,2,1)))</f>
        <v>1</v>
      </c>
      <c r="I563" s="204">
        <f t="shared" ca="1" si="83"/>
        <v>3.397999287459827</v>
      </c>
      <c r="J563" s="247">
        <f ca="1">IF(I563="","",IF(COUNTIF($D$12:D563,D563)=1,IF(H563=1,I563*H563,IF(H563="X","X",0)),0))</f>
        <v>0</v>
      </c>
      <c r="K563" s="248">
        <f t="shared" ca="1" si="77"/>
        <v>0</v>
      </c>
      <c r="L563" s="212" t="s">
        <v>679</v>
      </c>
      <c r="M563" s="212" t="s">
        <v>448</v>
      </c>
      <c r="N563" s="212" t="s">
        <v>470</v>
      </c>
      <c r="O563" s="213">
        <v>41419</v>
      </c>
      <c r="P563" s="212" t="s">
        <v>531</v>
      </c>
      <c r="Q563" s="214">
        <v>100</v>
      </c>
      <c r="R563" s="212" t="s">
        <v>445</v>
      </c>
      <c r="S563" s="212" t="s">
        <v>532</v>
      </c>
      <c r="T563" s="212" t="s">
        <v>445</v>
      </c>
      <c r="U563" s="212" t="s">
        <v>446</v>
      </c>
      <c r="V563" s="214" t="b">
        <v>1</v>
      </c>
      <c r="W563" s="214">
        <v>1989</v>
      </c>
      <c r="X563" s="214">
        <v>5</v>
      </c>
      <c r="Y563" s="214">
        <v>2</v>
      </c>
      <c r="Z563" s="214">
        <v>4</v>
      </c>
      <c r="AA563" s="212" t="s">
        <v>447</v>
      </c>
      <c r="AB563" s="212" t="s">
        <v>531</v>
      </c>
      <c r="AC563" s="212" t="s">
        <v>533</v>
      </c>
      <c r="AD563" s="214">
        <v>2.6904720000000002</v>
      </c>
      <c r="AE563" s="214">
        <v>508</v>
      </c>
      <c r="AF563" s="214">
        <v>3.3784999999999998</v>
      </c>
      <c r="AG563" s="214">
        <v>-99</v>
      </c>
      <c r="AH563" s="212" t="s">
        <v>224</v>
      </c>
      <c r="AI563" s="212" t="s">
        <v>449</v>
      </c>
      <c r="AJ563" s="212" t="s">
        <v>342</v>
      </c>
      <c r="AK563" s="212" t="s">
        <v>531</v>
      </c>
      <c r="AL563" s="212" t="s">
        <v>395</v>
      </c>
      <c r="AM563" s="214" t="b">
        <v>1</v>
      </c>
      <c r="AN563" s="214" t="b">
        <v>0</v>
      </c>
      <c r="AO563" s="212" t="s">
        <v>343</v>
      </c>
      <c r="AP563" s="212" t="s">
        <v>344</v>
      </c>
      <c r="AQ563" s="214">
        <v>72.148780000000002</v>
      </c>
      <c r="AR563" s="214" t="b">
        <v>0</v>
      </c>
      <c r="AS563" s="212" t="s">
        <v>534</v>
      </c>
      <c r="AU563" s="222" t="s">
        <v>819</v>
      </c>
    </row>
    <row r="564" spans="1:47" x14ac:dyDescent="0.25">
      <c r="A564" s="245">
        <f t="shared" si="78"/>
        <v>564</v>
      </c>
      <c r="B564" s="246" t="str">
        <f t="shared" si="76"/>
        <v>Oil Field - Tank</v>
      </c>
      <c r="C564" s="246" t="str">
        <f ca="1">IF(B564="","",VLOOKUP(D564,'Species Data'!B:E,4,FALSE))</f>
        <v>isopben</v>
      </c>
      <c r="D564" s="246">
        <f t="shared" ca="1" si="79"/>
        <v>514</v>
      </c>
      <c r="E564" s="246">
        <f t="shared" ca="1" si="80"/>
        <v>1.04E-2</v>
      </c>
      <c r="F564" s="246" t="str">
        <f t="shared" ca="1" si="81"/>
        <v>Isopropylbenzene (cumene)</v>
      </c>
      <c r="G564" s="246">
        <f t="shared" ca="1" si="82"/>
        <v>120.19158</v>
      </c>
      <c r="H564" s="204">
        <f ca="1">IF(G564="","",IF(VLOOKUP(Tank!F564,'Species Data'!D:F,3,FALSE)=0,"X",IF(G564&lt;44.1,2,1)))</f>
        <v>1</v>
      </c>
      <c r="I564" s="204">
        <f t="shared" ca="1" si="83"/>
        <v>4.0067051310359253E-3</v>
      </c>
      <c r="J564" s="247">
        <f ca="1">IF(I564="","",IF(COUNTIF($D$12:D564,D564)=1,IF(H564=1,I564*H564,IF(H564="X","X",0)),0))</f>
        <v>0</v>
      </c>
      <c r="K564" s="248">
        <f t="shared" ca="1" si="77"/>
        <v>0</v>
      </c>
      <c r="L564" s="212" t="s">
        <v>679</v>
      </c>
      <c r="M564" s="212" t="s">
        <v>448</v>
      </c>
      <c r="N564" s="212" t="s">
        <v>470</v>
      </c>
      <c r="O564" s="213">
        <v>41419</v>
      </c>
      <c r="P564" s="212" t="s">
        <v>531</v>
      </c>
      <c r="Q564" s="214">
        <v>100</v>
      </c>
      <c r="R564" s="212" t="s">
        <v>445</v>
      </c>
      <c r="S564" s="212" t="s">
        <v>532</v>
      </c>
      <c r="T564" s="212" t="s">
        <v>445</v>
      </c>
      <c r="U564" s="212" t="s">
        <v>446</v>
      </c>
      <c r="V564" s="214" t="b">
        <v>1</v>
      </c>
      <c r="W564" s="214">
        <v>1989</v>
      </c>
      <c r="X564" s="214">
        <v>5</v>
      </c>
      <c r="Y564" s="214">
        <v>2</v>
      </c>
      <c r="Z564" s="214">
        <v>4</v>
      </c>
      <c r="AA564" s="212" t="s">
        <v>447</v>
      </c>
      <c r="AB564" s="212" t="s">
        <v>531</v>
      </c>
      <c r="AC564" s="212" t="s">
        <v>533</v>
      </c>
      <c r="AD564" s="214">
        <v>2.6904720000000002</v>
      </c>
      <c r="AE564" s="214">
        <v>514</v>
      </c>
      <c r="AF564" s="214">
        <v>1.04E-2</v>
      </c>
      <c r="AG564" s="214">
        <v>-99</v>
      </c>
      <c r="AH564" s="212" t="s">
        <v>224</v>
      </c>
      <c r="AI564" s="212" t="s">
        <v>449</v>
      </c>
      <c r="AJ564" s="212" t="s">
        <v>362</v>
      </c>
      <c r="AK564" s="212" t="s">
        <v>531</v>
      </c>
      <c r="AL564" s="212" t="s">
        <v>399</v>
      </c>
      <c r="AM564" s="214" t="b">
        <v>1</v>
      </c>
      <c r="AN564" s="214" t="b">
        <v>1</v>
      </c>
      <c r="AO564" s="212" t="s">
        <v>363</v>
      </c>
      <c r="AP564" s="212" t="s">
        <v>364</v>
      </c>
      <c r="AQ564" s="214">
        <v>120.19158</v>
      </c>
      <c r="AR564" s="214" t="b">
        <v>0</v>
      </c>
      <c r="AS564" s="212" t="s">
        <v>534</v>
      </c>
      <c r="AU564" s="222" t="s">
        <v>819</v>
      </c>
    </row>
    <row r="565" spans="1:47" x14ac:dyDescent="0.25">
      <c r="A565" s="245">
        <f t="shared" si="78"/>
        <v>565</v>
      </c>
      <c r="B565" s="246" t="str">
        <f t="shared" si="76"/>
        <v>Oil Field - Tank</v>
      </c>
      <c r="C565" s="246" t="str">
        <f ca="1">IF(B565="","",VLOOKUP(D565,'Species Data'!B:E,4,FALSE))</f>
        <v>M_xylene</v>
      </c>
      <c r="D565" s="246">
        <f t="shared" ca="1" si="79"/>
        <v>524</v>
      </c>
      <c r="E565" s="246">
        <f t="shared" ca="1" si="80"/>
        <v>0.13139999999999999</v>
      </c>
      <c r="F565" s="246" t="str">
        <f t="shared" ca="1" si="81"/>
        <v>M-xylene</v>
      </c>
      <c r="G565" s="246">
        <f t="shared" ca="1" si="82"/>
        <v>106.16500000000001</v>
      </c>
      <c r="H565" s="204">
        <f ca="1">IF(G565="","",IF(VLOOKUP(Tank!F565,'Species Data'!D:F,3,FALSE)=0,"X",IF(G565&lt;44.1,2,1)))</f>
        <v>1</v>
      </c>
      <c r="I565" s="204">
        <f t="shared" ca="1" si="83"/>
        <v>7.6727403249737883E-2</v>
      </c>
      <c r="J565" s="247">
        <f ca="1">IF(I565="","",IF(COUNTIF($D$12:D565,D565)=1,IF(H565=1,I565*H565,IF(H565="X","X",0)),0))</f>
        <v>0</v>
      </c>
      <c r="K565" s="248">
        <f t="shared" ca="1" si="77"/>
        <v>0</v>
      </c>
      <c r="L565" s="212" t="s">
        <v>679</v>
      </c>
      <c r="M565" s="212" t="s">
        <v>448</v>
      </c>
      <c r="N565" s="212" t="s">
        <v>470</v>
      </c>
      <c r="O565" s="213">
        <v>41419</v>
      </c>
      <c r="P565" s="212" t="s">
        <v>531</v>
      </c>
      <c r="Q565" s="214">
        <v>100</v>
      </c>
      <c r="R565" s="212" t="s">
        <v>445</v>
      </c>
      <c r="S565" s="212" t="s">
        <v>532</v>
      </c>
      <c r="T565" s="212" t="s">
        <v>445</v>
      </c>
      <c r="U565" s="212" t="s">
        <v>446</v>
      </c>
      <c r="V565" s="214" t="b">
        <v>1</v>
      </c>
      <c r="W565" s="214">
        <v>1989</v>
      </c>
      <c r="X565" s="214">
        <v>5</v>
      </c>
      <c r="Y565" s="214">
        <v>2</v>
      </c>
      <c r="Z565" s="214">
        <v>4</v>
      </c>
      <c r="AA565" s="212" t="s">
        <v>447</v>
      </c>
      <c r="AB565" s="212" t="s">
        <v>531</v>
      </c>
      <c r="AC565" s="212" t="s">
        <v>533</v>
      </c>
      <c r="AD565" s="214">
        <v>2.6904720000000002</v>
      </c>
      <c r="AE565" s="214">
        <v>524</v>
      </c>
      <c r="AF565" s="214">
        <v>0.13139999999999999</v>
      </c>
      <c r="AG565" s="214">
        <v>-99</v>
      </c>
      <c r="AH565" s="212" t="s">
        <v>224</v>
      </c>
      <c r="AI565" s="212" t="s">
        <v>449</v>
      </c>
      <c r="AJ565" s="212" t="s">
        <v>436</v>
      </c>
      <c r="AK565" s="212" t="s">
        <v>531</v>
      </c>
      <c r="AL565" s="212" t="s">
        <v>460</v>
      </c>
      <c r="AM565" s="214" t="b">
        <v>0</v>
      </c>
      <c r="AN565" s="214" t="b">
        <v>1</v>
      </c>
      <c r="AO565" s="212" t="s">
        <v>437</v>
      </c>
      <c r="AP565" s="212" t="s">
        <v>438</v>
      </c>
      <c r="AQ565" s="214">
        <v>106.16500000000001</v>
      </c>
      <c r="AR565" s="214" t="b">
        <v>0</v>
      </c>
      <c r="AS565" s="212" t="s">
        <v>534</v>
      </c>
      <c r="AU565" s="222" t="s">
        <v>819</v>
      </c>
    </row>
    <row r="566" spans="1:47" x14ac:dyDescent="0.25">
      <c r="A566" s="245">
        <f t="shared" si="78"/>
        <v>566</v>
      </c>
      <c r="B566" s="246" t="str">
        <f t="shared" si="76"/>
        <v>Oil Field - Tank</v>
      </c>
      <c r="C566" s="246" t="str">
        <f ca="1">IF(B566="","",VLOOKUP(D566,'Species Data'!B:E,4,FALSE))</f>
        <v>methane</v>
      </c>
      <c r="D566" s="246">
        <f t="shared" ca="1" si="79"/>
        <v>529</v>
      </c>
      <c r="E566" s="246">
        <f t="shared" ca="1" si="80"/>
        <v>58.122399999999999</v>
      </c>
      <c r="F566" s="246" t="str">
        <f t="shared" ca="1" si="81"/>
        <v>Methane</v>
      </c>
      <c r="G566" s="246">
        <f t="shared" ca="1" si="82"/>
        <v>16.042459999999998</v>
      </c>
      <c r="H566" s="204">
        <f ca="1">IF(G566="","",IF(VLOOKUP(Tank!F566,'Species Data'!D:F,3,FALSE)=0,"X",IF(G566&lt;44.1,2,1)))</f>
        <v>2</v>
      </c>
      <c r="I566" s="204">
        <f t="shared" ca="1" si="83"/>
        <v>44.518760713436194</v>
      </c>
      <c r="J566" s="247">
        <f ca="1">IF(I566="","",IF(COUNTIF($D$12:D566,D566)=1,IF(H566=1,I566*H566,IF(H566="X","X",0)),0))</f>
        <v>0</v>
      </c>
      <c r="K566" s="248">
        <f t="shared" ca="1" si="77"/>
        <v>0</v>
      </c>
      <c r="L566" s="212" t="s">
        <v>679</v>
      </c>
      <c r="M566" s="212" t="s">
        <v>448</v>
      </c>
      <c r="N566" s="212" t="s">
        <v>470</v>
      </c>
      <c r="O566" s="213">
        <v>41419</v>
      </c>
      <c r="P566" s="212" t="s">
        <v>531</v>
      </c>
      <c r="Q566" s="214">
        <v>100</v>
      </c>
      <c r="R566" s="212" t="s">
        <v>445</v>
      </c>
      <c r="S566" s="212" t="s">
        <v>532</v>
      </c>
      <c r="T566" s="212" t="s">
        <v>445</v>
      </c>
      <c r="U566" s="212" t="s">
        <v>446</v>
      </c>
      <c r="V566" s="214" t="b">
        <v>1</v>
      </c>
      <c r="W566" s="214">
        <v>1989</v>
      </c>
      <c r="X566" s="214">
        <v>5</v>
      </c>
      <c r="Y566" s="214">
        <v>2</v>
      </c>
      <c r="Z566" s="214">
        <v>4</v>
      </c>
      <c r="AA566" s="212" t="s">
        <v>447</v>
      </c>
      <c r="AB566" s="212" t="s">
        <v>531</v>
      </c>
      <c r="AC566" s="212" t="s">
        <v>533</v>
      </c>
      <c r="AD566" s="214">
        <v>2.6904720000000002</v>
      </c>
      <c r="AE566" s="214">
        <v>529</v>
      </c>
      <c r="AF566" s="214">
        <v>58.122399999999999</v>
      </c>
      <c r="AG566" s="214">
        <v>-99</v>
      </c>
      <c r="AH566" s="212" t="s">
        <v>224</v>
      </c>
      <c r="AI566" s="212" t="s">
        <v>449</v>
      </c>
      <c r="AJ566" s="212" t="s">
        <v>271</v>
      </c>
      <c r="AK566" s="212" t="s">
        <v>531</v>
      </c>
      <c r="AL566" s="212" t="s">
        <v>376</v>
      </c>
      <c r="AM566" s="214" t="b">
        <v>0</v>
      </c>
      <c r="AN566" s="214" t="b">
        <v>0</v>
      </c>
      <c r="AO566" s="212" t="s">
        <v>272</v>
      </c>
      <c r="AP566" s="212" t="s">
        <v>531</v>
      </c>
      <c r="AQ566" s="214">
        <v>16.042459999999998</v>
      </c>
      <c r="AR566" s="214" t="b">
        <v>1</v>
      </c>
      <c r="AS566" s="212" t="s">
        <v>534</v>
      </c>
      <c r="AU566" s="222" t="s">
        <v>819</v>
      </c>
    </row>
    <row r="567" spans="1:47" x14ac:dyDescent="0.25">
      <c r="A567" s="245">
        <f t="shared" si="78"/>
        <v>567</v>
      </c>
      <c r="B567" s="246" t="str">
        <f t="shared" si="76"/>
        <v>Oil Field - Tank</v>
      </c>
      <c r="C567" s="246" t="str">
        <f ca="1">IF(B567="","",VLOOKUP(D567,'Species Data'!B:E,4,FALSE))</f>
        <v>methcychex</v>
      </c>
      <c r="D567" s="246">
        <f t="shared" ca="1" si="79"/>
        <v>550</v>
      </c>
      <c r="E567" s="246">
        <f t="shared" ca="1" si="80"/>
        <v>0.83630000000000004</v>
      </c>
      <c r="F567" s="246" t="str">
        <f t="shared" ca="1" si="81"/>
        <v>Methylcyclohexane</v>
      </c>
      <c r="G567" s="246">
        <f t="shared" ca="1" si="82"/>
        <v>98.186059999999998</v>
      </c>
      <c r="H567" s="204">
        <f ca="1">IF(G567="","",IF(VLOOKUP(Tank!F567,'Species Data'!D:F,3,FALSE)=0,"X",IF(G567&lt;44.1,2,1)))</f>
        <v>1</v>
      </c>
      <c r="I567" s="204">
        <f t="shared" ca="1" si="83"/>
        <v>0.52063166473064815</v>
      </c>
      <c r="J567" s="247">
        <f ca="1">IF(I567="","",IF(COUNTIF($D$12:D567,D567)=1,IF(H567=1,I567*H567,IF(H567="X","X",0)),0))</f>
        <v>0</v>
      </c>
      <c r="K567" s="248">
        <f t="shared" ca="1" si="77"/>
        <v>0</v>
      </c>
      <c r="L567" s="212" t="s">
        <v>679</v>
      </c>
      <c r="M567" s="212" t="s">
        <v>448</v>
      </c>
      <c r="N567" s="212" t="s">
        <v>470</v>
      </c>
      <c r="O567" s="213">
        <v>41419</v>
      </c>
      <c r="P567" s="212" t="s">
        <v>531</v>
      </c>
      <c r="Q567" s="214">
        <v>100</v>
      </c>
      <c r="R567" s="212" t="s">
        <v>445</v>
      </c>
      <c r="S567" s="212" t="s">
        <v>532</v>
      </c>
      <c r="T567" s="212" t="s">
        <v>445</v>
      </c>
      <c r="U567" s="212" t="s">
        <v>446</v>
      </c>
      <c r="V567" s="214" t="b">
        <v>1</v>
      </c>
      <c r="W567" s="214">
        <v>1989</v>
      </c>
      <c r="X567" s="214">
        <v>5</v>
      </c>
      <c r="Y567" s="214">
        <v>2</v>
      </c>
      <c r="Z567" s="214">
        <v>4</v>
      </c>
      <c r="AA567" s="212" t="s">
        <v>447</v>
      </c>
      <c r="AB567" s="212" t="s">
        <v>531</v>
      </c>
      <c r="AC567" s="212" t="s">
        <v>533</v>
      </c>
      <c r="AD567" s="214">
        <v>2.6904720000000002</v>
      </c>
      <c r="AE567" s="214">
        <v>550</v>
      </c>
      <c r="AF567" s="214">
        <v>0.83630000000000004</v>
      </c>
      <c r="AG567" s="214">
        <v>-99</v>
      </c>
      <c r="AH567" s="212" t="s">
        <v>224</v>
      </c>
      <c r="AI567" s="212" t="s">
        <v>449</v>
      </c>
      <c r="AJ567" s="212" t="s">
        <v>348</v>
      </c>
      <c r="AK567" s="212" t="s">
        <v>531</v>
      </c>
      <c r="AL567" s="212" t="s">
        <v>396</v>
      </c>
      <c r="AM567" s="214" t="b">
        <v>1</v>
      </c>
      <c r="AN567" s="214" t="b">
        <v>0</v>
      </c>
      <c r="AO567" s="212" t="s">
        <v>349</v>
      </c>
      <c r="AP567" s="212" t="s">
        <v>350</v>
      </c>
      <c r="AQ567" s="214">
        <v>98.186059999999998</v>
      </c>
      <c r="AR567" s="214" t="b">
        <v>0</v>
      </c>
      <c r="AS567" s="212" t="s">
        <v>534</v>
      </c>
      <c r="AU567" s="222" t="s">
        <v>819</v>
      </c>
    </row>
    <row r="568" spans="1:47" x14ac:dyDescent="0.25">
      <c r="A568" s="245">
        <f t="shared" si="78"/>
        <v>568</v>
      </c>
      <c r="B568" s="246" t="str">
        <f t="shared" si="76"/>
        <v>Oil Field - Tank</v>
      </c>
      <c r="C568" s="246" t="str">
        <f ca="1">IF(B568="","",VLOOKUP(D568,'Species Data'!B:E,4,FALSE))</f>
        <v>methcycpen</v>
      </c>
      <c r="D568" s="246">
        <f t="shared" ca="1" si="79"/>
        <v>551</v>
      </c>
      <c r="E568" s="246">
        <f t="shared" ca="1" si="80"/>
        <v>1.2895000000000001</v>
      </c>
      <c r="F568" s="246" t="str">
        <f t="shared" ca="1" si="81"/>
        <v>Methylcyclopentane</v>
      </c>
      <c r="G568" s="246">
        <f t="shared" ca="1" si="82"/>
        <v>84.159480000000002</v>
      </c>
      <c r="H568" s="204">
        <f ca="1">IF(G568="","",IF(VLOOKUP(Tank!F568,'Species Data'!D:F,3,FALSE)=0,"X",IF(G568&lt;44.1,2,1)))</f>
        <v>1</v>
      </c>
      <c r="I568" s="204">
        <f t="shared" ca="1" si="83"/>
        <v>1.4788275300776224</v>
      </c>
      <c r="J568" s="247">
        <f ca="1">IF(I568="","",IF(COUNTIF($D$12:D568,D568)=1,IF(H568=1,I568*H568,IF(H568="X","X",0)),0))</f>
        <v>0</v>
      </c>
      <c r="K568" s="248">
        <f t="shared" ca="1" si="77"/>
        <v>0</v>
      </c>
      <c r="L568" s="212" t="s">
        <v>679</v>
      </c>
      <c r="M568" s="212" t="s">
        <v>448</v>
      </c>
      <c r="N568" s="212" t="s">
        <v>470</v>
      </c>
      <c r="O568" s="213">
        <v>41419</v>
      </c>
      <c r="P568" s="212" t="s">
        <v>531</v>
      </c>
      <c r="Q568" s="214">
        <v>100</v>
      </c>
      <c r="R568" s="212" t="s">
        <v>445</v>
      </c>
      <c r="S568" s="212" t="s">
        <v>532</v>
      </c>
      <c r="T568" s="212" t="s">
        <v>445</v>
      </c>
      <c r="U568" s="212" t="s">
        <v>446</v>
      </c>
      <c r="V568" s="214" t="b">
        <v>1</v>
      </c>
      <c r="W568" s="214">
        <v>1989</v>
      </c>
      <c r="X568" s="214">
        <v>5</v>
      </c>
      <c r="Y568" s="214">
        <v>2</v>
      </c>
      <c r="Z568" s="214">
        <v>4</v>
      </c>
      <c r="AA568" s="212" t="s">
        <v>447</v>
      </c>
      <c r="AB568" s="212" t="s">
        <v>531</v>
      </c>
      <c r="AC568" s="212" t="s">
        <v>533</v>
      </c>
      <c r="AD568" s="214">
        <v>2.6904720000000002</v>
      </c>
      <c r="AE568" s="214">
        <v>551</v>
      </c>
      <c r="AF568" s="214">
        <v>1.2895000000000001</v>
      </c>
      <c r="AG568" s="214">
        <v>-99</v>
      </c>
      <c r="AH568" s="212" t="s">
        <v>224</v>
      </c>
      <c r="AI568" s="212" t="s">
        <v>449</v>
      </c>
      <c r="AJ568" s="212" t="s">
        <v>351</v>
      </c>
      <c r="AK568" s="212" t="s">
        <v>531</v>
      </c>
      <c r="AL568" s="212" t="s">
        <v>397</v>
      </c>
      <c r="AM568" s="214" t="b">
        <v>1</v>
      </c>
      <c r="AN568" s="214" t="b">
        <v>0</v>
      </c>
      <c r="AO568" s="212" t="s">
        <v>352</v>
      </c>
      <c r="AP568" s="212" t="s">
        <v>353</v>
      </c>
      <c r="AQ568" s="214">
        <v>84.159480000000002</v>
      </c>
      <c r="AR568" s="214" t="b">
        <v>0</v>
      </c>
      <c r="AS568" s="212" t="s">
        <v>534</v>
      </c>
      <c r="AU568" s="222" t="s">
        <v>819</v>
      </c>
    </row>
    <row r="569" spans="1:47" x14ac:dyDescent="0.25">
      <c r="A569" s="245">
        <f t="shared" si="78"/>
        <v>569</v>
      </c>
      <c r="B569" s="246" t="str">
        <f t="shared" si="76"/>
        <v>Oil Field - Tank</v>
      </c>
      <c r="C569" s="246" t="str">
        <f ca="1">IF(B569="","",VLOOKUP(D569,'Species Data'!B:E,4,FALSE))</f>
        <v>N_but</v>
      </c>
      <c r="D569" s="246">
        <f t="shared" ca="1" si="79"/>
        <v>592</v>
      </c>
      <c r="E569" s="246">
        <f t="shared" ca="1" si="80"/>
        <v>5.4489999999999998</v>
      </c>
      <c r="F569" s="246" t="str">
        <f t="shared" ca="1" si="81"/>
        <v>N-butane</v>
      </c>
      <c r="G569" s="246">
        <f t="shared" ca="1" si="82"/>
        <v>58.122199999999992</v>
      </c>
      <c r="H569" s="204">
        <f ca="1">IF(G569="","",IF(VLOOKUP(Tank!F569,'Species Data'!D:F,3,FALSE)=0,"X",IF(G569&lt;44.1,2,1)))</f>
        <v>1</v>
      </c>
      <c r="I569" s="204">
        <f t="shared" ca="1" si="83"/>
        <v>8.8589583793337763</v>
      </c>
      <c r="J569" s="247">
        <f ca="1">IF(I569="","",IF(COUNTIF($D$12:D569,D569)=1,IF(H569=1,I569*H569,IF(H569="X","X",0)),0))</f>
        <v>0</v>
      </c>
      <c r="K569" s="248">
        <f t="shared" ca="1" si="77"/>
        <v>0</v>
      </c>
      <c r="L569" s="212" t="s">
        <v>679</v>
      </c>
      <c r="M569" s="212" t="s">
        <v>448</v>
      </c>
      <c r="N569" s="212" t="s">
        <v>470</v>
      </c>
      <c r="O569" s="213">
        <v>41419</v>
      </c>
      <c r="P569" s="212" t="s">
        <v>531</v>
      </c>
      <c r="Q569" s="214">
        <v>100</v>
      </c>
      <c r="R569" s="212" t="s">
        <v>445</v>
      </c>
      <c r="S569" s="212" t="s">
        <v>532</v>
      </c>
      <c r="T569" s="212" t="s">
        <v>445</v>
      </c>
      <c r="U569" s="212" t="s">
        <v>446</v>
      </c>
      <c r="V569" s="214" t="b">
        <v>1</v>
      </c>
      <c r="W569" s="214">
        <v>1989</v>
      </c>
      <c r="X569" s="214">
        <v>5</v>
      </c>
      <c r="Y569" s="214">
        <v>2</v>
      </c>
      <c r="Z569" s="214">
        <v>4</v>
      </c>
      <c r="AA569" s="212" t="s">
        <v>447</v>
      </c>
      <c r="AB569" s="212" t="s">
        <v>531</v>
      </c>
      <c r="AC569" s="212" t="s">
        <v>533</v>
      </c>
      <c r="AD569" s="214">
        <v>2.6904720000000002</v>
      </c>
      <c r="AE569" s="214">
        <v>592</v>
      </c>
      <c r="AF569" s="214">
        <v>5.4489999999999998</v>
      </c>
      <c r="AG569" s="214">
        <v>-99</v>
      </c>
      <c r="AH569" s="212" t="s">
        <v>224</v>
      </c>
      <c r="AI569" s="212" t="s">
        <v>449</v>
      </c>
      <c r="AJ569" s="212" t="s">
        <v>273</v>
      </c>
      <c r="AK569" s="212" t="s">
        <v>531</v>
      </c>
      <c r="AL569" s="212" t="s">
        <v>377</v>
      </c>
      <c r="AM569" s="214" t="b">
        <v>1</v>
      </c>
      <c r="AN569" s="214" t="b">
        <v>0</v>
      </c>
      <c r="AO569" s="212" t="s">
        <v>274</v>
      </c>
      <c r="AP569" s="212" t="s">
        <v>275</v>
      </c>
      <c r="AQ569" s="214">
        <v>58.122199999999992</v>
      </c>
      <c r="AR569" s="214" t="b">
        <v>0</v>
      </c>
      <c r="AS569" s="212" t="s">
        <v>534</v>
      </c>
      <c r="AU569" s="222" t="s">
        <v>819</v>
      </c>
    </row>
    <row r="570" spans="1:47" x14ac:dyDescent="0.25">
      <c r="A570" s="245">
        <f t="shared" si="78"/>
        <v>570</v>
      </c>
      <c r="B570" s="246" t="str">
        <f t="shared" si="76"/>
        <v>Oil Field - Tank</v>
      </c>
      <c r="C570" s="246" t="str">
        <f ca="1">IF(B570="","",VLOOKUP(D570,'Species Data'!B:E,4,FALSE))</f>
        <v>N_hep</v>
      </c>
      <c r="D570" s="246">
        <f t="shared" ca="1" si="79"/>
        <v>600</v>
      </c>
      <c r="E570" s="246">
        <f t="shared" ca="1" si="80"/>
        <v>5.16E-2</v>
      </c>
      <c r="F570" s="246" t="str">
        <f t="shared" ca="1" si="81"/>
        <v>N-heptane</v>
      </c>
      <c r="G570" s="246">
        <f t="shared" ca="1" si="82"/>
        <v>100.20194000000001</v>
      </c>
      <c r="H570" s="204">
        <f ca="1">IF(G570="","",IF(VLOOKUP(Tank!F570,'Species Data'!D:F,3,FALSE)=0,"X",IF(G570&lt;44.1,2,1)))</f>
        <v>1</v>
      </c>
      <c r="I570" s="204">
        <f t="shared" ca="1" si="83"/>
        <v>0.55093195561344066</v>
      </c>
      <c r="J570" s="247">
        <f ca="1">IF(I570="","",IF(COUNTIF($D$12:D570,D570)=1,IF(H570=1,I570*H570,IF(H570="X","X",0)),0))</f>
        <v>0</v>
      </c>
      <c r="K570" s="248">
        <f t="shared" ca="1" si="77"/>
        <v>0</v>
      </c>
      <c r="L570" s="212" t="s">
        <v>679</v>
      </c>
      <c r="M570" s="212" t="s">
        <v>448</v>
      </c>
      <c r="N570" s="212" t="s">
        <v>470</v>
      </c>
      <c r="O570" s="213">
        <v>41419</v>
      </c>
      <c r="P570" s="212" t="s">
        <v>531</v>
      </c>
      <c r="Q570" s="214">
        <v>100</v>
      </c>
      <c r="R570" s="212" t="s">
        <v>445</v>
      </c>
      <c r="S570" s="212" t="s">
        <v>532</v>
      </c>
      <c r="T570" s="212" t="s">
        <v>445</v>
      </c>
      <c r="U570" s="212" t="s">
        <v>446</v>
      </c>
      <c r="V570" s="214" t="b">
        <v>1</v>
      </c>
      <c r="W570" s="214">
        <v>1989</v>
      </c>
      <c r="X570" s="214">
        <v>5</v>
      </c>
      <c r="Y570" s="214">
        <v>2</v>
      </c>
      <c r="Z570" s="214">
        <v>4</v>
      </c>
      <c r="AA570" s="212" t="s">
        <v>447</v>
      </c>
      <c r="AB570" s="212" t="s">
        <v>531</v>
      </c>
      <c r="AC570" s="212" t="s">
        <v>533</v>
      </c>
      <c r="AD570" s="214">
        <v>2.6904720000000002</v>
      </c>
      <c r="AE570" s="214">
        <v>600</v>
      </c>
      <c r="AF570" s="214">
        <v>5.16E-2</v>
      </c>
      <c r="AG570" s="214">
        <v>-99</v>
      </c>
      <c r="AH570" s="212" t="s">
        <v>224</v>
      </c>
      <c r="AI570" s="212" t="s">
        <v>449</v>
      </c>
      <c r="AJ570" s="212" t="s">
        <v>276</v>
      </c>
      <c r="AK570" s="212" t="s">
        <v>531</v>
      </c>
      <c r="AL570" s="212" t="s">
        <v>378</v>
      </c>
      <c r="AM570" s="214" t="b">
        <v>1</v>
      </c>
      <c r="AN570" s="214" t="b">
        <v>0</v>
      </c>
      <c r="AO570" s="212" t="s">
        <v>277</v>
      </c>
      <c r="AP570" s="212" t="s">
        <v>278</v>
      </c>
      <c r="AQ570" s="214">
        <v>100.20194000000001</v>
      </c>
      <c r="AR570" s="214" t="b">
        <v>0</v>
      </c>
      <c r="AS570" s="212" t="s">
        <v>534</v>
      </c>
      <c r="AU570" s="222" t="s">
        <v>819</v>
      </c>
    </row>
    <row r="571" spans="1:47" x14ac:dyDescent="0.25">
      <c r="A571" s="245">
        <f t="shared" si="78"/>
        <v>571</v>
      </c>
      <c r="B571" s="246" t="str">
        <f t="shared" si="76"/>
        <v>Oil Field - Tank</v>
      </c>
      <c r="C571" s="246" t="str">
        <f ca="1">IF(B571="","",VLOOKUP(D571,'Species Data'!B:E,4,FALSE))</f>
        <v>N_hex</v>
      </c>
      <c r="D571" s="246">
        <f t="shared" ca="1" si="79"/>
        <v>601</v>
      </c>
      <c r="E571" s="246">
        <f t="shared" ca="1" si="80"/>
        <v>0.87180000000000002</v>
      </c>
      <c r="F571" s="246" t="str">
        <f t="shared" ca="1" si="81"/>
        <v>N-hexane</v>
      </c>
      <c r="G571" s="246">
        <f t="shared" ca="1" si="82"/>
        <v>86.175359999999998</v>
      </c>
      <c r="H571" s="204">
        <f ca="1">IF(G571="","",IF(VLOOKUP(Tank!F571,'Species Data'!D:F,3,FALSE)=0,"X",IF(G571&lt;44.1,2,1)))</f>
        <v>1</v>
      </c>
      <c r="I571" s="204">
        <f t="shared" ca="1" si="83"/>
        <v>1.4244870084086145</v>
      </c>
      <c r="J571" s="247">
        <f ca="1">IF(I571="","",IF(COUNTIF($D$12:D571,D571)=1,IF(H571=1,I571*H571,IF(H571="X","X",0)),0))</f>
        <v>0</v>
      </c>
      <c r="K571" s="248">
        <f t="shared" ca="1" si="77"/>
        <v>0</v>
      </c>
      <c r="L571" s="212" t="s">
        <v>679</v>
      </c>
      <c r="M571" s="212" t="s">
        <v>448</v>
      </c>
      <c r="N571" s="212" t="s">
        <v>470</v>
      </c>
      <c r="O571" s="213">
        <v>41419</v>
      </c>
      <c r="P571" s="212" t="s">
        <v>531</v>
      </c>
      <c r="Q571" s="214">
        <v>100</v>
      </c>
      <c r="R571" s="212" t="s">
        <v>445</v>
      </c>
      <c r="S571" s="212" t="s">
        <v>532</v>
      </c>
      <c r="T571" s="212" t="s">
        <v>445</v>
      </c>
      <c r="U571" s="212" t="s">
        <v>446</v>
      </c>
      <c r="V571" s="214" t="b">
        <v>1</v>
      </c>
      <c r="W571" s="214">
        <v>1989</v>
      </c>
      <c r="X571" s="214">
        <v>5</v>
      </c>
      <c r="Y571" s="214">
        <v>2</v>
      </c>
      <c r="Z571" s="214">
        <v>4</v>
      </c>
      <c r="AA571" s="212" t="s">
        <v>447</v>
      </c>
      <c r="AB571" s="212" t="s">
        <v>531</v>
      </c>
      <c r="AC571" s="212" t="s">
        <v>533</v>
      </c>
      <c r="AD571" s="214">
        <v>2.6904720000000002</v>
      </c>
      <c r="AE571" s="214">
        <v>601</v>
      </c>
      <c r="AF571" s="214">
        <v>0.87180000000000002</v>
      </c>
      <c r="AG571" s="214">
        <v>-99</v>
      </c>
      <c r="AH571" s="212" t="s">
        <v>224</v>
      </c>
      <c r="AI571" s="212" t="s">
        <v>449</v>
      </c>
      <c r="AJ571" s="212" t="s">
        <v>279</v>
      </c>
      <c r="AK571" s="212" t="s">
        <v>531</v>
      </c>
      <c r="AL571" s="212" t="s">
        <v>379</v>
      </c>
      <c r="AM571" s="214" t="b">
        <v>1</v>
      </c>
      <c r="AN571" s="214" t="b">
        <v>1</v>
      </c>
      <c r="AO571" s="212" t="s">
        <v>280</v>
      </c>
      <c r="AP571" s="212" t="s">
        <v>281</v>
      </c>
      <c r="AQ571" s="214">
        <v>86.175359999999998</v>
      </c>
      <c r="AR571" s="214" t="b">
        <v>0</v>
      </c>
      <c r="AS571" s="212" t="s">
        <v>534</v>
      </c>
      <c r="AU571" s="222" t="s">
        <v>819</v>
      </c>
    </row>
    <row r="572" spans="1:47" x14ac:dyDescent="0.25">
      <c r="A572" s="245">
        <f t="shared" si="78"/>
        <v>572</v>
      </c>
      <c r="B572" s="246" t="str">
        <f t="shared" si="76"/>
        <v>Oil Field - Tank</v>
      </c>
      <c r="C572" s="246" t="str">
        <f ca="1">IF(B572="","",VLOOKUP(D572,'Species Data'!B:E,4,FALSE))</f>
        <v>N_nonane</v>
      </c>
      <c r="D572" s="246">
        <f t="shared" ca="1" si="79"/>
        <v>603</v>
      </c>
      <c r="E572" s="246">
        <f t="shared" ca="1" si="80"/>
        <v>0.18060000000000001</v>
      </c>
      <c r="F572" s="246" t="str">
        <f t="shared" ca="1" si="81"/>
        <v>N-nonane</v>
      </c>
      <c r="G572" s="246">
        <f t="shared" ca="1" si="82"/>
        <v>128.2551</v>
      </c>
      <c r="H572" s="204">
        <f ca="1">IF(G572="","",IF(VLOOKUP(Tank!F572,'Species Data'!D:F,3,FALSE)=0,"X",IF(G572&lt;44.1,2,1)))</f>
        <v>1</v>
      </c>
      <c r="I572" s="204">
        <f t="shared" ca="1" si="83"/>
        <v>6.0467247152239355E-2</v>
      </c>
      <c r="J572" s="247">
        <f ca="1">IF(I572="","",IF(COUNTIF($D$12:D572,D572)=1,IF(H572=1,I572*H572,IF(H572="X","X",0)),0))</f>
        <v>0</v>
      </c>
      <c r="K572" s="248">
        <f t="shared" ca="1" si="77"/>
        <v>0</v>
      </c>
      <c r="L572" s="212" t="s">
        <v>679</v>
      </c>
      <c r="M572" s="212" t="s">
        <v>448</v>
      </c>
      <c r="N572" s="212" t="s">
        <v>470</v>
      </c>
      <c r="O572" s="213">
        <v>41419</v>
      </c>
      <c r="P572" s="212" t="s">
        <v>531</v>
      </c>
      <c r="Q572" s="214">
        <v>100</v>
      </c>
      <c r="R572" s="212" t="s">
        <v>445</v>
      </c>
      <c r="S572" s="212" t="s">
        <v>532</v>
      </c>
      <c r="T572" s="212" t="s">
        <v>445</v>
      </c>
      <c r="U572" s="212" t="s">
        <v>446</v>
      </c>
      <c r="V572" s="214" t="b">
        <v>1</v>
      </c>
      <c r="W572" s="214">
        <v>1989</v>
      </c>
      <c r="X572" s="214">
        <v>5</v>
      </c>
      <c r="Y572" s="214">
        <v>2</v>
      </c>
      <c r="Z572" s="214">
        <v>4</v>
      </c>
      <c r="AA572" s="212" t="s">
        <v>447</v>
      </c>
      <c r="AB572" s="212" t="s">
        <v>531</v>
      </c>
      <c r="AC572" s="212" t="s">
        <v>533</v>
      </c>
      <c r="AD572" s="214">
        <v>2.6904720000000002</v>
      </c>
      <c r="AE572" s="214">
        <v>603</v>
      </c>
      <c r="AF572" s="214">
        <v>0.18060000000000001</v>
      </c>
      <c r="AG572" s="214">
        <v>-99</v>
      </c>
      <c r="AH572" s="212" t="s">
        <v>224</v>
      </c>
      <c r="AI572" s="212" t="s">
        <v>449</v>
      </c>
      <c r="AJ572" s="212" t="s">
        <v>417</v>
      </c>
      <c r="AK572" s="212" t="s">
        <v>531</v>
      </c>
      <c r="AL572" s="212" t="s">
        <v>453</v>
      </c>
      <c r="AM572" s="214" t="b">
        <v>1</v>
      </c>
      <c r="AN572" s="214" t="b">
        <v>0</v>
      </c>
      <c r="AO572" s="212" t="s">
        <v>418</v>
      </c>
      <c r="AP572" s="212" t="s">
        <v>419</v>
      </c>
      <c r="AQ572" s="214">
        <v>128.2551</v>
      </c>
      <c r="AR572" s="214" t="b">
        <v>0</v>
      </c>
      <c r="AS572" s="212" t="s">
        <v>534</v>
      </c>
      <c r="AU572" s="222" t="s">
        <v>819</v>
      </c>
    </row>
    <row r="573" spans="1:47" x14ac:dyDescent="0.25">
      <c r="A573" s="245">
        <f t="shared" si="78"/>
        <v>573</v>
      </c>
      <c r="B573" s="246" t="str">
        <f t="shared" si="76"/>
        <v>Oil Field - Tank</v>
      </c>
      <c r="C573" s="246" t="str">
        <f ca="1">IF(B573="","",VLOOKUP(D573,'Species Data'!B:E,4,FALSE))</f>
        <v>N_octane</v>
      </c>
      <c r="D573" s="246">
        <f t="shared" ca="1" si="79"/>
        <v>604</v>
      </c>
      <c r="E573" s="246">
        <f t="shared" ca="1" si="80"/>
        <v>0.16550000000000001</v>
      </c>
      <c r="F573" s="246" t="str">
        <f t="shared" ca="1" si="81"/>
        <v>N-octane</v>
      </c>
      <c r="G573" s="246">
        <f t="shared" ca="1" si="82"/>
        <v>114.22852</v>
      </c>
      <c r="H573" s="204">
        <f ca="1">IF(G573="","",IF(VLOOKUP(Tank!F573,'Species Data'!D:F,3,FALSE)=0,"X",IF(G573&lt;44.1,2,1)))</f>
        <v>1</v>
      </c>
      <c r="I573" s="204">
        <f t="shared" ca="1" si="83"/>
        <v>0.21590207265989761</v>
      </c>
      <c r="J573" s="247">
        <f ca="1">IF(I573="","",IF(COUNTIF($D$12:D573,D573)=1,IF(H573=1,I573*H573,IF(H573="X","X",0)),0))</f>
        <v>0</v>
      </c>
      <c r="K573" s="248">
        <f t="shared" ca="1" si="77"/>
        <v>0</v>
      </c>
      <c r="L573" s="212" t="s">
        <v>679</v>
      </c>
      <c r="M573" s="212" t="s">
        <v>448</v>
      </c>
      <c r="N573" s="212" t="s">
        <v>470</v>
      </c>
      <c r="O573" s="213">
        <v>41419</v>
      </c>
      <c r="P573" s="212" t="s">
        <v>531</v>
      </c>
      <c r="Q573" s="214">
        <v>100</v>
      </c>
      <c r="R573" s="212" t="s">
        <v>445</v>
      </c>
      <c r="S573" s="212" t="s">
        <v>532</v>
      </c>
      <c r="T573" s="212" t="s">
        <v>445</v>
      </c>
      <c r="U573" s="212" t="s">
        <v>446</v>
      </c>
      <c r="V573" s="214" t="b">
        <v>1</v>
      </c>
      <c r="W573" s="214">
        <v>1989</v>
      </c>
      <c r="X573" s="214">
        <v>5</v>
      </c>
      <c r="Y573" s="214">
        <v>2</v>
      </c>
      <c r="Z573" s="214">
        <v>4</v>
      </c>
      <c r="AA573" s="212" t="s">
        <v>447</v>
      </c>
      <c r="AB573" s="212" t="s">
        <v>531</v>
      </c>
      <c r="AC573" s="212" t="s">
        <v>533</v>
      </c>
      <c r="AD573" s="214">
        <v>2.6904720000000002</v>
      </c>
      <c r="AE573" s="214">
        <v>604</v>
      </c>
      <c r="AF573" s="214">
        <v>0.16550000000000001</v>
      </c>
      <c r="AG573" s="214">
        <v>-99</v>
      </c>
      <c r="AH573" s="212" t="s">
        <v>224</v>
      </c>
      <c r="AI573" s="212" t="s">
        <v>449</v>
      </c>
      <c r="AJ573" s="212" t="s">
        <v>282</v>
      </c>
      <c r="AK573" s="212" t="s">
        <v>531</v>
      </c>
      <c r="AL573" s="212" t="s">
        <v>380</v>
      </c>
      <c r="AM573" s="214" t="b">
        <v>1</v>
      </c>
      <c r="AN573" s="214" t="b">
        <v>0</v>
      </c>
      <c r="AO573" s="212" t="s">
        <v>283</v>
      </c>
      <c r="AP573" s="212" t="s">
        <v>284</v>
      </c>
      <c r="AQ573" s="214">
        <v>114.22852</v>
      </c>
      <c r="AR573" s="214" t="b">
        <v>0</v>
      </c>
      <c r="AS573" s="212" t="s">
        <v>534</v>
      </c>
      <c r="AU573" s="222" t="s">
        <v>819</v>
      </c>
    </row>
    <row r="574" spans="1:47" x14ac:dyDescent="0.25">
      <c r="A574" s="245">
        <f t="shared" si="78"/>
        <v>574</v>
      </c>
      <c r="B574" s="246" t="str">
        <f t="shared" si="76"/>
        <v>Oil Field - Tank</v>
      </c>
      <c r="C574" s="246" t="str">
        <f ca="1">IF(B574="","",VLOOKUP(D574,'Species Data'!B:E,4,FALSE))</f>
        <v>N_pentane</v>
      </c>
      <c r="D574" s="246">
        <f t="shared" ca="1" si="79"/>
        <v>605</v>
      </c>
      <c r="E574" s="246">
        <f t="shared" ca="1" si="80"/>
        <v>2.2557</v>
      </c>
      <c r="F574" s="246" t="str">
        <f t="shared" ca="1" si="81"/>
        <v>N-pentane</v>
      </c>
      <c r="G574" s="246">
        <f t="shared" ca="1" si="82"/>
        <v>72.148780000000002</v>
      </c>
      <c r="H574" s="204">
        <f ca="1">IF(G574="","",IF(VLOOKUP(Tank!F574,'Species Data'!D:F,3,FALSE)=0,"X",IF(G574&lt;44.1,2,1)))</f>
        <v>1</v>
      </c>
      <c r="I574" s="204">
        <f t="shared" ca="1" si="83"/>
        <v>3.2465311666992012</v>
      </c>
      <c r="J574" s="247">
        <f ca="1">IF(I574="","",IF(COUNTIF($D$12:D574,D574)=1,IF(H574=1,I574*H574,IF(H574="X","X",0)),0))</f>
        <v>0</v>
      </c>
      <c r="K574" s="248">
        <f t="shared" ca="1" si="77"/>
        <v>0</v>
      </c>
      <c r="L574" s="212" t="s">
        <v>679</v>
      </c>
      <c r="M574" s="212" t="s">
        <v>448</v>
      </c>
      <c r="N574" s="212" t="s">
        <v>470</v>
      </c>
      <c r="O574" s="213">
        <v>41419</v>
      </c>
      <c r="P574" s="212" t="s">
        <v>531</v>
      </c>
      <c r="Q574" s="214">
        <v>100</v>
      </c>
      <c r="R574" s="212" t="s">
        <v>445</v>
      </c>
      <c r="S574" s="212" t="s">
        <v>532</v>
      </c>
      <c r="T574" s="212" t="s">
        <v>445</v>
      </c>
      <c r="U574" s="212" t="s">
        <v>446</v>
      </c>
      <c r="V574" s="214" t="b">
        <v>1</v>
      </c>
      <c r="W574" s="214">
        <v>1989</v>
      </c>
      <c r="X574" s="214">
        <v>5</v>
      </c>
      <c r="Y574" s="214">
        <v>2</v>
      </c>
      <c r="Z574" s="214">
        <v>4</v>
      </c>
      <c r="AA574" s="212" t="s">
        <v>447</v>
      </c>
      <c r="AB574" s="212" t="s">
        <v>531</v>
      </c>
      <c r="AC574" s="212" t="s">
        <v>533</v>
      </c>
      <c r="AD574" s="214">
        <v>2.6904720000000002</v>
      </c>
      <c r="AE574" s="214">
        <v>605</v>
      </c>
      <c r="AF574" s="214">
        <v>2.2557</v>
      </c>
      <c r="AG574" s="214">
        <v>-99</v>
      </c>
      <c r="AH574" s="212" t="s">
        <v>224</v>
      </c>
      <c r="AI574" s="212" t="s">
        <v>449</v>
      </c>
      <c r="AJ574" s="212" t="s">
        <v>285</v>
      </c>
      <c r="AK574" s="212" t="s">
        <v>531</v>
      </c>
      <c r="AL574" s="212" t="s">
        <v>381</v>
      </c>
      <c r="AM574" s="214" t="b">
        <v>1</v>
      </c>
      <c r="AN574" s="214" t="b">
        <v>0</v>
      </c>
      <c r="AO574" s="212" t="s">
        <v>286</v>
      </c>
      <c r="AP574" s="212" t="s">
        <v>287</v>
      </c>
      <c r="AQ574" s="214">
        <v>72.148780000000002</v>
      </c>
      <c r="AR574" s="214" t="b">
        <v>0</v>
      </c>
      <c r="AS574" s="212" t="s">
        <v>534</v>
      </c>
      <c r="AU574" s="222" t="s">
        <v>819</v>
      </c>
    </row>
    <row r="575" spans="1:47" x14ac:dyDescent="0.25">
      <c r="A575" s="245">
        <f t="shared" si="78"/>
        <v>575</v>
      </c>
      <c r="B575" s="246" t="str">
        <f t="shared" si="76"/>
        <v>Oil Field - Tank</v>
      </c>
      <c r="C575" s="246" t="str">
        <f ca="1">IF(B575="","",VLOOKUP(D575,'Species Data'!B:E,4,FALSE))</f>
        <v>N_proben</v>
      </c>
      <c r="D575" s="246">
        <f t="shared" ca="1" si="79"/>
        <v>608</v>
      </c>
      <c r="E575" s="246">
        <f t="shared" ca="1" si="80"/>
        <v>4.9399999999999999E-2</v>
      </c>
      <c r="F575" s="246" t="str">
        <f t="shared" ca="1" si="81"/>
        <v>N-propylbenzene</v>
      </c>
      <c r="G575" s="246">
        <f t="shared" ca="1" si="82"/>
        <v>120.19158</v>
      </c>
      <c r="H575" s="204">
        <f ca="1">IF(G575="","",IF(VLOOKUP(Tank!F575,'Species Data'!D:F,3,FALSE)=0,"X",IF(G575&lt;44.1,2,1)))</f>
        <v>1</v>
      </c>
      <c r="I575" s="204">
        <f t="shared" ca="1" si="83"/>
        <v>2.0193527191194376E-2</v>
      </c>
      <c r="J575" s="247">
        <f ca="1">IF(I575="","",IF(COUNTIF($D$12:D575,D575)=1,IF(H575=1,I575*H575,IF(H575="X","X",0)),0))</f>
        <v>0</v>
      </c>
      <c r="K575" s="248">
        <f t="shared" ca="1" si="77"/>
        <v>0</v>
      </c>
      <c r="L575" s="212" t="s">
        <v>679</v>
      </c>
      <c r="M575" s="212" t="s">
        <v>448</v>
      </c>
      <c r="N575" s="212" t="s">
        <v>470</v>
      </c>
      <c r="O575" s="213">
        <v>41419</v>
      </c>
      <c r="P575" s="212" t="s">
        <v>531</v>
      </c>
      <c r="Q575" s="214">
        <v>100</v>
      </c>
      <c r="R575" s="212" t="s">
        <v>445</v>
      </c>
      <c r="S575" s="212" t="s">
        <v>532</v>
      </c>
      <c r="T575" s="212" t="s">
        <v>445</v>
      </c>
      <c r="U575" s="212" t="s">
        <v>446</v>
      </c>
      <c r="V575" s="214" t="b">
        <v>1</v>
      </c>
      <c r="W575" s="214">
        <v>1989</v>
      </c>
      <c r="X575" s="214">
        <v>5</v>
      </c>
      <c r="Y575" s="214">
        <v>2</v>
      </c>
      <c r="Z575" s="214">
        <v>4</v>
      </c>
      <c r="AA575" s="212" t="s">
        <v>447</v>
      </c>
      <c r="AB575" s="212" t="s">
        <v>531</v>
      </c>
      <c r="AC575" s="212" t="s">
        <v>533</v>
      </c>
      <c r="AD575" s="214">
        <v>2.6904720000000002</v>
      </c>
      <c r="AE575" s="214">
        <v>608</v>
      </c>
      <c r="AF575" s="214">
        <v>4.9399999999999999E-2</v>
      </c>
      <c r="AG575" s="214">
        <v>-99</v>
      </c>
      <c r="AH575" s="212" t="s">
        <v>224</v>
      </c>
      <c r="AI575" s="212" t="s">
        <v>449</v>
      </c>
      <c r="AJ575" s="212" t="s">
        <v>420</v>
      </c>
      <c r="AK575" s="212" t="s">
        <v>531</v>
      </c>
      <c r="AL575" s="212" t="s">
        <v>454</v>
      </c>
      <c r="AM575" s="214" t="b">
        <v>1</v>
      </c>
      <c r="AN575" s="214" t="b">
        <v>0</v>
      </c>
      <c r="AO575" s="212" t="s">
        <v>421</v>
      </c>
      <c r="AP575" s="212" t="s">
        <v>422</v>
      </c>
      <c r="AQ575" s="214">
        <v>120.19158</v>
      </c>
      <c r="AR575" s="214" t="b">
        <v>0</v>
      </c>
      <c r="AS575" s="212" t="s">
        <v>534</v>
      </c>
      <c r="AU575" s="222" t="s">
        <v>819</v>
      </c>
    </row>
    <row r="576" spans="1:47" x14ac:dyDescent="0.25">
      <c r="A576" s="245">
        <f t="shared" si="78"/>
        <v>576</v>
      </c>
      <c r="B576" s="246" t="str">
        <f t="shared" si="76"/>
        <v>Oil Field - Tank</v>
      </c>
      <c r="C576" s="246" t="str">
        <f ca="1">IF(B576="","",VLOOKUP(D576,'Species Data'!B:E,4,FALSE))</f>
        <v>O_xylene</v>
      </c>
      <c r="D576" s="246">
        <f t="shared" ca="1" si="79"/>
        <v>620</v>
      </c>
      <c r="E576" s="246">
        <f t="shared" ca="1" si="80"/>
        <v>0.1084</v>
      </c>
      <c r="F576" s="246" t="str">
        <f t="shared" ca="1" si="81"/>
        <v>O-xylene</v>
      </c>
      <c r="G576" s="246">
        <f t="shared" ca="1" si="82"/>
        <v>106.16500000000001</v>
      </c>
      <c r="H576" s="204">
        <f ca="1">IF(G576="","",IF(VLOOKUP(Tank!F576,'Species Data'!D:F,3,FALSE)=0,"X",IF(G576&lt;44.1,2,1)))</f>
        <v>1</v>
      </c>
      <c r="I576" s="204">
        <f t="shared" ca="1" si="83"/>
        <v>5.0080480772615434E-2</v>
      </c>
      <c r="J576" s="247">
        <f ca="1">IF(I576="","",IF(COUNTIF($D$12:D576,D576)=1,IF(H576=1,I576*H576,IF(H576="X","X",0)),0))</f>
        <v>0</v>
      </c>
      <c r="K576" s="248">
        <f t="shared" ca="1" si="77"/>
        <v>0</v>
      </c>
      <c r="L576" s="212" t="s">
        <v>679</v>
      </c>
      <c r="M576" s="212" t="s">
        <v>448</v>
      </c>
      <c r="N576" s="212" t="s">
        <v>470</v>
      </c>
      <c r="O576" s="213">
        <v>41419</v>
      </c>
      <c r="P576" s="212" t="s">
        <v>531</v>
      </c>
      <c r="Q576" s="214">
        <v>100</v>
      </c>
      <c r="R576" s="212" t="s">
        <v>445</v>
      </c>
      <c r="S576" s="212" t="s">
        <v>532</v>
      </c>
      <c r="T576" s="212" t="s">
        <v>445</v>
      </c>
      <c r="U576" s="212" t="s">
        <v>446</v>
      </c>
      <c r="V576" s="214" t="b">
        <v>1</v>
      </c>
      <c r="W576" s="214">
        <v>1989</v>
      </c>
      <c r="X576" s="214">
        <v>5</v>
      </c>
      <c r="Y576" s="214">
        <v>2</v>
      </c>
      <c r="Z576" s="214">
        <v>4</v>
      </c>
      <c r="AA576" s="212" t="s">
        <v>447</v>
      </c>
      <c r="AB576" s="212" t="s">
        <v>531</v>
      </c>
      <c r="AC576" s="212" t="s">
        <v>533</v>
      </c>
      <c r="AD576" s="214">
        <v>2.6904720000000002</v>
      </c>
      <c r="AE576" s="214">
        <v>620</v>
      </c>
      <c r="AF576" s="214">
        <v>0.1084</v>
      </c>
      <c r="AG576" s="214">
        <v>-99</v>
      </c>
      <c r="AH576" s="212" t="s">
        <v>224</v>
      </c>
      <c r="AI576" s="212" t="s">
        <v>449</v>
      </c>
      <c r="AJ576" s="212" t="s">
        <v>354</v>
      </c>
      <c r="AK576" s="212" t="s">
        <v>531</v>
      </c>
      <c r="AL576" s="212" t="s">
        <v>398</v>
      </c>
      <c r="AM576" s="214" t="b">
        <v>1</v>
      </c>
      <c r="AN576" s="214" t="b">
        <v>1</v>
      </c>
      <c r="AO576" s="212" t="s">
        <v>355</v>
      </c>
      <c r="AP576" s="212" t="s">
        <v>356</v>
      </c>
      <c r="AQ576" s="214">
        <v>106.16500000000001</v>
      </c>
      <c r="AR576" s="214" t="b">
        <v>0</v>
      </c>
      <c r="AS576" s="212" t="s">
        <v>534</v>
      </c>
      <c r="AU576" s="222" t="s">
        <v>819</v>
      </c>
    </row>
    <row r="577" spans="1:47" x14ac:dyDescent="0.25">
      <c r="A577" s="245">
        <f t="shared" si="78"/>
        <v>577</v>
      </c>
      <c r="B577" s="246" t="str">
        <f t="shared" si="76"/>
        <v>Oil Field - Tank</v>
      </c>
      <c r="C577" s="246" t="str">
        <f ca="1">IF(B577="","",VLOOKUP(D577,'Species Data'!B:E,4,FALSE))</f>
        <v>P_xylene</v>
      </c>
      <c r="D577" s="246">
        <f t="shared" ca="1" si="79"/>
        <v>648</v>
      </c>
      <c r="E577" s="246">
        <f t="shared" ca="1" si="80"/>
        <v>0.2752</v>
      </c>
      <c r="F577" s="246" t="str">
        <f t="shared" ca="1" si="81"/>
        <v>P-xylene</v>
      </c>
      <c r="G577" s="246">
        <f t="shared" ca="1" si="82"/>
        <v>106.16500000000001</v>
      </c>
      <c r="H577" s="204">
        <f ca="1">IF(G577="","",IF(VLOOKUP(Tank!F577,'Species Data'!D:F,3,FALSE)=0,"X",IF(G577&lt;44.1,2,1)))</f>
        <v>1</v>
      </c>
      <c r="I577" s="204">
        <f t="shared" ca="1" si="83"/>
        <v>8.2000787207557213E-2</v>
      </c>
      <c r="J577" s="247">
        <f ca="1">IF(I577="","",IF(COUNTIF($D$12:D577,D577)=1,IF(H577=1,I577*H577,IF(H577="X","X",0)),0))</f>
        <v>0</v>
      </c>
      <c r="K577" s="248">
        <f t="shared" ca="1" si="77"/>
        <v>0</v>
      </c>
      <c r="L577" s="212" t="s">
        <v>679</v>
      </c>
      <c r="M577" s="212" t="s">
        <v>448</v>
      </c>
      <c r="N577" s="212" t="s">
        <v>470</v>
      </c>
      <c r="O577" s="213">
        <v>41419</v>
      </c>
      <c r="P577" s="212" t="s">
        <v>531</v>
      </c>
      <c r="Q577" s="214">
        <v>100</v>
      </c>
      <c r="R577" s="212" t="s">
        <v>445</v>
      </c>
      <c r="S577" s="212" t="s">
        <v>532</v>
      </c>
      <c r="T577" s="212" t="s">
        <v>445</v>
      </c>
      <c r="U577" s="212" t="s">
        <v>446</v>
      </c>
      <c r="V577" s="214" t="b">
        <v>1</v>
      </c>
      <c r="W577" s="214">
        <v>1989</v>
      </c>
      <c r="X577" s="214">
        <v>5</v>
      </c>
      <c r="Y577" s="214">
        <v>2</v>
      </c>
      <c r="Z577" s="214">
        <v>4</v>
      </c>
      <c r="AA577" s="212" t="s">
        <v>447</v>
      </c>
      <c r="AB577" s="212" t="s">
        <v>531</v>
      </c>
      <c r="AC577" s="212" t="s">
        <v>533</v>
      </c>
      <c r="AD577" s="214">
        <v>2.6904720000000002</v>
      </c>
      <c r="AE577" s="214">
        <v>648</v>
      </c>
      <c r="AF577" s="214">
        <v>0.2752</v>
      </c>
      <c r="AG577" s="214">
        <v>-99</v>
      </c>
      <c r="AH577" s="212" t="s">
        <v>224</v>
      </c>
      <c r="AI577" s="212" t="s">
        <v>449</v>
      </c>
      <c r="AJ577" s="212" t="s">
        <v>433</v>
      </c>
      <c r="AK577" s="212" t="s">
        <v>531</v>
      </c>
      <c r="AL577" s="212" t="s">
        <v>459</v>
      </c>
      <c r="AM577" s="214" t="b">
        <v>0</v>
      </c>
      <c r="AN577" s="214" t="b">
        <v>1</v>
      </c>
      <c r="AO577" s="212" t="s">
        <v>434</v>
      </c>
      <c r="AP577" s="212" t="s">
        <v>435</v>
      </c>
      <c r="AQ577" s="214">
        <v>106.16500000000001</v>
      </c>
      <c r="AR577" s="214" t="b">
        <v>0</v>
      </c>
      <c r="AS577" s="212" t="s">
        <v>534</v>
      </c>
      <c r="AU577" s="222" t="s">
        <v>819</v>
      </c>
    </row>
    <row r="578" spans="1:47" x14ac:dyDescent="0.25">
      <c r="A578" s="245">
        <f t="shared" si="78"/>
        <v>578</v>
      </c>
      <c r="B578" s="246" t="str">
        <f t="shared" si="76"/>
        <v>Oil Field - Tank</v>
      </c>
      <c r="C578" s="246" t="str">
        <f ca="1">IF(B578="","",VLOOKUP(D578,'Species Data'!B:E,4,FALSE))</f>
        <v>propane</v>
      </c>
      <c r="D578" s="246">
        <f t="shared" ca="1" si="79"/>
        <v>671</v>
      </c>
      <c r="E578" s="246">
        <f t="shared" ca="1" si="80"/>
        <v>5.4104999999999999</v>
      </c>
      <c r="F578" s="246" t="str">
        <f t="shared" ca="1" si="81"/>
        <v>Propane</v>
      </c>
      <c r="G578" s="246">
        <f t="shared" ca="1" si="82"/>
        <v>44.095619999999997</v>
      </c>
      <c r="H578" s="204">
        <f ca="1">IF(G578="","",IF(VLOOKUP(Tank!F578,'Species Data'!D:F,3,FALSE)=0,"X",IF(G578&lt;44.1,2,1)))</f>
        <v>2</v>
      </c>
      <c r="I578" s="204">
        <f t="shared" ca="1" si="83"/>
        <v>10.138737331878389</v>
      </c>
      <c r="J578" s="247">
        <f ca="1">IF(I578="","",IF(COUNTIF($D$12:D578,D578)=1,IF(H578=1,I578*H578,IF(H578="X","X",0)),0))</f>
        <v>0</v>
      </c>
      <c r="K578" s="248">
        <f t="shared" ca="1" si="77"/>
        <v>0</v>
      </c>
      <c r="L578" s="212" t="s">
        <v>679</v>
      </c>
      <c r="M578" s="212" t="s">
        <v>448</v>
      </c>
      <c r="N578" s="212" t="s">
        <v>470</v>
      </c>
      <c r="O578" s="213">
        <v>41419</v>
      </c>
      <c r="P578" s="212" t="s">
        <v>531</v>
      </c>
      <c r="Q578" s="214">
        <v>100</v>
      </c>
      <c r="R578" s="212" t="s">
        <v>445</v>
      </c>
      <c r="S578" s="212" t="s">
        <v>532</v>
      </c>
      <c r="T578" s="212" t="s">
        <v>445</v>
      </c>
      <c r="U578" s="212" t="s">
        <v>446</v>
      </c>
      <c r="V578" s="214" t="b">
        <v>1</v>
      </c>
      <c r="W578" s="214">
        <v>1989</v>
      </c>
      <c r="X578" s="214">
        <v>5</v>
      </c>
      <c r="Y578" s="214">
        <v>2</v>
      </c>
      <c r="Z578" s="214">
        <v>4</v>
      </c>
      <c r="AA578" s="212" t="s">
        <v>447</v>
      </c>
      <c r="AB578" s="212" t="s">
        <v>531</v>
      </c>
      <c r="AC578" s="212" t="s">
        <v>533</v>
      </c>
      <c r="AD578" s="214">
        <v>2.6904720000000002</v>
      </c>
      <c r="AE578" s="214">
        <v>671</v>
      </c>
      <c r="AF578" s="214">
        <v>5.4104999999999999</v>
      </c>
      <c r="AG578" s="214">
        <v>-99</v>
      </c>
      <c r="AH578" s="212" t="s">
        <v>224</v>
      </c>
      <c r="AI578" s="212" t="s">
        <v>449</v>
      </c>
      <c r="AJ578" s="212" t="s">
        <v>288</v>
      </c>
      <c r="AK578" s="212" t="s">
        <v>531</v>
      </c>
      <c r="AL578" s="212" t="s">
        <v>382</v>
      </c>
      <c r="AM578" s="214" t="b">
        <v>1</v>
      </c>
      <c r="AN578" s="214" t="b">
        <v>0</v>
      </c>
      <c r="AO578" s="212" t="s">
        <v>289</v>
      </c>
      <c r="AP578" s="212" t="s">
        <v>290</v>
      </c>
      <c r="AQ578" s="214">
        <v>44.095619999999997</v>
      </c>
      <c r="AR578" s="214" t="b">
        <v>0</v>
      </c>
      <c r="AS578" s="212" t="s">
        <v>534</v>
      </c>
      <c r="AU578" s="222" t="s">
        <v>819</v>
      </c>
    </row>
    <row r="579" spans="1:47" x14ac:dyDescent="0.25">
      <c r="A579" s="245">
        <f t="shared" si="78"/>
        <v>579</v>
      </c>
      <c r="B579" s="246" t="str">
        <f t="shared" si="76"/>
        <v>Oil Field - Tank</v>
      </c>
      <c r="C579" s="246" t="str">
        <f ca="1">IF(B579="","",VLOOKUP(D579,'Species Data'!B:E,4,FALSE))</f>
        <v>T_butben</v>
      </c>
      <c r="D579" s="246">
        <f t="shared" ca="1" si="79"/>
        <v>703</v>
      </c>
      <c r="E579" s="246">
        <f t="shared" ca="1" si="80"/>
        <v>2.3099999999999999E-2</v>
      </c>
      <c r="F579" s="246" t="str">
        <f t="shared" ca="1" si="81"/>
        <v>T-butylbenzene</v>
      </c>
      <c r="G579" s="246">
        <f t="shared" ca="1" si="82"/>
        <v>134.21816000000001</v>
      </c>
      <c r="H579" s="204" t="str">
        <f ca="1">IF(G579="","",IF(VLOOKUP(Tank!F579,'Species Data'!D:F,3,FALSE)=0,"X",IF(G579&lt;44.1,2,1)))</f>
        <v>X</v>
      </c>
      <c r="I579" s="204">
        <f t="shared" ca="1" si="83"/>
        <v>6.7067310512847599E-3</v>
      </c>
      <c r="J579" s="247">
        <f ca="1">IF(I579="","",IF(COUNTIF($D$12:D579,D579)=1,IF(H579=1,I579*H579,IF(H579="X","X",0)),0))</f>
        <v>0</v>
      </c>
      <c r="K579" s="248">
        <f t="shared" ca="1" si="77"/>
        <v>0</v>
      </c>
      <c r="L579" s="212" t="s">
        <v>679</v>
      </c>
      <c r="M579" s="212" t="s">
        <v>448</v>
      </c>
      <c r="N579" s="212" t="s">
        <v>470</v>
      </c>
      <c r="O579" s="213">
        <v>41419</v>
      </c>
      <c r="P579" s="212" t="s">
        <v>531</v>
      </c>
      <c r="Q579" s="214">
        <v>100</v>
      </c>
      <c r="R579" s="212" t="s">
        <v>445</v>
      </c>
      <c r="S579" s="212" t="s">
        <v>532</v>
      </c>
      <c r="T579" s="212" t="s">
        <v>445</v>
      </c>
      <c r="U579" s="212" t="s">
        <v>446</v>
      </c>
      <c r="V579" s="214" t="b">
        <v>1</v>
      </c>
      <c r="W579" s="214">
        <v>1989</v>
      </c>
      <c r="X579" s="214">
        <v>5</v>
      </c>
      <c r="Y579" s="214">
        <v>2</v>
      </c>
      <c r="Z579" s="214">
        <v>4</v>
      </c>
      <c r="AA579" s="212" t="s">
        <v>447</v>
      </c>
      <c r="AB579" s="212" t="s">
        <v>531</v>
      </c>
      <c r="AC579" s="212" t="s">
        <v>533</v>
      </c>
      <c r="AD579" s="214">
        <v>2.6904720000000002</v>
      </c>
      <c r="AE579" s="214">
        <v>703</v>
      </c>
      <c r="AF579" s="214">
        <v>2.3099999999999999E-2</v>
      </c>
      <c r="AG579" s="214">
        <v>-99</v>
      </c>
      <c r="AH579" s="212" t="s">
        <v>224</v>
      </c>
      <c r="AI579" s="212" t="s">
        <v>449</v>
      </c>
      <c r="AJ579" s="212" t="s">
        <v>423</v>
      </c>
      <c r="AK579" s="212" t="s">
        <v>531</v>
      </c>
      <c r="AL579" s="212" t="s">
        <v>455</v>
      </c>
      <c r="AM579" s="214" t="b">
        <v>0</v>
      </c>
      <c r="AN579" s="214" t="b">
        <v>0</v>
      </c>
      <c r="AO579" s="212" t="s">
        <v>424</v>
      </c>
      <c r="AP579" s="212" t="s">
        <v>531</v>
      </c>
      <c r="AQ579" s="214">
        <v>134.21816000000001</v>
      </c>
      <c r="AR579" s="214" t="b">
        <v>0</v>
      </c>
      <c r="AS579" s="212" t="s">
        <v>534</v>
      </c>
      <c r="AU579" s="222" t="s">
        <v>819</v>
      </c>
    </row>
    <row r="580" spans="1:47" x14ac:dyDescent="0.25">
      <c r="A580" s="245">
        <f t="shared" si="78"/>
        <v>580</v>
      </c>
      <c r="B580" s="246" t="str">
        <f t="shared" si="76"/>
        <v>Oil Field - Tank</v>
      </c>
      <c r="C580" s="246" t="str">
        <f ca="1">IF(B580="","",VLOOKUP(D580,'Species Data'!B:E,4,FALSE))</f>
        <v>toluene</v>
      </c>
      <c r="D580" s="246">
        <f t="shared" ca="1" si="79"/>
        <v>717</v>
      </c>
      <c r="E580" s="246">
        <f t="shared" ca="1" si="80"/>
        <v>9.2999999999999999E-2</v>
      </c>
      <c r="F580" s="246" t="str">
        <f t="shared" ca="1" si="81"/>
        <v>Toluene</v>
      </c>
      <c r="G580" s="246">
        <f t="shared" ca="1" si="82"/>
        <v>92.138419999999996</v>
      </c>
      <c r="H580" s="204">
        <f ca="1">IF(G580="","",IF(VLOOKUP(Tank!F580,'Species Data'!D:F,3,FALSE)=0,"X",IF(G580&lt;44.1,2,1)))</f>
        <v>1</v>
      </c>
      <c r="I580" s="204">
        <f t="shared" ca="1" si="83"/>
        <v>0.21631540996126902</v>
      </c>
      <c r="J580" s="247">
        <f ca="1">IF(I580="","",IF(COUNTIF($D$12:D580,D580)=1,IF(H580=1,I580*H580,IF(H580="X","X",0)),0))</f>
        <v>0</v>
      </c>
      <c r="K580" s="248">
        <f t="shared" ca="1" si="77"/>
        <v>0</v>
      </c>
      <c r="L580" s="212" t="s">
        <v>679</v>
      </c>
      <c r="M580" s="212" t="s">
        <v>448</v>
      </c>
      <c r="N580" s="212" t="s">
        <v>470</v>
      </c>
      <c r="O580" s="213">
        <v>41419</v>
      </c>
      <c r="P580" s="212" t="s">
        <v>531</v>
      </c>
      <c r="Q580" s="214">
        <v>100</v>
      </c>
      <c r="R580" s="212" t="s">
        <v>445</v>
      </c>
      <c r="S580" s="212" t="s">
        <v>532</v>
      </c>
      <c r="T580" s="212" t="s">
        <v>445</v>
      </c>
      <c r="U580" s="212" t="s">
        <v>446</v>
      </c>
      <c r="V580" s="214" t="b">
        <v>1</v>
      </c>
      <c r="W580" s="214">
        <v>1989</v>
      </c>
      <c r="X580" s="214">
        <v>5</v>
      </c>
      <c r="Y580" s="214">
        <v>2</v>
      </c>
      <c r="Z580" s="214">
        <v>4</v>
      </c>
      <c r="AA580" s="212" t="s">
        <v>447</v>
      </c>
      <c r="AB580" s="212" t="s">
        <v>531</v>
      </c>
      <c r="AC580" s="212" t="s">
        <v>533</v>
      </c>
      <c r="AD580" s="214">
        <v>2.6904720000000002</v>
      </c>
      <c r="AE580" s="214">
        <v>717</v>
      </c>
      <c r="AF580" s="214">
        <v>9.2999999999999999E-2</v>
      </c>
      <c r="AG580" s="214">
        <v>-99</v>
      </c>
      <c r="AH580" s="212" t="s">
        <v>224</v>
      </c>
      <c r="AI580" s="212" t="s">
        <v>449</v>
      </c>
      <c r="AJ580" s="212" t="s">
        <v>294</v>
      </c>
      <c r="AK580" s="212" t="s">
        <v>531</v>
      </c>
      <c r="AL580" s="212" t="s">
        <v>383</v>
      </c>
      <c r="AM580" s="214" t="b">
        <v>1</v>
      </c>
      <c r="AN580" s="214" t="b">
        <v>1</v>
      </c>
      <c r="AO580" s="212" t="s">
        <v>295</v>
      </c>
      <c r="AP580" s="212" t="s">
        <v>296</v>
      </c>
      <c r="AQ580" s="214">
        <v>92.138419999999996</v>
      </c>
      <c r="AR580" s="214" t="b">
        <v>0</v>
      </c>
      <c r="AS580" s="212" t="s">
        <v>534</v>
      </c>
      <c r="AU580" s="222" t="s">
        <v>819</v>
      </c>
    </row>
    <row r="581" spans="1:47" x14ac:dyDescent="0.25">
      <c r="A581" s="245">
        <f t="shared" si="78"/>
        <v>581</v>
      </c>
      <c r="B581" s="246" t="str">
        <f t="shared" si="76"/>
        <v>Oil Field - Tank</v>
      </c>
      <c r="C581" s="246" t="str">
        <f ca="1">IF(B581="","",VLOOKUP(D581,'Species Data'!B:E,4,FALSE))</f>
        <v>betben</v>
      </c>
      <c r="D581" s="246">
        <f t="shared" ca="1" si="79"/>
        <v>981</v>
      </c>
      <c r="E581" s="246">
        <f t="shared" ca="1" si="80"/>
        <v>1.46E-2</v>
      </c>
      <c r="F581" s="246" t="str">
        <f t="shared" ca="1" si="81"/>
        <v>Butylbenzene</v>
      </c>
      <c r="G581" s="246">
        <f t="shared" ca="1" si="82"/>
        <v>134.21816000000001</v>
      </c>
      <c r="H581" s="204">
        <f ca="1">IF(G581="","",IF(VLOOKUP(Tank!F581,'Species Data'!D:F,3,FALSE)=0,"X",IF(G581&lt;44.1,2,1)))</f>
        <v>1</v>
      </c>
      <c r="I581" s="204">
        <f t="shared" ca="1" si="83"/>
        <v>4.2533741657253248E-3</v>
      </c>
      <c r="J581" s="247">
        <f ca="1">IF(I581="","",IF(COUNTIF($D$12:D581,D581)=1,IF(H581=1,I581*H581,IF(H581="X","X",0)),0))</f>
        <v>0</v>
      </c>
      <c r="K581" s="248">
        <f t="shared" ca="1" si="77"/>
        <v>0</v>
      </c>
      <c r="L581" s="212" t="s">
        <v>679</v>
      </c>
      <c r="M581" s="212" t="s">
        <v>448</v>
      </c>
      <c r="N581" s="212" t="s">
        <v>470</v>
      </c>
      <c r="O581" s="213">
        <v>41419</v>
      </c>
      <c r="P581" s="212" t="s">
        <v>531</v>
      </c>
      <c r="Q581" s="214">
        <v>100</v>
      </c>
      <c r="R581" s="212" t="s">
        <v>445</v>
      </c>
      <c r="S581" s="212" t="s">
        <v>532</v>
      </c>
      <c r="T581" s="212" t="s">
        <v>445</v>
      </c>
      <c r="U581" s="212" t="s">
        <v>446</v>
      </c>
      <c r="V581" s="214" t="b">
        <v>1</v>
      </c>
      <c r="W581" s="214">
        <v>1989</v>
      </c>
      <c r="X581" s="214">
        <v>5</v>
      </c>
      <c r="Y581" s="214">
        <v>2</v>
      </c>
      <c r="Z581" s="214">
        <v>4</v>
      </c>
      <c r="AA581" s="212" t="s">
        <v>447</v>
      </c>
      <c r="AB581" s="212" t="s">
        <v>531</v>
      </c>
      <c r="AC581" s="212" t="s">
        <v>533</v>
      </c>
      <c r="AD581" s="214">
        <v>2.6904720000000002</v>
      </c>
      <c r="AE581" s="214">
        <v>981</v>
      </c>
      <c r="AF581" s="214">
        <v>1.46E-2</v>
      </c>
      <c r="AG581" s="214">
        <v>-99</v>
      </c>
      <c r="AH581" s="212" t="s">
        <v>224</v>
      </c>
      <c r="AI581" s="212" t="s">
        <v>449</v>
      </c>
      <c r="AJ581" s="212" t="s">
        <v>645</v>
      </c>
      <c r="AK581" s="212" t="s">
        <v>531</v>
      </c>
      <c r="AL581" s="212" t="s">
        <v>531</v>
      </c>
      <c r="AM581" s="214" t="b">
        <v>0</v>
      </c>
      <c r="AN581" s="214" t="b">
        <v>0</v>
      </c>
      <c r="AO581" s="212" t="s">
        <v>646</v>
      </c>
      <c r="AP581" s="212" t="s">
        <v>647</v>
      </c>
      <c r="AQ581" s="214">
        <v>134.21816000000001</v>
      </c>
      <c r="AR581" s="214" t="b">
        <v>0</v>
      </c>
      <c r="AS581" s="212" t="s">
        <v>534</v>
      </c>
      <c r="AU581" s="222" t="s">
        <v>819</v>
      </c>
    </row>
    <row r="582" spans="1:47" x14ac:dyDescent="0.25">
      <c r="A582" s="245">
        <f t="shared" si="78"/>
        <v>582</v>
      </c>
      <c r="B582" s="246" t="str">
        <f t="shared" si="76"/>
        <v>Oil Field - Tank</v>
      </c>
      <c r="C582" s="246" t="str">
        <f ca="1">IF(B582="","",VLOOKUP(D582,'Species Data'!B:E,4,FALSE))</f>
        <v>c10_comp</v>
      </c>
      <c r="D582" s="246">
        <f t="shared" ca="1" si="79"/>
        <v>1924</v>
      </c>
      <c r="E582" s="246">
        <f t="shared" ca="1" si="80"/>
        <v>0.41439999999999999</v>
      </c>
      <c r="F582" s="246" t="str">
        <f t="shared" ca="1" si="81"/>
        <v>C-10 Compounds</v>
      </c>
      <c r="G582" s="246">
        <f t="shared" ca="1" si="82"/>
        <v>142.28167999999999</v>
      </c>
      <c r="H582" s="204" t="str">
        <f ca="1">IF(G582="","",IF(VLOOKUP(Tank!F582,'Species Data'!D:F,3,FALSE)=0,"X",IF(G582&lt;44.1,2,1)))</f>
        <v>X</v>
      </c>
      <c r="I582" s="204">
        <f t="shared" ca="1" si="83"/>
        <v>0.15904819352932459</v>
      </c>
      <c r="J582" s="247">
        <f ca="1">IF(I582="","",IF(COUNTIF($D$12:D582,D582)=1,IF(H582=1,I582*H582,IF(H582="X","X",0)),0))</f>
        <v>0</v>
      </c>
      <c r="K582" s="248">
        <f t="shared" ca="1" si="77"/>
        <v>0</v>
      </c>
      <c r="L582" s="212" t="s">
        <v>679</v>
      </c>
      <c r="M582" s="212" t="s">
        <v>448</v>
      </c>
      <c r="N582" s="212" t="s">
        <v>470</v>
      </c>
      <c r="O582" s="213">
        <v>41419</v>
      </c>
      <c r="P582" s="212" t="s">
        <v>531</v>
      </c>
      <c r="Q582" s="214">
        <v>100</v>
      </c>
      <c r="R582" s="212" t="s">
        <v>445</v>
      </c>
      <c r="S582" s="212" t="s">
        <v>532</v>
      </c>
      <c r="T582" s="212" t="s">
        <v>445</v>
      </c>
      <c r="U582" s="212" t="s">
        <v>446</v>
      </c>
      <c r="V582" s="214" t="b">
        <v>1</v>
      </c>
      <c r="W582" s="214">
        <v>1989</v>
      </c>
      <c r="X582" s="214">
        <v>5</v>
      </c>
      <c r="Y582" s="214">
        <v>2</v>
      </c>
      <c r="Z582" s="214">
        <v>4</v>
      </c>
      <c r="AA582" s="212" t="s">
        <v>447</v>
      </c>
      <c r="AB582" s="212" t="s">
        <v>531</v>
      </c>
      <c r="AC582" s="212" t="s">
        <v>533</v>
      </c>
      <c r="AD582" s="214">
        <v>2.6904720000000002</v>
      </c>
      <c r="AE582" s="214">
        <v>1924</v>
      </c>
      <c r="AF582" s="214">
        <v>0.41439999999999999</v>
      </c>
      <c r="AG582" s="214">
        <v>-99</v>
      </c>
      <c r="AH582" s="212" t="s">
        <v>224</v>
      </c>
      <c r="AI582" s="212" t="s">
        <v>449</v>
      </c>
      <c r="AJ582" s="212" t="s">
        <v>224</v>
      </c>
      <c r="AK582" s="212" t="s">
        <v>531</v>
      </c>
      <c r="AL582" s="212" t="s">
        <v>466</v>
      </c>
      <c r="AM582" s="214" t="b">
        <v>0</v>
      </c>
      <c r="AN582" s="214" t="b">
        <v>0</v>
      </c>
      <c r="AO582" s="212" t="s">
        <v>535</v>
      </c>
      <c r="AP582" s="212" t="s">
        <v>536</v>
      </c>
      <c r="AQ582" s="214">
        <v>142.28167999999999</v>
      </c>
      <c r="AR582" s="214" t="b">
        <v>0</v>
      </c>
      <c r="AS582" s="212" t="s">
        <v>534</v>
      </c>
      <c r="AU582" s="222" t="s">
        <v>819</v>
      </c>
    </row>
    <row r="583" spans="1:47" x14ac:dyDescent="0.25">
      <c r="A583" s="245">
        <f t="shared" si="78"/>
        <v>583</v>
      </c>
      <c r="B583" s="246" t="str">
        <f t="shared" si="76"/>
        <v>Oil Field - Tank</v>
      </c>
      <c r="C583" s="246" t="str">
        <f ca="1">IF(B583="","",VLOOKUP(D583,'Species Data'!B:E,4,FALSE))</f>
        <v>c11_comp</v>
      </c>
      <c r="D583" s="246">
        <f t="shared" ca="1" si="79"/>
        <v>1929</v>
      </c>
      <c r="E583" s="246">
        <f t="shared" ca="1" si="80"/>
        <v>5.7099999999999998E-2</v>
      </c>
      <c r="F583" s="246" t="str">
        <f t="shared" ca="1" si="81"/>
        <v>C-11 Compounds</v>
      </c>
      <c r="G583" s="246">
        <f t="shared" ca="1" si="82"/>
        <v>156.30826000000002</v>
      </c>
      <c r="H583" s="204" t="str">
        <f ca="1">IF(G583="","",IF(VLOOKUP(Tank!F583,'Species Data'!D:F,3,FALSE)=0,"X",IF(G583&lt;44.1,2,1)))</f>
        <v>X</v>
      </c>
      <c r="I583" s="204">
        <f t="shared" ca="1" si="83"/>
        <v>2.464690327693813E-2</v>
      </c>
      <c r="J583" s="247">
        <f ca="1">IF(I583="","",IF(COUNTIF($D$12:D583,D583)=1,IF(H583=1,I583*H583,IF(H583="X","X",0)),0))</f>
        <v>0</v>
      </c>
      <c r="K583" s="248">
        <f t="shared" ca="1" si="77"/>
        <v>0</v>
      </c>
      <c r="L583" s="212" t="s">
        <v>679</v>
      </c>
      <c r="M583" s="212" t="s">
        <v>448</v>
      </c>
      <c r="N583" s="212" t="s">
        <v>470</v>
      </c>
      <c r="O583" s="213">
        <v>41419</v>
      </c>
      <c r="P583" s="212" t="s">
        <v>531</v>
      </c>
      <c r="Q583" s="214">
        <v>100</v>
      </c>
      <c r="R583" s="212" t="s">
        <v>445</v>
      </c>
      <c r="S583" s="212" t="s">
        <v>532</v>
      </c>
      <c r="T583" s="212" t="s">
        <v>445</v>
      </c>
      <c r="U583" s="212" t="s">
        <v>446</v>
      </c>
      <c r="V583" s="214" t="b">
        <v>1</v>
      </c>
      <c r="W583" s="214">
        <v>1989</v>
      </c>
      <c r="X583" s="214">
        <v>5</v>
      </c>
      <c r="Y583" s="214">
        <v>2</v>
      </c>
      <c r="Z583" s="214">
        <v>4</v>
      </c>
      <c r="AA583" s="212" t="s">
        <v>447</v>
      </c>
      <c r="AB583" s="212" t="s">
        <v>531</v>
      </c>
      <c r="AC583" s="212" t="s">
        <v>533</v>
      </c>
      <c r="AD583" s="214">
        <v>2.6904720000000002</v>
      </c>
      <c r="AE583" s="214">
        <v>1929</v>
      </c>
      <c r="AF583" s="214">
        <v>5.7099999999999998E-2</v>
      </c>
      <c r="AG583" s="214">
        <v>-99</v>
      </c>
      <c r="AH583" s="212" t="s">
        <v>224</v>
      </c>
      <c r="AI583" s="212" t="s">
        <v>449</v>
      </c>
      <c r="AJ583" s="212" t="s">
        <v>224</v>
      </c>
      <c r="AK583" s="212" t="s">
        <v>531</v>
      </c>
      <c r="AL583" s="212" t="s">
        <v>467</v>
      </c>
      <c r="AM583" s="214" t="b">
        <v>0</v>
      </c>
      <c r="AN583" s="214" t="b">
        <v>0</v>
      </c>
      <c r="AO583" s="212" t="s">
        <v>468</v>
      </c>
      <c r="AP583" s="212" t="s">
        <v>469</v>
      </c>
      <c r="AQ583" s="214">
        <v>156.30826000000002</v>
      </c>
      <c r="AR583" s="214" t="b">
        <v>0</v>
      </c>
      <c r="AS583" s="212" t="s">
        <v>534</v>
      </c>
      <c r="AU583" s="222" t="s">
        <v>819</v>
      </c>
    </row>
    <row r="584" spans="1:47" x14ac:dyDescent="0.25">
      <c r="A584" s="245">
        <f t="shared" si="78"/>
        <v>584</v>
      </c>
      <c r="B584" s="246" t="str">
        <f t="shared" si="76"/>
        <v>Oil Field - Tank</v>
      </c>
      <c r="C584" s="246" t="str">
        <f ca="1">IF(B584="","",VLOOKUP(D584,'Species Data'!B:E,4,FALSE))</f>
        <v>c5_comp</v>
      </c>
      <c r="D584" s="246">
        <f t="shared" ca="1" si="79"/>
        <v>1986</v>
      </c>
      <c r="E584" s="246">
        <f t="shared" ca="1" si="80"/>
        <v>0.38069999999999998</v>
      </c>
      <c r="F584" s="246" t="str">
        <f t="shared" ca="1" si="81"/>
        <v>C-5 Compounds</v>
      </c>
      <c r="G584" s="246">
        <f t="shared" ca="1" si="82"/>
        <v>72.148780000000002</v>
      </c>
      <c r="H584" s="204" t="str">
        <f ca="1">IF(G584="","",IF(VLOOKUP(Tank!F584,'Species Data'!D:F,3,FALSE)=0,"X",IF(G584&lt;44.1,2,1)))</f>
        <v>X</v>
      </c>
      <c r="I584" s="204">
        <f t="shared" ca="1" si="83"/>
        <v>2.1162936497523712</v>
      </c>
      <c r="J584" s="247">
        <f ca="1">IF(I584="","",IF(COUNTIF($D$12:D584,D584)=1,IF(H584=1,I584*H584,IF(H584="X","X",0)),0))</f>
        <v>0</v>
      </c>
      <c r="K584" s="248">
        <f t="shared" ca="1" si="77"/>
        <v>0</v>
      </c>
      <c r="L584" s="212" t="s">
        <v>679</v>
      </c>
      <c r="M584" s="212" t="s">
        <v>448</v>
      </c>
      <c r="N584" s="212" t="s">
        <v>470</v>
      </c>
      <c r="O584" s="213">
        <v>41419</v>
      </c>
      <c r="P584" s="212" t="s">
        <v>531</v>
      </c>
      <c r="Q584" s="214">
        <v>100</v>
      </c>
      <c r="R584" s="212" t="s">
        <v>445</v>
      </c>
      <c r="S584" s="212" t="s">
        <v>532</v>
      </c>
      <c r="T584" s="212" t="s">
        <v>445</v>
      </c>
      <c r="U584" s="212" t="s">
        <v>446</v>
      </c>
      <c r="V584" s="214" t="b">
        <v>1</v>
      </c>
      <c r="W584" s="214">
        <v>1989</v>
      </c>
      <c r="X584" s="214">
        <v>5</v>
      </c>
      <c r="Y584" s="214">
        <v>2</v>
      </c>
      <c r="Z584" s="214">
        <v>4</v>
      </c>
      <c r="AA584" s="212" t="s">
        <v>447</v>
      </c>
      <c r="AB584" s="212" t="s">
        <v>531</v>
      </c>
      <c r="AC584" s="212" t="s">
        <v>533</v>
      </c>
      <c r="AD584" s="214">
        <v>2.6904720000000002</v>
      </c>
      <c r="AE584" s="214">
        <v>1986</v>
      </c>
      <c r="AF584" s="214">
        <v>0.38069999999999998</v>
      </c>
      <c r="AG584" s="214">
        <v>-99</v>
      </c>
      <c r="AH584" s="212" t="s">
        <v>224</v>
      </c>
      <c r="AI584" s="212" t="s">
        <v>449</v>
      </c>
      <c r="AJ584" s="212" t="s">
        <v>224</v>
      </c>
      <c r="AK584" s="212" t="s">
        <v>531</v>
      </c>
      <c r="AL584" s="212" t="s">
        <v>537</v>
      </c>
      <c r="AM584" s="214" t="b">
        <v>0</v>
      </c>
      <c r="AN584" s="214" t="b">
        <v>0</v>
      </c>
      <c r="AO584" s="212" t="s">
        <v>538</v>
      </c>
      <c r="AP584" s="212" t="s">
        <v>539</v>
      </c>
      <c r="AQ584" s="214">
        <v>72.148780000000002</v>
      </c>
      <c r="AR584" s="214" t="b">
        <v>0</v>
      </c>
      <c r="AS584" s="212" t="s">
        <v>534</v>
      </c>
      <c r="AU584" s="222" t="s">
        <v>819</v>
      </c>
    </row>
    <row r="585" spans="1:47" x14ac:dyDescent="0.25">
      <c r="A585" s="245">
        <f t="shared" si="78"/>
        <v>585</v>
      </c>
      <c r="B585" s="246" t="str">
        <f t="shared" si="76"/>
        <v>Oil Field - Tank</v>
      </c>
      <c r="C585" s="246" t="str">
        <f ca="1">IF(B585="","",VLOOKUP(D585,'Species Data'!B:E,4,FALSE))</f>
        <v>c6_comp</v>
      </c>
      <c r="D585" s="246">
        <f t="shared" ca="1" si="79"/>
        <v>1999</v>
      </c>
      <c r="E585" s="246">
        <f t="shared" ca="1" si="80"/>
        <v>2.3344</v>
      </c>
      <c r="F585" s="246" t="str">
        <f t="shared" ca="1" si="81"/>
        <v>C-6 Compounds</v>
      </c>
      <c r="G585" s="246">
        <f t="shared" ca="1" si="82"/>
        <v>86.175359999999998</v>
      </c>
      <c r="H585" s="204" t="str">
        <f ca="1">IF(G585="","",IF(VLOOKUP(Tank!F585,'Species Data'!D:F,3,FALSE)=0,"X",IF(G585&lt;44.1,2,1)))</f>
        <v>X</v>
      </c>
      <c r="I585" s="204">
        <f t="shared" ca="1" si="83"/>
        <v>3.9709781213899662</v>
      </c>
      <c r="J585" s="247">
        <f ca="1">IF(I585="","",IF(COUNTIF($D$12:D585,D585)=1,IF(H585=1,I585*H585,IF(H585="X","X",0)),0))</f>
        <v>0</v>
      </c>
      <c r="K585" s="248">
        <f t="shared" ca="1" si="77"/>
        <v>0</v>
      </c>
      <c r="L585" s="212" t="s">
        <v>679</v>
      </c>
      <c r="M585" s="212" t="s">
        <v>448</v>
      </c>
      <c r="N585" s="212" t="s">
        <v>470</v>
      </c>
      <c r="O585" s="213">
        <v>41419</v>
      </c>
      <c r="P585" s="212" t="s">
        <v>531</v>
      </c>
      <c r="Q585" s="214">
        <v>100</v>
      </c>
      <c r="R585" s="212" t="s">
        <v>445</v>
      </c>
      <c r="S585" s="212" t="s">
        <v>532</v>
      </c>
      <c r="T585" s="212" t="s">
        <v>445</v>
      </c>
      <c r="U585" s="212" t="s">
        <v>446</v>
      </c>
      <c r="V585" s="214" t="b">
        <v>1</v>
      </c>
      <c r="W585" s="214">
        <v>1989</v>
      </c>
      <c r="X585" s="214">
        <v>5</v>
      </c>
      <c r="Y585" s="214">
        <v>2</v>
      </c>
      <c r="Z585" s="214">
        <v>4</v>
      </c>
      <c r="AA585" s="212" t="s">
        <v>447</v>
      </c>
      <c r="AB585" s="212" t="s">
        <v>531</v>
      </c>
      <c r="AC585" s="212" t="s">
        <v>533</v>
      </c>
      <c r="AD585" s="214">
        <v>2.6904720000000002</v>
      </c>
      <c r="AE585" s="214">
        <v>1999</v>
      </c>
      <c r="AF585" s="214">
        <v>2.3344</v>
      </c>
      <c r="AG585" s="214">
        <v>-99</v>
      </c>
      <c r="AH585" s="212" t="s">
        <v>224</v>
      </c>
      <c r="AI585" s="212" t="s">
        <v>449</v>
      </c>
      <c r="AJ585" s="212" t="s">
        <v>224</v>
      </c>
      <c r="AK585" s="212" t="s">
        <v>531</v>
      </c>
      <c r="AL585" s="212" t="s">
        <v>540</v>
      </c>
      <c r="AM585" s="214" t="b">
        <v>0</v>
      </c>
      <c r="AN585" s="214" t="b">
        <v>0</v>
      </c>
      <c r="AO585" s="212" t="s">
        <v>541</v>
      </c>
      <c r="AP585" s="212" t="s">
        <v>542</v>
      </c>
      <c r="AQ585" s="214">
        <v>86.175359999999998</v>
      </c>
      <c r="AR585" s="214" t="b">
        <v>0</v>
      </c>
      <c r="AS585" s="212" t="s">
        <v>534</v>
      </c>
      <c r="AU585" s="222" t="s">
        <v>819</v>
      </c>
    </row>
    <row r="586" spans="1:47" x14ac:dyDescent="0.25">
      <c r="A586" s="245">
        <f t="shared" si="78"/>
        <v>586</v>
      </c>
      <c r="B586" s="246" t="str">
        <f t="shared" si="76"/>
        <v>Oil Field - Tank</v>
      </c>
      <c r="C586" s="246" t="str">
        <f ca="1">IF(B586="","",VLOOKUP(D586,'Species Data'!B:E,4,FALSE))</f>
        <v>c7_comp</v>
      </c>
      <c r="D586" s="246">
        <f t="shared" ca="1" si="79"/>
        <v>2005</v>
      </c>
      <c r="E586" s="246">
        <f t="shared" ca="1" si="80"/>
        <v>1.7070000000000001</v>
      </c>
      <c r="F586" s="246" t="str">
        <f t="shared" ca="1" si="81"/>
        <v>C-7 Compounds</v>
      </c>
      <c r="G586" s="246">
        <f t="shared" ca="1" si="82"/>
        <v>100.20194000000001</v>
      </c>
      <c r="H586" s="204" t="str">
        <f ca="1">IF(G586="","",IF(VLOOKUP(Tank!F586,'Species Data'!D:F,3,FALSE)=0,"X",IF(G586&lt;44.1,2,1)))</f>
        <v>X</v>
      </c>
      <c r="I586" s="204">
        <f t="shared" ca="1" si="83"/>
        <v>2.5253842436887401</v>
      </c>
      <c r="J586" s="247">
        <f ca="1">IF(I586="","",IF(COUNTIF($D$12:D586,D586)=1,IF(H586=1,I586*H586,IF(H586="X","X",0)),0))</f>
        <v>0</v>
      </c>
      <c r="K586" s="248">
        <f t="shared" ca="1" si="77"/>
        <v>0</v>
      </c>
      <c r="L586" s="212" t="s">
        <v>679</v>
      </c>
      <c r="M586" s="212" t="s">
        <v>448</v>
      </c>
      <c r="N586" s="212" t="s">
        <v>470</v>
      </c>
      <c r="O586" s="213">
        <v>41419</v>
      </c>
      <c r="P586" s="212" t="s">
        <v>531</v>
      </c>
      <c r="Q586" s="214">
        <v>100</v>
      </c>
      <c r="R586" s="212" t="s">
        <v>445</v>
      </c>
      <c r="S586" s="212" t="s">
        <v>532</v>
      </c>
      <c r="T586" s="212" t="s">
        <v>445</v>
      </c>
      <c r="U586" s="212" t="s">
        <v>446</v>
      </c>
      <c r="V586" s="214" t="b">
        <v>1</v>
      </c>
      <c r="W586" s="214">
        <v>1989</v>
      </c>
      <c r="X586" s="214">
        <v>5</v>
      </c>
      <c r="Y586" s="214">
        <v>2</v>
      </c>
      <c r="Z586" s="214">
        <v>4</v>
      </c>
      <c r="AA586" s="212" t="s">
        <v>447</v>
      </c>
      <c r="AB586" s="212" t="s">
        <v>531</v>
      </c>
      <c r="AC586" s="212" t="s">
        <v>533</v>
      </c>
      <c r="AD586" s="214">
        <v>2.6904720000000002</v>
      </c>
      <c r="AE586" s="214">
        <v>2005</v>
      </c>
      <c r="AF586" s="214">
        <v>1.7070000000000001</v>
      </c>
      <c r="AG586" s="214">
        <v>-99</v>
      </c>
      <c r="AH586" s="212" t="s">
        <v>224</v>
      </c>
      <c r="AI586" s="212" t="s">
        <v>449</v>
      </c>
      <c r="AJ586" s="212" t="s">
        <v>224</v>
      </c>
      <c r="AK586" s="212" t="s">
        <v>531</v>
      </c>
      <c r="AL586" s="212" t="s">
        <v>543</v>
      </c>
      <c r="AM586" s="214" t="b">
        <v>0</v>
      </c>
      <c r="AN586" s="214" t="b">
        <v>0</v>
      </c>
      <c r="AO586" s="212" t="s">
        <v>544</v>
      </c>
      <c r="AP586" s="212" t="s">
        <v>545</v>
      </c>
      <c r="AQ586" s="214">
        <v>100.20194000000001</v>
      </c>
      <c r="AR586" s="214" t="b">
        <v>0</v>
      </c>
      <c r="AS586" s="212" t="s">
        <v>534</v>
      </c>
      <c r="AU586" s="222" t="s">
        <v>819</v>
      </c>
    </row>
    <row r="587" spans="1:47" x14ac:dyDescent="0.25">
      <c r="A587" s="245">
        <f t="shared" si="78"/>
        <v>587</v>
      </c>
      <c r="B587" s="246" t="str">
        <f t="shared" si="76"/>
        <v>Oil Field - Tank</v>
      </c>
      <c r="C587" s="246" t="str">
        <f ca="1">IF(B587="","",VLOOKUP(D587,'Species Data'!B:E,4,FALSE))</f>
        <v>c8_comp</v>
      </c>
      <c r="D587" s="246">
        <f t="shared" ca="1" si="79"/>
        <v>2011</v>
      </c>
      <c r="E587" s="246">
        <f t="shared" ca="1" si="80"/>
        <v>2.4205999999999999</v>
      </c>
      <c r="F587" s="246" t="str">
        <f t="shared" ca="1" si="81"/>
        <v>C-8 Compounds</v>
      </c>
      <c r="G587" s="246">
        <f t="shared" ca="1" si="82"/>
        <v>113.21160686946486</v>
      </c>
      <c r="H587" s="204" t="str">
        <f ca="1">IF(G587="","",IF(VLOOKUP(Tank!F587,'Species Data'!D:F,3,FALSE)=0,"X",IF(G587&lt;44.1,2,1)))</f>
        <v>X</v>
      </c>
      <c r="I587" s="204">
        <f t="shared" ca="1" si="83"/>
        <v>1.3164259710226556</v>
      </c>
      <c r="J587" s="247">
        <f ca="1">IF(I587="","",IF(COUNTIF($D$12:D587,D587)=1,IF(H587=1,I587*H587,IF(H587="X","X",0)),0))</f>
        <v>0</v>
      </c>
      <c r="K587" s="248">
        <f t="shared" ca="1" si="77"/>
        <v>0</v>
      </c>
      <c r="L587" s="212" t="s">
        <v>679</v>
      </c>
      <c r="M587" s="212" t="s">
        <v>448</v>
      </c>
      <c r="N587" s="212" t="s">
        <v>470</v>
      </c>
      <c r="O587" s="213">
        <v>41419</v>
      </c>
      <c r="P587" s="212" t="s">
        <v>531</v>
      </c>
      <c r="Q587" s="214">
        <v>100</v>
      </c>
      <c r="R587" s="212" t="s">
        <v>445</v>
      </c>
      <c r="S587" s="212" t="s">
        <v>532</v>
      </c>
      <c r="T587" s="212" t="s">
        <v>445</v>
      </c>
      <c r="U587" s="212" t="s">
        <v>446</v>
      </c>
      <c r="V587" s="214" t="b">
        <v>1</v>
      </c>
      <c r="W587" s="214">
        <v>1989</v>
      </c>
      <c r="X587" s="214">
        <v>5</v>
      </c>
      <c r="Y587" s="214">
        <v>2</v>
      </c>
      <c r="Z587" s="214">
        <v>4</v>
      </c>
      <c r="AA587" s="212" t="s">
        <v>447</v>
      </c>
      <c r="AB587" s="212" t="s">
        <v>531</v>
      </c>
      <c r="AC587" s="212" t="s">
        <v>533</v>
      </c>
      <c r="AD587" s="214">
        <v>2.6904720000000002</v>
      </c>
      <c r="AE587" s="214">
        <v>2011</v>
      </c>
      <c r="AF587" s="214">
        <v>2.4205999999999999</v>
      </c>
      <c r="AG587" s="214">
        <v>-99</v>
      </c>
      <c r="AH587" s="212" t="s">
        <v>224</v>
      </c>
      <c r="AI587" s="212" t="s">
        <v>449</v>
      </c>
      <c r="AJ587" s="212" t="s">
        <v>224</v>
      </c>
      <c r="AK587" s="212" t="s">
        <v>531</v>
      </c>
      <c r="AL587" s="212" t="s">
        <v>546</v>
      </c>
      <c r="AM587" s="214" t="b">
        <v>0</v>
      </c>
      <c r="AN587" s="214" t="b">
        <v>0</v>
      </c>
      <c r="AO587" s="212" t="s">
        <v>547</v>
      </c>
      <c r="AP587" s="212" t="s">
        <v>548</v>
      </c>
      <c r="AQ587" s="214">
        <v>113.21160686946486</v>
      </c>
      <c r="AR587" s="214" t="b">
        <v>0</v>
      </c>
      <c r="AS587" s="212" t="s">
        <v>534</v>
      </c>
      <c r="AU587" s="222" t="s">
        <v>819</v>
      </c>
    </row>
    <row r="588" spans="1:47" x14ac:dyDescent="0.25">
      <c r="A588" s="245">
        <f t="shared" si="78"/>
        <v>588</v>
      </c>
      <c r="B588" s="246" t="str">
        <f t="shared" ref="B588:B651" si="84">IF(ROW(A588)-(ROW($A$12))&lt;$B$10,$B$9,"")</f>
        <v>Oil Field - Tank</v>
      </c>
      <c r="C588" s="246" t="str">
        <f ca="1">IF(B588="","",VLOOKUP(D588,'Species Data'!B:E,4,FALSE))</f>
        <v>c9_comp</v>
      </c>
      <c r="D588" s="246">
        <f t="shared" ca="1" si="79"/>
        <v>2018</v>
      </c>
      <c r="E588" s="246">
        <f t="shared" ca="1" si="80"/>
        <v>1.2098</v>
      </c>
      <c r="F588" s="246" t="str">
        <f t="shared" ca="1" si="81"/>
        <v>C-9 Compounds</v>
      </c>
      <c r="G588" s="246">
        <f t="shared" ca="1" si="82"/>
        <v>127.23917598649743</v>
      </c>
      <c r="H588" s="204" t="str">
        <f ca="1">IF(G588="","",IF(VLOOKUP(Tank!F588,'Species Data'!D:F,3,FALSE)=0,"X",IF(G588&lt;44.1,2,1)))</f>
        <v>X</v>
      </c>
      <c r="I588" s="204">
        <f t="shared" ca="1" si="83"/>
        <v>0.54975194428533192</v>
      </c>
      <c r="J588" s="247">
        <f ca="1">IF(I588="","",IF(COUNTIF($D$12:D588,D588)=1,IF(H588=1,I588*H588,IF(H588="X","X",0)),0))</f>
        <v>0</v>
      </c>
      <c r="K588" s="248">
        <f t="shared" ca="1" si="77"/>
        <v>0</v>
      </c>
      <c r="L588" s="212" t="s">
        <v>679</v>
      </c>
      <c r="M588" s="212" t="s">
        <v>448</v>
      </c>
      <c r="N588" s="212" t="s">
        <v>470</v>
      </c>
      <c r="O588" s="213">
        <v>41419</v>
      </c>
      <c r="P588" s="212" t="s">
        <v>531</v>
      </c>
      <c r="Q588" s="214">
        <v>100</v>
      </c>
      <c r="R588" s="212" t="s">
        <v>445</v>
      </c>
      <c r="S588" s="212" t="s">
        <v>532</v>
      </c>
      <c r="T588" s="212" t="s">
        <v>445</v>
      </c>
      <c r="U588" s="212" t="s">
        <v>446</v>
      </c>
      <c r="V588" s="214" t="b">
        <v>1</v>
      </c>
      <c r="W588" s="214">
        <v>1989</v>
      </c>
      <c r="X588" s="214">
        <v>5</v>
      </c>
      <c r="Y588" s="214">
        <v>2</v>
      </c>
      <c r="Z588" s="214">
        <v>4</v>
      </c>
      <c r="AA588" s="212" t="s">
        <v>447</v>
      </c>
      <c r="AB588" s="212" t="s">
        <v>531</v>
      </c>
      <c r="AC588" s="212" t="s">
        <v>533</v>
      </c>
      <c r="AD588" s="214">
        <v>2.6904720000000002</v>
      </c>
      <c r="AE588" s="214">
        <v>2018</v>
      </c>
      <c r="AF588" s="214">
        <v>1.2098</v>
      </c>
      <c r="AG588" s="214">
        <v>-99</v>
      </c>
      <c r="AH588" s="212" t="s">
        <v>224</v>
      </c>
      <c r="AI588" s="212" t="s">
        <v>449</v>
      </c>
      <c r="AJ588" s="212" t="s">
        <v>224</v>
      </c>
      <c r="AK588" s="212" t="s">
        <v>531</v>
      </c>
      <c r="AL588" s="212" t="s">
        <v>464</v>
      </c>
      <c r="AM588" s="214" t="b">
        <v>0</v>
      </c>
      <c r="AN588" s="214" t="b">
        <v>0</v>
      </c>
      <c r="AO588" s="212" t="s">
        <v>549</v>
      </c>
      <c r="AP588" s="212" t="s">
        <v>550</v>
      </c>
      <c r="AQ588" s="214">
        <v>127.23917598649743</v>
      </c>
      <c r="AR588" s="214" t="b">
        <v>0</v>
      </c>
      <c r="AS588" s="212" t="s">
        <v>534</v>
      </c>
      <c r="AU588" s="222" t="s">
        <v>819</v>
      </c>
    </row>
    <row r="589" spans="1:47" x14ac:dyDescent="0.25">
      <c r="A589" s="245">
        <f t="shared" si="78"/>
        <v>589</v>
      </c>
      <c r="B589" s="246" t="str">
        <f t="shared" si="84"/>
        <v>Oil Field - Tank</v>
      </c>
      <c r="C589" s="246" t="str">
        <f ca="1">IF(B589="","",VLOOKUP(D589,'Species Data'!B:E,4,FALSE))</f>
        <v>trimethben123</v>
      </c>
      <c r="D589" s="246">
        <f t="shared" ca="1" si="79"/>
        <v>25</v>
      </c>
      <c r="E589" s="246">
        <f t="shared" ca="1" si="80"/>
        <v>1.01E-2</v>
      </c>
      <c r="F589" s="246" t="str">
        <f t="shared" ca="1" si="81"/>
        <v>1,2,3-trimethylbenzene</v>
      </c>
      <c r="G589" s="246">
        <f t="shared" ca="1" si="82"/>
        <v>120.19158</v>
      </c>
      <c r="H589" s="204">
        <f ca="1">IF(G589="","",IF(VLOOKUP(Tank!F589,'Species Data'!D:F,3,FALSE)=0,"X",IF(G589&lt;44.1,2,1)))</f>
        <v>1</v>
      </c>
      <c r="I589" s="204">
        <f t="shared" ca="1" si="83"/>
        <v>1.0560101376973221E-2</v>
      </c>
      <c r="J589" s="247">
        <f ca="1">IF(I589="","",IF(COUNTIF($D$12:D589,D589)=1,IF(H589=1,I589*H589,IF(H589="X","X",0)),0))</f>
        <v>0</v>
      </c>
      <c r="K589" s="248">
        <f t="shared" ref="K589:K652" ca="1" si="85">IF(J589="","",IF(J589="X",0,J589/$J$9*100))</f>
        <v>0</v>
      </c>
      <c r="L589" s="212" t="s">
        <v>679</v>
      </c>
      <c r="M589" s="212" t="s">
        <v>448</v>
      </c>
      <c r="N589" s="212" t="s">
        <v>470</v>
      </c>
      <c r="O589" s="213">
        <v>41419</v>
      </c>
      <c r="P589" s="212" t="s">
        <v>531</v>
      </c>
      <c r="Q589" s="214">
        <v>100</v>
      </c>
      <c r="R589" s="212" t="s">
        <v>445</v>
      </c>
      <c r="S589" s="212" t="s">
        <v>532</v>
      </c>
      <c r="T589" s="212" t="s">
        <v>445</v>
      </c>
      <c r="U589" s="212" t="s">
        <v>446</v>
      </c>
      <c r="V589" s="214" t="b">
        <v>1</v>
      </c>
      <c r="W589" s="214">
        <v>1989</v>
      </c>
      <c r="X589" s="214">
        <v>5</v>
      </c>
      <c r="Y589" s="214">
        <v>2</v>
      </c>
      <c r="Z589" s="214">
        <v>4</v>
      </c>
      <c r="AA589" s="212" t="s">
        <v>447</v>
      </c>
      <c r="AB589" s="212" t="s">
        <v>531</v>
      </c>
      <c r="AC589" s="212" t="s">
        <v>533</v>
      </c>
      <c r="AD589" s="214">
        <v>1.640296</v>
      </c>
      <c r="AE589" s="214">
        <v>25</v>
      </c>
      <c r="AF589" s="214">
        <v>1.01E-2</v>
      </c>
      <c r="AG589" s="214">
        <v>-99</v>
      </c>
      <c r="AH589" s="212" t="s">
        <v>224</v>
      </c>
      <c r="AI589" s="212" t="s">
        <v>449</v>
      </c>
      <c r="AJ589" s="212" t="s">
        <v>627</v>
      </c>
      <c r="AK589" s="212" t="s">
        <v>531</v>
      </c>
      <c r="AL589" s="212" t="s">
        <v>628</v>
      </c>
      <c r="AM589" s="214" t="b">
        <v>1</v>
      </c>
      <c r="AN589" s="214" t="b">
        <v>0</v>
      </c>
      <c r="AO589" s="212" t="s">
        <v>629</v>
      </c>
      <c r="AP589" s="212" t="s">
        <v>630</v>
      </c>
      <c r="AQ589" s="214">
        <v>120.19158</v>
      </c>
      <c r="AR589" s="214" t="b">
        <v>0</v>
      </c>
      <c r="AS589" s="212" t="s">
        <v>534</v>
      </c>
      <c r="AU589" s="222" t="s">
        <v>819</v>
      </c>
    </row>
    <row r="590" spans="1:47" x14ac:dyDescent="0.25">
      <c r="A590" s="245">
        <f t="shared" si="78"/>
        <v>590</v>
      </c>
      <c r="B590" s="246" t="str">
        <f t="shared" si="84"/>
        <v>Oil Field - Tank</v>
      </c>
      <c r="C590" s="246" t="str">
        <f ca="1">IF(B590="","",VLOOKUP(D590,'Species Data'!B:E,4,FALSE))</f>
        <v>trimetben124</v>
      </c>
      <c r="D590" s="246">
        <f t="shared" ca="1" si="79"/>
        <v>30</v>
      </c>
      <c r="E590" s="246">
        <f t="shared" ca="1" si="80"/>
        <v>9.1999999999999998E-3</v>
      </c>
      <c r="F590" s="246" t="str">
        <f t="shared" ca="1" si="81"/>
        <v>1,2,4-trimethylbenzene  (1,3,4-trimethylbenzene)</v>
      </c>
      <c r="G590" s="246">
        <f t="shared" ca="1" si="82"/>
        <v>120.19158</v>
      </c>
      <c r="H590" s="204">
        <f ca="1">IF(G590="","",IF(VLOOKUP(Tank!F590,'Species Data'!D:F,3,FALSE)=0,"X",IF(G590&lt;44.1,2,1)))</f>
        <v>1</v>
      </c>
      <c r="I590" s="204">
        <f t="shared" ca="1" si="83"/>
        <v>1.1400109441050636E-2</v>
      </c>
      <c r="J590" s="247">
        <f ca="1">IF(I590="","",IF(COUNTIF($D$12:D590,D590)=1,IF(H590=1,I590*H590,IF(H590="X","X",0)),0))</f>
        <v>0</v>
      </c>
      <c r="K590" s="248">
        <f t="shared" ca="1" si="85"/>
        <v>0</v>
      </c>
      <c r="L590" s="212" t="s">
        <v>679</v>
      </c>
      <c r="M590" s="212" t="s">
        <v>448</v>
      </c>
      <c r="N590" s="212" t="s">
        <v>470</v>
      </c>
      <c r="O590" s="213">
        <v>41419</v>
      </c>
      <c r="P590" s="212" t="s">
        <v>531</v>
      </c>
      <c r="Q590" s="214">
        <v>100</v>
      </c>
      <c r="R590" s="212" t="s">
        <v>445</v>
      </c>
      <c r="S590" s="212" t="s">
        <v>532</v>
      </c>
      <c r="T590" s="212" t="s">
        <v>445</v>
      </c>
      <c r="U590" s="212" t="s">
        <v>446</v>
      </c>
      <c r="V590" s="214" t="b">
        <v>1</v>
      </c>
      <c r="W590" s="214">
        <v>1989</v>
      </c>
      <c r="X590" s="214">
        <v>5</v>
      </c>
      <c r="Y590" s="214">
        <v>2</v>
      </c>
      <c r="Z590" s="214">
        <v>4</v>
      </c>
      <c r="AA590" s="212" t="s">
        <v>447</v>
      </c>
      <c r="AB590" s="212" t="s">
        <v>531</v>
      </c>
      <c r="AC590" s="212" t="s">
        <v>533</v>
      </c>
      <c r="AD590" s="214">
        <v>1.640296</v>
      </c>
      <c r="AE590" s="214">
        <v>30</v>
      </c>
      <c r="AF590" s="214">
        <v>9.1999999999999998E-3</v>
      </c>
      <c r="AG590" s="214">
        <v>-99</v>
      </c>
      <c r="AH590" s="212" t="s">
        <v>224</v>
      </c>
      <c r="AI590" s="212" t="s">
        <v>449</v>
      </c>
      <c r="AJ590" s="212" t="s">
        <v>359</v>
      </c>
      <c r="AK590" s="212" t="s">
        <v>531</v>
      </c>
      <c r="AL590" s="212" t="s">
        <v>531</v>
      </c>
      <c r="AM590" s="214" t="b">
        <v>1</v>
      </c>
      <c r="AN590" s="214" t="b">
        <v>0</v>
      </c>
      <c r="AO590" s="212" t="s">
        <v>360</v>
      </c>
      <c r="AP590" s="212" t="s">
        <v>361</v>
      </c>
      <c r="AQ590" s="214">
        <v>120.19158</v>
      </c>
      <c r="AR590" s="214" t="b">
        <v>0</v>
      </c>
      <c r="AS590" s="212" t="s">
        <v>534</v>
      </c>
      <c r="AU590" s="222" t="s">
        <v>819</v>
      </c>
    </row>
    <row r="591" spans="1:47" x14ac:dyDescent="0.25">
      <c r="A591" s="245">
        <f t="shared" si="78"/>
        <v>591</v>
      </c>
      <c r="B591" s="246" t="str">
        <f t="shared" si="84"/>
        <v>Oil Field - Tank</v>
      </c>
      <c r="C591" s="246" t="str">
        <f ca="1">IF(B591="","",VLOOKUP(D591,'Species Data'!B:E,4,FALSE))</f>
        <v>dietben14</v>
      </c>
      <c r="D591" s="246">
        <f t="shared" ca="1" si="79"/>
        <v>59</v>
      </c>
      <c r="E591" s="246">
        <f t="shared" ca="1" si="80"/>
        <v>1.3100000000000001E-2</v>
      </c>
      <c r="F591" s="246" t="str">
        <f t="shared" ca="1" si="81"/>
        <v>1,4-diethylbenzene (para)</v>
      </c>
      <c r="G591" s="246">
        <f t="shared" ca="1" si="82"/>
        <v>134.21816000000001</v>
      </c>
      <c r="H591" s="204" t="str">
        <f ca="1">IF(G591="","",IF(VLOOKUP(Tank!F591,'Species Data'!D:F,3,FALSE)=0,"X",IF(G591&lt;44.1,2,1)))</f>
        <v>X</v>
      </c>
      <c r="I591" s="204">
        <f t="shared" ca="1" si="83"/>
        <v>4.2867078190617306E-3</v>
      </c>
      <c r="J591" s="247">
        <f ca="1">IF(I591="","",IF(COUNTIF($D$12:D591,D591)=1,IF(H591=1,I591*H591,IF(H591="X","X",0)),0))</f>
        <v>0</v>
      </c>
      <c r="K591" s="248">
        <f t="shared" ca="1" si="85"/>
        <v>0</v>
      </c>
      <c r="L591" s="212" t="s">
        <v>679</v>
      </c>
      <c r="M591" s="212" t="s">
        <v>448</v>
      </c>
      <c r="N591" s="212" t="s">
        <v>470</v>
      </c>
      <c r="O591" s="213">
        <v>41419</v>
      </c>
      <c r="P591" s="212" t="s">
        <v>531</v>
      </c>
      <c r="Q591" s="214">
        <v>100</v>
      </c>
      <c r="R591" s="212" t="s">
        <v>445</v>
      </c>
      <c r="S591" s="212" t="s">
        <v>532</v>
      </c>
      <c r="T591" s="212" t="s">
        <v>445</v>
      </c>
      <c r="U591" s="212" t="s">
        <v>446</v>
      </c>
      <c r="V591" s="214" t="b">
        <v>1</v>
      </c>
      <c r="W591" s="214">
        <v>1989</v>
      </c>
      <c r="X591" s="214">
        <v>5</v>
      </c>
      <c r="Y591" s="214">
        <v>2</v>
      </c>
      <c r="Z591" s="214">
        <v>4</v>
      </c>
      <c r="AA591" s="212" t="s">
        <v>447</v>
      </c>
      <c r="AB591" s="212" t="s">
        <v>531</v>
      </c>
      <c r="AC591" s="212" t="s">
        <v>533</v>
      </c>
      <c r="AD591" s="214">
        <v>1.640296</v>
      </c>
      <c r="AE591" s="214">
        <v>59</v>
      </c>
      <c r="AF591" s="214">
        <v>1.3100000000000001E-2</v>
      </c>
      <c r="AG591" s="214">
        <v>-99</v>
      </c>
      <c r="AH591" s="212" t="s">
        <v>224</v>
      </c>
      <c r="AI591" s="212" t="s">
        <v>449</v>
      </c>
      <c r="AJ591" s="212" t="s">
        <v>638</v>
      </c>
      <c r="AK591" s="212" t="s">
        <v>531</v>
      </c>
      <c r="AL591" s="212" t="s">
        <v>639</v>
      </c>
      <c r="AM591" s="214" t="b">
        <v>1</v>
      </c>
      <c r="AN591" s="214" t="b">
        <v>0</v>
      </c>
      <c r="AO591" s="212" t="s">
        <v>640</v>
      </c>
      <c r="AP591" s="212" t="s">
        <v>641</v>
      </c>
      <c r="AQ591" s="214">
        <v>134.21816000000001</v>
      </c>
      <c r="AR591" s="214" t="b">
        <v>0</v>
      </c>
      <c r="AS591" s="212" t="s">
        <v>534</v>
      </c>
      <c r="AU591" s="222" t="s">
        <v>819</v>
      </c>
    </row>
    <row r="592" spans="1:47" x14ac:dyDescent="0.25">
      <c r="A592" s="245">
        <f t="shared" si="78"/>
        <v>592</v>
      </c>
      <c r="B592" s="246" t="str">
        <f t="shared" si="84"/>
        <v>Oil Field - Tank</v>
      </c>
      <c r="C592" s="246" t="str">
        <f ca="1">IF(B592="","",VLOOKUP(D592,'Species Data'!B:E,4,FALSE))</f>
        <v>ethben12</v>
      </c>
      <c r="D592" s="246">
        <f t="shared" ca="1" si="79"/>
        <v>80</v>
      </c>
      <c r="E592" s="246">
        <f t="shared" ca="1" si="80"/>
        <v>2.2200000000000001E-2</v>
      </c>
      <c r="F592" s="246" t="str">
        <f t="shared" ca="1" si="81"/>
        <v>1-Methyl-2-ethylbenzene</v>
      </c>
      <c r="G592" s="246">
        <f t="shared" ca="1" si="82"/>
        <v>120.19158</v>
      </c>
      <c r="H592" s="204">
        <f ca="1">IF(G592="","",IF(VLOOKUP(Tank!F592,'Species Data'!D:F,3,FALSE)=0,"X",IF(G592&lt;44.1,2,1)))</f>
        <v>1</v>
      </c>
      <c r="I592" s="204">
        <f t="shared" ca="1" si="83"/>
        <v>1.2980124609196252E-2</v>
      </c>
      <c r="J592" s="247">
        <f ca="1">IF(I592="","",IF(COUNTIF($D$12:D592,D592)=1,IF(H592=1,I592*H592,IF(H592="X","X",0)),0))</f>
        <v>0</v>
      </c>
      <c r="K592" s="248">
        <f t="shared" ca="1" si="85"/>
        <v>0</v>
      </c>
      <c r="L592" s="212" t="s">
        <v>679</v>
      </c>
      <c r="M592" s="212" t="s">
        <v>448</v>
      </c>
      <c r="N592" s="212" t="s">
        <v>470</v>
      </c>
      <c r="O592" s="213">
        <v>41419</v>
      </c>
      <c r="P592" s="212" t="s">
        <v>531</v>
      </c>
      <c r="Q592" s="214">
        <v>100</v>
      </c>
      <c r="R592" s="212" t="s">
        <v>445</v>
      </c>
      <c r="S592" s="212" t="s">
        <v>532</v>
      </c>
      <c r="T592" s="212" t="s">
        <v>445</v>
      </c>
      <c r="U592" s="212" t="s">
        <v>446</v>
      </c>
      <c r="V592" s="214" t="b">
        <v>1</v>
      </c>
      <c r="W592" s="214">
        <v>1989</v>
      </c>
      <c r="X592" s="214">
        <v>5</v>
      </c>
      <c r="Y592" s="214">
        <v>2</v>
      </c>
      <c r="Z592" s="214">
        <v>4</v>
      </c>
      <c r="AA592" s="212" t="s">
        <v>447</v>
      </c>
      <c r="AB592" s="212" t="s">
        <v>531</v>
      </c>
      <c r="AC592" s="212" t="s">
        <v>533</v>
      </c>
      <c r="AD592" s="214">
        <v>1.640296</v>
      </c>
      <c r="AE592" s="214">
        <v>80</v>
      </c>
      <c r="AF592" s="214">
        <v>2.2200000000000001E-2</v>
      </c>
      <c r="AG592" s="214">
        <v>-99</v>
      </c>
      <c r="AH592" s="212" t="s">
        <v>224</v>
      </c>
      <c r="AI592" s="212" t="s">
        <v>449</v>
      </c>
      <c r="AJ592" s="212" t="s">
        <v>408</v>
      </c>
      <c r="AK592" s="212" t="s">
        <v>531</v>
      </c>
      <c r="AL592" s="212" t="s">
        <v>450</v>
      </c>
      <c r="AM592" s="214" t="b">
        <v>1</v>
      </c>
      <c r="AN592" s="214" t="b">
        <v>0</v>
      </c>
      <c r="AO592" s="212" t="s">
        <v>409</v>
      </c>
      <c r="AP592" s="212" t="s">
        <v>410</v>
      </c>
      <c r="AQ592" s="214">
        <v>120.19158</v>
      </c>
      <c r="AR592" s="214" t="b">
        <v>0</v>
      </c>
      <c r="AS592" s="212" t="s">
        <v>534</v>
      </c>
      <c r="AU592" s="222" t="s">
        <v>819</v>
      </c>
    </row>
    <row r="593" spans="1:47" x14ac:dyDescent="0.25">
      <c r="A593" s="245">
        <f t="shared" si="78"/>
        <v>593</v>
      </c>
      <c r="B593" s="246" t="str">
        <f t="shared" si="84"/>
        <v>Oil Field - Tank</v>
      </c>
      <c r="C593" s="246" t="str">
        <f ca="1">IF(B593="","",VLOOKUP(D593,'Species Data'!B:E,4,FALSE))</f>
        <v>ethben13</v>
      </c>
      <c r="D593" s="246">
        <f t="shared" ca="1" si="79"/>
        <v>89</v>
      </c>
      <c r="E593" s="246">
        <f t="shared" ca="1" si="80"/>
        <v>1.8700000000000001E-2</v>
      </c>
      <c r="F593" s="246" t="str">
        <f t="shared" ca="1" si="81"/>
        <v>1-Methyl-3-ethylbenzene (3-Ethyltoluene)</v>
      </c>
      <c r="G593" s="246">
        <f t="shared" ca="1" si="82"/>
        <v>120.19158</v>
      </c>
      <c r="H593" s="204">
        <f ca="1">IF(G593="","",IF(VLOOKUP(Tank!F593,'Species Data'!D:F,3,FALSE)=0,"X",IF(G593&lt;44.1,2,1)))</f>
        <v>1</v>
      </c>
      <c r="I593" s="204">
        <f t="shared" ca="1" si="83"/>
        <v>1.0893437910337275E-2</v>
      </c>
      <c r="J593" s="247">
        <f ca="1">IF(I593="","",IF(COUNTIF($D$12:D593,D593)=1,IF(H593=1,I593*H593,IF(H593="X","X",0)),0))</f>
        <v>0</v>
      </c>
      <c r="K593" s="248">
        <f t="shared" ca="1" si="85"/>
        <v>0</v>
      </c>
      <c r="L593" s="212" t="s">
        <v>679</v>
      </c>
      <c r="M593" s="212" t="s">
        <v>448</v>
      </c>
      <c r="N593" s="212" t="s">
        <v>470</v>
      </c>
      <c r="O593" s="213">
        <v>41419</v>
      </c>
      <c r="P593" s="212" t="s">
        <v>531</v>
      </c>
      <c r="Q593" s="214">
        <v>100</v>
      </c>
      <c r="R593" s="212" t="s">
        <v>445</v>
      </c>
      <c r="S593" s="212" t="s">
        <v>532</v>
      </c>
      <c r="T593" s="212" t="s">
        <v>445</v>
      </c>
      <c r="U593" s="212" t="s">
        <v>446</v>
      </c>
      <c r="V593" s="214" t="b">
        <v>1</v>
      </c>
      <c r="W593" s="214">
        <v>1989</v>
      </c>
      <c r="X593" s="214">
        <v>5</v>
      </c>
      <c r="Y593" s="214">
        <v>2</v>
      </c>
      <c r="Z593" s="214">
        <v>4</v>
      </c>
      <c r="AA593" s="212" t="s">
        <v>447</v>
      </c>
      <c r="AB593" s="212" t="s">
        <v>531</v>
      </c>
      <c r="AC593" s="212" t="s">
        <v>533</v>
      </c>
      <c r="AD593" s="214">
        <v>1.640296</v>
      </c>
      <c r="AE593" s="214">
        <v>89</v>
      </c>
      <c r="AF593" s="214">
        <v>1.8700000000000001E-2</v>
      </c>
      <c r="AG593" s="214">
        <v>-99</v>
      </c>
      <c r="AH593" s="212" t="s">
        <v>224</v>
      </c>
      <c r="AI593" s="212" t="s">
        <v>449</v>
      </c>
      <c r="AJ593" s="212" t="s">
        <v>411</v>
      </c>
      <c r="AK593" s="212" t="s">
        <v>531</v>
      </c>
      <c r="AL593" s="212" t="s">
        <v>451</v>
      </c>
      <c r="AM593" s="214" t="b">
        <v>1</v>
      </c>
      <c r="AN593" s="214" t="b">
        <v>0</v>
      </c>
      <c r="AO593" s="212" t="s">
        <v>412</v>
      </c>
      <c r="AP593" s="212" t="s">
        <v>413</v>
      </c>
      <c r="AQ593" s="214">
        <v>120.19158</v>
      </c>
      <c r="AR593" s="214" t="b">
        <v>0</v>
      </c>
      <c r="AS593" s="212" t="s">
        <v>534</v>
      </c>
      <c r="AU593" s="222" t="s">
        <v>819</v>
      </c>
    </row>
    <row r="594" spans="1:47" x14ac:dyDescent="0.25">
      <c r="A594" s="245">
        <f t="shared" si="78"/>
        <v>594</v>
      </c>
      <c r="B594" s="246" t="str">
        <f t="shared" si="84"/>
        <v>Oil Field - Tank</v>
      </c>
      <c r="C594" s="246" t="str">
        <f ca="1">IF(B594="","",VLOOKUP(D594,'Species Data'!B:E,4,FALSE))</f>
        <v>dimetbut22</v>
      </c>
      <c r="D594" s="246">
        <f t="shared" ca="1" si="79"/>
        <v>122</v>
      </c>
      <c r="E594" s="246">
        <f t="shared" ca="1" si="80"/>
        <v>2.3300000000000001E-2</v>
      </c>
      <c r="F594" s="246" t="str">
        <f t="shared" ca="1" si="81"/>
        <v>2,2-dimethylbutane</v>
      </c>
      <c r="G594" s="246">
        <f t="shared" ca="1" si="82"/>
        <v>86.175359999999998</v>
      </c>
      <c r="H594" s="204">
        <f ca="1">IF(G594="","",IF(VLOOKUP(Tank!F594,'Species Data'!D:F,3,FALSE)=0,"X",IF(G594&lt;44.1,2,1)))</f>
        <v>1</v>
      </c>
      <c r="I594" s="204">
        <f t="shared" ca="1" si="83"/>
        <v>8.538748638653601E-2</v>
      </c>
      <c r="J594" s="247">
        <f ca="1">IF(I594="","",IF(COUNTIF($D$12:D594,D594)=1,IF(H594=1,I594*H594,IF(H594="X","X",0)),0))</f>
        <v>0</v>
      </c>
      <c r="K594" s="248">
        <f t="shared" ca="1" si="85"/>
        <v>0</v>
      </c>
      <c r="L594" s="212" t="s">
        <v>679</v>
      </c>
      <c r="M594" s="212" t="s">
        <v>448</v>
      </c>
      <c r="N594" s="212" t="s">
        <v>470</v>
      </c>
      <c r="O594" s="213">
        <v>41419</v>
      </c>
      <c r="P594" s="212" t="s">
        <v>531</v>
      </c>
      <c r="Q594" s="214">
        <v>100</v>
      </c>
      <c r="R594" s="212" t="s">
        <v>445</v>
      </c>
      <c r="S594" s="212" t="s">
        <v>532</v>
      </c>
      <c r="T594" s="212" t="s">
        <v>445</v>
      </c>
      <c r="U594" s="212" t="s">
        <v>446</v>
      </c>
      <c r="V594" s="214" t="b">
        <v>1</v>
      </c>
      <c r="W594" s="214">
        <v>1989</v>
      </c>
      <c r="X594" s="214">
        <v>5</v>
      </c>
      <c r="Y594" s="214">
        <v>2</v>
      </c>
      <c r="Z594" s="214">
        <v>4</v>
      </c>
      <c r="AA594" s="212" t="s">
        <v>447</v>
      </c>
      <c r="AB594" s="212" t="s">
        <v>531</v>
      </c>
      <c r="AC594" s="212" t="s">
        <v>533</v>
      </c>
      <c r="AD594" s="214">
        <v>1.640296</v>
      </c>
      <c r="AE594" s="214">
        <v>122</v>
      </c>
      <c r="AF594" s="214">
        <v>2.3300000000000001E-2</v>
      </c>
      <c r="AG594" s="214">
        <v>-99</v>
      </c>
      <c r="AH594" s="212" t="s">
        <v>224</v>
      </c>
      <c r="AI594" s="212" t="s">
        <v>449</v>
      </c>
      <c r="AJ594" s="212" t="s">
        <v>301</v>
      </c>
      <c r="AK594" s="212" t="s">
        <v>531</v>
      </c>
      <c r="AL594" s="212" t="s">
        <v>384</v>
      </c>
      <c r="AM594" s="214" t="b">
        <v>1</v>
      </c>
      <c r="AN594" s="214" t="b">
        <v>0</v>
      </c>
      <c r="AO594" s="212" t="s">
        <v>302</v>
      </c>
      <c r="AP594" s="212" t="s">
        <v>303</v>
      </c>
      <c r="AQ594" s="214">
        <v>86.175359999999998</v>
      </c>
      <c r="AR594" s="214" t="b">
        <v>0</v>
      </c>
      <c r="AS594" s="212" t="s">
        <v>534</v>
      </c>
      <c r="AU594" s="222" t="s">
        <v>819</v>
      </c>
    </row>
    <row r="595" spans="1:47" x14ac:dyDescent="0.25">
      <c r="A595" s="245">
        <f t="shared" si="78"/>
        <v>595</v>
      </c>
      <c r="B595" s="246" t="str">
        <f t="shared" si="84"/>
        <v>Oil Field - Tank</v>
      </c>
      <c r="C595" s="246" t="str">
        <f ca="1">IF(B595="","",VLOOKUP(D595,'Species Data'!B:E,4,FALSE))</f>
        <v>dimethpro</v>
      </c>
      <c r="D595" s="246">
        <f t="shared" ca="1" si="79"/>
        <v>127</v>
      </c>
      <c r="E595" s="246">
        <f t="shared" ca="1" si="80"/>
        <v>5.5599999999999997E-2</v>
      </c>
      <c r="F595" s="246" t="str">
        <f t="shared" ca="1" si="81"/>
        <v>2,2-dimethylpropane</v>
      </c>
      <c r="G595" s="246">
        <f t="shared" ca="1" si="82"/>
        <v>72.148780000000002</v>
      </c>
      <c r="H595" s="204">
        <f ca="1">IF(G595="","",IF(VLOOKUP(Tank!F595,'Species Data'!D:F,3,FALSE)=0,"X",IF(G595&lt;44.1,2,1)))</f>
        <v>1</v>
      </c>
      <c r="I595" s="204">
        <f t="shared" ca="1" si="83"/>
        <v>9.7614270430329483E-2</v>
      </c>
      <c r="J595" s="247">
        <f ca="1">IF(I595="","",IF(COUNTIF($D$12:D595,D595)=1,IF(H595=1,I595*H595,IF(H595="X","X",0)),0))</f>
        <v>0</v>
      </c>
      <c r="K595" s="248">
        <f t="shared" ca="1" si="85"/>
        <v>0</v>
      </c>
      <c r="L595" s="212" t="s">
        <v>679</v>
      </c>
      <c r="M595" s="212" t="s">
        <v>448</v>
      </c>
      <c r="N595" s="212" t="s">
        <v>470</v>
      </c>
      <c r="O595" s="213">
        <v>41419</v>
      </c>
      <c r="P595" s="212" t="s">
        <v>531</v>
      </c>
      <c r="Q595" s="214">
        <v>100</v>
      </c>
      <c r="R595" s="212" t="s">
        <v>445</v>
      </c>
      <c r="S595" s="212" t="s">
        <v>532</v>
      </c>
      <c r="T595" s="212" t="s">
        <v>445</v>
      </c>
      <c r="U595" s="212" t="s">
        <v>446</v>
      </c>
      <c r="V595" s="214" t="b">
        <v>1</v>
      </c>
      <c r="W595" s="214">
        <v>1989</v>
      </c>
      <c r="X595" s="214">
        <v>5</v>
      </c>
      <c r="Y595" s="214">
        <v>2</v>
      </c>
      <c r="Z595" s="214">
        <v>4</v>
      </c>
      <c r="AA595" s="212" t="s">
        <v>447</v>
      </c>
      <c r="AB595" s="212" t="s">
        <v>531</v>
      </c>
      <c r="AC595" s="212" t="s">
        <v>533</v>
      </c>
      <c r="AD595" s="214">
        <v>1.640296</v>
      </c>
      <c r="AE595" s="214">
        <v>127</v>
      </c>
      <c r="AF595" s="214">
        <v>5.5599999999999997E-2</v>
      </c>
      <c r="AG595" s="214">
        <v>-99</v>
      </c>
      <c r="AH595" s="212" t="s">
        <v>224</v>
      </c>
      <c r="AI595" s="212" t="s">
        <v>449</v>
      </c>
      <c r="AJ595" s="212" t="s">
        <v>441</v>
      </c>
      <c r="AK595" s="212" t="s">
        <v>531</v>
      </c>
      <c r="AL595" s="212" t="s">
        <v>462</v>
      </c>
      <c r="AM595" s="214" t="b">
        <v>0</v>
      </c>
      <c r="AN595" s="214" t="b">
        <v>0</v>
      </c>
      <c r="AO595" s="212" t="s">
        <v>442</v>
      </c>
      <c r="AP595" s="212" t="s">
        <v>531</v>
      </c>
      <c r="AQ595" s="214">
        <v>72.148780000000002</v>
      </c>
      <c r="AR595" s="214" t="b">
        <v>0</v>
      </c>
      <c r="AS595" s="212" t="s">
        <v>534</v>
      </c>
      <c r="AU595" s="222" t="s">
        <v>819</v>
      </c>
    </row>
    <row r="596" spans="1:47" x14ac:dyDescent="0.25">
      <c r="A596" s="245">
        <f t="shared" si="78"/>
        <v>596</v>
      </c>
      <c r="B596" s="246" t="str">
        <f t="shared" si="84"/>
        <v>Oil Field - Tank</v>
      </c>
      <c r="C596" s="246" t="str">
        <f ca="1">IF(B596="","",VLOOKUP(D596,'Species Data'!B:E,4,FALSE))</f>
        <v>trimentpen3</v>
      </c>
      <c r="D596" s="246">
        <f t="shared" ca="1" si="79"/>
        <v>130</v>
      </c>
      <c r="E596" s="246">
        <f t="shared" ca="1" si="80"/>
        <v>0.67700000000000005</v>
      </c>
      <c r="F596" s="246" t="str">
        <f t="shared" ca="1" si="81"/>
        <v>2,3,4-trimethylpentane</v>
      </c>
      <c r="G596" s="246">
        <f t="shared" ca="1" si="82"/>
        <v>114.22852</v>
      </c>
      <c r="H596" s="204">
        <f ca="1">IF(G596="","",IF(VLOOKUP(Tank!F596,'Species Data'!D:F,3,FALSE)=0,"X",IF(G596&lt;44.1,2,1)))</f>
        <v>1</v>
      </c>
      <c r="I596" s="204">
        <f t="shared" ca="1" si="83"/>
        <v>0.22004211240427912</v>
      </c>
      <c r="J596" s="247">
        <f ca="1">IF(I596="","",IF(COUNTIF($D$12:D596,D596)=1,IF(H596=1,I596*H596,IF(H596="X","X",0)),0))</f>
        <v>0</v>
      </c>
      <c r="K596" s="248">
        <f t="shared" ca="1" si="85"/>
        <v>0</v>
      </c>
      <c r="L596" s="212" t="s">
        <v>679</v>
      </c>
      <c r="M596" s="212" t="s">
        <v>448</v>
      </c>
      <c r="N596" s="212" t="s">
        <v>470</v>
      </c>
      <c r="O596" s="213">
        <v>41419</v>
      </c>
      <c r="P596" s="212" t="s">
        <v>531</v>
      </c>
      <c r="Q596" s="214">
        <v>100</v>
      </c>
      <c r="R596" s="212" t="s">
        <v>445</v>
      </c>
      <c r="S596" s="212" t="s">
        <v>532</v>
      </c>
      <c r="T596" s="212" t="s">
        <v>445</v>
      </c>
      <c r="U596" s="212" t="s">
        <v>446</v>
      </c>
      <c r="V596" s="214" t="b">
        <v>1</v>
      </c>
      <c r="W596" s="214">
        <v>1989</v>
      </c>
      <c r="X596" s="214">
        <v>5</v>
      </c>
      <c r="Y596" s="214">
        <v>2</v>
      </c>
      <c r="Z596" s="214">
        <v>4</v>
      </c>
      <c r="AA596" s="212" t="s">
        <v>447</v>
      </c>
      <c r="AB596" s="212" t="s">
        <v>531</v>
      </c>
      <c r="AC596" s="212" t="s">
        <v>533</v>
      </c>
      <c r="AD596" s="214">
        <v>1.640296</v>
      </c>
      <c r="AE596" s="214">
        <v>130</v>
      </c>
      <c r="AF596" s="214">
        <v>0.67700000000000005</v>
      </c>
      <c r="AG596" s="214">
        <v>-99</v>
      </c>
      <c r="AH596" s="212" t="s">
        <v>224</v>
      </c>
      <c r="AI596" s="212" t="s">
        <v>449</v>
      </c>
      <c r="AJ596" s="212" t="s">
        <v>404</v>
      </c>
      <c r="AK596" s="212" t="s">
        <v>531</v>
      </c>
      <c r="AL596" s="212" t="s">
        <v>405</v>
      </c>
      <c r="AM596" s="214" t="b">
        <v>1</v>
      </c>
      <c r="AN596" s="214" t="b">
        <v>0</v>
      </c>
      <c r="AO596" s="212" t="s">
        <v>406</v>
      </c>
      <c r="AP596" s="212" t="s">
        <v>407</v>
      </c>
      <c r="AQ596" s="214">
        <v>114.22852</v>
      </c>
      <c r="AR596" s="214" t="b">
        <v>0</v>
      </c>
      <c r="AS596" s="212" t="s">
        <v>534</v>
      </c>
      <c r="AU596" s="222" t="s">
        <v>819</v>
      </c>
    </row>
    <row r="597" spans="1:47" x14ac:dyDescent="0.25">
      <c r="A597" s="245">
        <f t="shared" si="78"/>
        <v>597</v>
      </c>
      <c r="B597" s="246" t="str">
        <f t="shared" si="84"/>
        <v>Oil Field - Tank</v>
      </c>
      <c r="C597" s="246" t="str">
        <f ca="1">IF(B597="","",VLOOKUP(D597,'Species Data'!B:E,4,FALSE))</f>
        <v>dimetbut</v>
      </c>
      <c r="D597" s="246">
        <f t="shared" ca="1" si="79"/>
        <v>136</v>
      </c>
      <c r="E597" s="246">
        <f t="shared" ca="1" si="80"/>
        <v>0.51829999999999998</v>
      </c>
      <c r="F597" s="246" t="str">
        <f t="shared" ca="1" si="81"/>
        <v>2,3-dimethylbutane</v>
      </c>
      <c r="G597" s="246">
        <f t="shared" ca="1" si="82"/>
        <v>86.175359999999998</v>
      </c>
      <c r="H597" s="204">
        <f ca="1">IF(G597="","",IF(VLOOKUP(Tank!F597,'Species Data'!D:F,3,FALSE)=0,"X",IF(G597&lt;44.1,2,1)))</f>
        <v>1</v>
      </c>
      <c r="I597" s="204">
        <f t="shared" ca="1" si="83"/>
        <v>0.22725551498627725</v>
      </c>
      <c r="J597" s="247">
        <f ca="1">IF(I597="","",IF(COUNTIF($D$12:D597,D597)=1,IF(H597=1,I597*H597,IF(H597="X","X",0)),0))</f>
        <v>0</v>
      </c>
      <c r="K597" s="248">
        <f t="shared" ca="1" si="85"/>
        <v>0</v>
      </c>
      <c r="L597" s="212" t="s">
        <v>679</v>
      </c>
      <c r="M597" s="212" t="s">
        <v>448</v>
      </c>
      <c r="N597" s="212" t="s">
        <v>470</v>
      </c>
      <c r="O597" s="213">
        <v>41419</v>
      </c>
      <c r="P597" s="212" t="s">
        <v>531</v>
      </c>
      <c r="Q597" s="214">
        <v>100</v>
      </c>
      <c r="R597" s="212" t="s">
        <v>445</v>
      </c>
      <c r="S597" s="212" t="s">
        <v>532</v>
      </c>
      <c r="T597" s="212" t="s">
        <v>445</v>
      </c>
      <c r="U597" s="212" t="s">
        <v>446</v>
      </c>
      <c r="V597" s="214" t="b">
        <v>1</v>
      </c>
      <c r="W597" s="214">
        <v>1989</v>
      </c>
      <c r="X597" s="214">
        <v>5</v>
      </c>
      <c r="Y597" s="214">
        <v>2</v>
      </c>
      <c r="Z597" s="214">
        <v>4</v>
      </c>
      <c r="AA597" s="212" t="s">
        <v>447</v>
      </c>
      <c r="AB597" s="212" t="s">
        <v>531</v>
      </c>
      <c r="AC597" s="212" t="s">
        <v>533</v>
      </c>
      <c r="AD597" s="214">
        <v>1.640296</v>
      </c>
      <c r="AE597" s="214">
        <v>136</v>
      </c>
      <c r="AF597" s="214">
        <v>0.51829999999999998</v>
      </c>
      <c r="AG597" s="214">
        <v>-99</v>
      </c>
      <c r="AH597" s="212" t="s">
        <v>224</v>
      </c>
      <c r="AI597" s="212" t="s">
        <v>449</v>
      </c>
      <c r="AJ597" s="212" t="s">
        <v>304</v>
      </c>
      <c r="AK597" s="212" t="s">
        <v>531</v>
      </c>
      <c r="AL597" s="212" t="s">
        <v>620</v>
      </c>
      <c r="AM597" s="214" t="b">
        <v>1</v>
      </c>
      <c r="AN597" s="214" t="b">
        <v>0</v>
      </c>
      <c r="AO597" s="212" t="s">
        <v>305</v>
      </c>
      <c r="AP597" s="212" t="s">
        <v>306</v>
      </c>
      <c r="AQ597" s="214">
        <v>86.175359999999998</v>
      </c>
      <c r="AR597" s="214" t="b">
        <v>0</v>
      </c>
      <c r="AS597" s="212" t="s">
        <v>534</v>
      </c>
      <c r="AU597" s="222" t="s">
        <v>819</v>
      </c>
    </row>
    <row r="598" spans="1:47" x14ac:dyDescent="0.25">
      <c r="A598" s="245">
        <f t="shared" si="78"/>
        <v>598</v>
      </c>
      <c r="B598" s="246" t="str">
        <f t="shared" si="84"/>
        <v>Oil Field - Tank</v>
      </c>
      <c r="C598" s="246" t="str">
        <f ca="1">IF(B598="","",VLOOKUP(D598,'Species Data'!B:E,4,FALSE))</f>
        <v>dimethhex23</v>
      </c>
      <c r="D598" s="246">
        <f t="shared" ca="1" si="79"/>
        <v>138</v>
      </c>
      <c r="E598" s="246">
        <f t="shared" ca="1" si="80"/>
        <v>6.4399999999999999E-2</v>
      </c>
      <c r="F598" s="246" t="str">
        <f t="shared" ca="1" si="81"/>
        <v>2,3-dimethylhexane</v>
      </c>
      <c r="G598" s="246">
        <f t="shared" ca="1" si="82"/>
        <v>114.22852</v>
      </c>
      <c r="H598" s="204">
        <f ca="1">IF(G598="","",IF(VLOOKUP(Tank!F598,'Species Data'!D:F,3,FALSE)=0,"X",IF(G598&lt;44.1,2,1)))</f>
        <v>1</v>
      </c>
      <c r="I598" s="204">
        <f t="shared" ca="1" si="83"/>
        <v>2.958028397072613E-2</v>
      </c>
      <c r="J598" s="247">
        <f ca="1">IF(I598="","",IF(COUNTIF($D$12:D598,D598)=1,IF(H598=1,I598*H598,IF(H598="X","X",0)),0))</f>
        <v>0</v>
      </c>
      <c r="K598" s="248">
        <f t="shared" ca="1" si="85"/>
        <v>0</v>
      </c>
      <c r="L598" s="212" t="s">
        <v>679</v>
      </c>
      <c r="M598" s="212" t="s">
        <v>448</v>
      </c>
      <c r="N598" s="212" t="s">
        <v>470</v>
      </c>
      <c r="O598" s="213">
        <v>41419</v>
      </c>
      <c r="P598" s="212" t="s">
        <v>531</v>
      </c>
      <c r="Q598" s="214">
        <v>100</v>
      </c>
      <c r="R598" s="212" t="s">
        <v>445</v>
      </c>
      <c r="S598" s="212" t="s">
        <v>532</v>
      </c>
      <c r="T598" s="212" t="s">
        <v>445</v>
      </c>
      <c r="U598" s="212" t="s">
        <v>446</v>
      </c>
      <c r="V598" s="214" t="b">
        <v>1</v>
      </c>
      <c r="W598" s="214">
        <v>1989</v>
      </c>
      <c r="X598" s="214">
        <v>5</v>
      </c>
      <c r="Y598" s="214">
        <v>2</v>
      </c>
      <c r="Z598" s="214">
        <v>4</v>
      </c>
      <c r="AA598" s="212" t="s">
        <v>447</v>
      </c>
      <c r="AB598" s="212" t="s">
        <v>531</v>
      </c>
      <c r="AC598" s="212" t="s">
        <v>533</v>
      </c>
      <c r="AD598" s="214">
        <v>1.640296</v>
      </c>
      <c r="AE598" s="214">
        <v>138</v>
      </c>
      <c r="AF598" s="214">
        <v>6.4399999999999999E-2</v>
      </c>
      <c r="AG598" s="214">
        <v>-99</v>
      </c>
      <c r="AH598" s="212" t="s">
        <v>224</v>
      </c>
      <c r="AI598" s="212" t="s">
        <v>449</v>
      </c>
      <c r="AJ598" s="212" t="s">
        <v>443</v>
      </c>
      <c r="AK598" s="212" t="s">
        <v>531</v>
      </c>
      <c r="AL598" s="212" t="s">
        <v>463</v>
      </c>
      <c r="AM598" s="214" t="b">
        <v>0</v>
      </c>
      <c r="AN598" s="214" t="b">
        <v>0</v>
      </c>
      <c r="AO598" s="212" t="s">
        <v>444</v>
      </c>
      <c r="AP598" s="212" t="s">
        <v>531</v>
      </c>
      <c r="AQ598" s="214">
        <v>114.22852</v>
      </c>
      <c r="AR598" s="214" t="b">
        <v>0</v>
      </c>
      <c r="AS598" s="212" t="s">
        <v>534</v>
      </c>
      <c r="AU598" s="222" t="s">
        <v>819</v>
      </c>
    </row>
    <row r="599" spans="1:47" x14ac:dyDescent="0.25">
      <c r="A599" s="245">
        <f t="shared" si="78"/>
        <v>599</v>
      </c>
      <c r="B599" s="246" t="str">
        <f t="shared" si="84"/>
        <v>Oil Field - Tank</v>
      </c>
      <c r="C599" s="246" t="str">
        <f ca="1">IF(B599="","",VLOOKUP(D599,'Species Data'!B:E,4,FALSE))</f>
        <v>dimetpen3</v>
      </c>
      <c r="D599" s="246">
        <f t="shared" ca="1" si="79"/>
        <v>140</v>
      </c>
      <c r="E599" s="246">
        <f t="shared" ca="1" si="80"/>
        <v>0.47</v>
      </c>
      <c r="F599" s="246" t="str">
        <f t="shared" ca="1" si="81"/>
        <v>2,3-dimethylpentane</v>
      </c>
      <c r="G599" s="246">
        <f t="shared" ca="1" si="82"/>
        <v>100.20194000000001</v>
      </c>
      <c r="H599" s="204">
        <f ca="1">IF(G599="","",IF(VLOOKUP(Tank!F599,'Species Data'!D:F,3,FALSE)=0,"X",IF(G599&lt;44.1,2,1)))</f>
        <v>1</v>
      </c>
      <c r="I599" s="204">
        <f t="shared" ca="1" si="83"/>
        <v>0.24488235087056845</v>
      </c>
      <c r="J599" s="247">
        <f ca="1">IF(I599="","",IF(COUNTIF($D$12:D599,D599)=1,IF(H599=1,I599*H599,IF(H599="X","X",0)),0))</f>
        <v>0</v>
      </c>
      <c r="K599" s="248">
        <f t="shared" ca="1" si="85"/>
        <v>0</v>
      </c>
      <c r="L599" s="212" t="s">
        <v>679</v>
      </c>
      <c r="M599" s="212" t="s">
        <v>448</v>
      </c>
      <c r="N599" s="212" t="s">
        <v>470</v>
      </c>
      <c r="O599" s="213">
        <v>41419</v>
      </c>
      <c r="P599" s="212" t="s">
        <v>531</v>
      </c>
      <c r="Q599" s="214">
        <v>100</v>
      </c>
      <c r="R599" s="212" t="s">
        <v>445</v>
      </c>
      <c r="S599" s="212" t="s">
        <v>532</v>
      </c>
      <c r="T599" s="212" t="s">
        <v>445</v>
      </c>
      <c r="U599" s="212" t="s">
        <v>446</v>
      </c>
      <c r="V599" s="214" t="b">
        <v>1</v>
      </c>
      <c r="W599" s="214">
        <v>1989</v>
      </c>
      <c r="X599" s="214">
        <v>5</v>
      </c>
      <c r="Y599" s="214">
        <v>2</v>
      </c>
      <c r="Z599" s="214">
        <v>4</v>
      </c>
      <c r="AA599" s="212" t="s">
        <v>447</v>
      </c>
      <c r="AB599" s="212" t="s">
        <v>531</v>
      </c>
      <c r="AC599" s="212" t="s">
        <v>533</v>
      </c>
      <c r="AD599" s="214">
        <v>1.640296</v>
      </c>
      <c r="AE599" s="214">
        <v>140</v>
      </c>
      <c r="AF599" s="214">
        <v>0.47</v>
      </c>
      <c r="AG599" s="214">
        <v>-99</v>
      </c>
      <c r="AH599" s="212" t="s">
        <v>224</v>
      </c>
      <c r="AI599" s="212" t="s">
        <v>449</v>
      </c>
      <c r="AJ599" s="212" t="s">
        <v>307</v>
      </c>
      <c r="AK599" s="212" t="s">
        <v>531</v>
      </c>
      <c r="AL599" s="212" t="s">
        <v>385</v>
      </c>
      <c r="AM599" s="214" t="b">
        <v>1</v>
      </c>
      <c r="AN599" s="214" t="b">
        <v>0</v>
      </c>
      <c r="AO599" s="212" t="s">
        <v>308</v>
      </c>
      <c r="AP599" s="212" t="s">
        <v>309</v>
      </c>
      <c r="AQ599" s="214">
        <v>100.20194000000001</v>
      </c>
      <c r="AR599" s="214" t="b">
        <v>0</v>
      </c>
      <c r="AS599" s="212" t="s">
        <v>534</v>
      </c>
      <c r="AU599" s="222" t="s">
        <v>819</v>
      </c>
    </row>
    <row r="600" spans="1:47" x14ac:dyDescent="0.25">
      <c r="A600" s="245">
        <f t="shared" si="78"/>
        <v>600</v>
      </c>
      <c r="B600" s="246" t="str">
        <f t="shared" si="84"/>
        <v>Oil Field - Tank</v>
      </c>
      <c r="C600" s="246" t="str">
        <f ca="1">IF(B600="","",VLOOKUP(D600,'Species Data'!B:E,4,FALSE))</f>
        <v>dimethhex24</v>
      </c>
      <c r="D600" s="246">
        <f t="shared" ca="1" si="79"/>
        <v>149</v>
      </c>
      <c r="E600" s="246">
        <f t="shared" ca="1" si="80"/>
        <v>0.37609999999999999</v>
      </c>
      <c r="F600" s="246" t="str">
        <f t="shared" ca="1" si="81"/>
        <v>2,4-dimethylhexane</v>
      </c>
      <c r="G600" s="246">
        <f t="shared" ca="1" si="82"/>
        <v>114.22852</v>
      </c>
      <c r="H600" s="204">
        <f ca="1">IF(G600="","",IF(VLOOKUP(Tank!F600,'Species Data'!D:F,3,FALSE)=0,"X",IF(G600&lt;44.1,2,1)))</f>
        <v>1</v>
      </c>
      <c r="I600" s="204">
        <f t="shared" ca="1" si="83"/>
        <v>6.6793974555489091E-2</v>
      </c>
      <c r="J600" s="247">
        <f ca="1">IF(I600="","",IF(COUNTIF($D$12:D600,D600)=1,IF(H600=1,I600*H600,IF(H600="X","X",0)),0))</f>
        <v>0</v>
      </c>
      <c r="K600" s="248">
        <f t="shared" ca="1" si="85"/>
        <v>0</v>
      </c>
      <c r="L600" s="212" t="s">
        <v>679</v>
      </c>
      <c r="M600" s="212" t="s">
        <v>448</v>
      </c>
      <c r="N600" s="212" t="s">
        <v>470</v>
      </c>
      <c r="O600" s="213">
        <v>41419</v>
      </c>
      <c r="P600" s="212" t="s">
        <v>531</v>
      </c>
      <c r="Q600" s="214">
        <v>100</v>
      </c>
      <c r="R600" s="212" t="s">
        <v>445</v>
      </c>
      <c r="S600" s="212" t="s">
        <v>532</v>
      </c>
      <c r="T600" s="212" t="s">
        <v>445</v>
      </c>
      <c r="U600" s="212" t="s">
        <v>446</v>
      </c>
      <c r="V600" s="214" t="b">
        <v>1</v>
      </c>
      <c r="W600" s="214">
        <v>1989</v>
      </c>
      <c r="X600" s="214">
        <v>5</v>
      </c>
      <c r="Y600" s="214">
        <v>2</v>
      </c>
      <c r="Z600" s="214">
        <v>4</v>
      </c>
      <c r="AA600" s="212" t="s">
        <v>447</v>
      </c>
      <c r="AB600" s="212" t="s">
        <v>531</v>
      </c>
      <c r="AC600" s="212" t="s">
        <v>533</v>
      </c>
      <c r="AD600" s="214">
        <v>1.640296</v>
      </c>
      <c r="AE600" s="214">
        <v>149</v>
      </c>
      <c r="AF600" s="214">
        <v>0.37609999999999999</v>
      </c>
      <c r="AG600" s="214">
        <v>-99</v>
      </c>
      <c r="AH600" s="212" t="s">
        <v>224</v>
      </c>
      <c r="AI600" s="212" t="s">
        <v>449</v>
      </c>
      <c r="AJ600" s="212" t="s">
        <v>427</v>
      </c>
      <c r="AK600" s="212" t="s">
        <v>531</v>
      </c>
      <c r="AL600" s="212" t="s">
        <v>457</v>
      </c>
      <c r="AM600" s="214" t="b">
        <v>0</v>
      </c>
      <c r="AN600" s="214" t="b">
        <v>0</v>
      </c>
      <c r="AO600" s="212" t="s">
        <v>428</v>
      </c>
      <c r="AP600" s="212" t="s">
        <v>429</v>
      </c>
      <c r="AQ600" s="214">
        <v>114.22852</v>
      </c>
      <c r="AR600" s="214" t="b">
        <v>0</v>
      </c>
      <c r="AS600" s="212" t="s">
        <v>534</v>
      </c>
      <c r="AU600" s="222" t="s">
        <v>819</v>
      </c>
    </row>
    <row r="601" spans="1:47" x14ac:dyDescent="0.25">
      <c r="A601" s="245">
        <f t="shared" si="78"/>
        <v>601</v>
      </c>
      <c r="B601" s="246" t="str">
        <f t="shared" si="84"/>
        <v>Oil Field - Tank</v>
      </c>
      <c r="C601" s="246" t="str">
        <f ca="1">IF(B601="","",VLOOKUP(D601,'Species Data'!B:E,4,FALSE))</f>
        <v>dimetpen4</v>
      </c>
      <c r="D601" s="246">
        <f t="shared" ca="1" si="79"/>
        <v>152</v>
      </c>
      <c r="E601" s="246">
        <f t="shared" ca="1" si="80"/>
        <v>0.16569999999999999</v>
      </c>
      <c r="F601" s="246" t="str">
        <f t="shared" ca="1" si="81"/>
        <v>2,4-dimethylpentane</v>
      </c>
      <c r="G601" s="246">
        <f t="shared" ca="1" si="82"/>
        <v>100.20194000000001</v>
      </c>
      <c r="H601" s="204">
        <f ca="1">IF(G601="","",IF(VLOOKUP(Tank!F601,'Species Data'!D:F,3,FALSE)=0,"X",IF(G601&lt;44.1,2,1)))</f>
        <v>1</v>
      </c>
      <c r="I601" s="204">
        <f t="shared" ca="1" si="83"/>
        <v>7.947409628465768E-2</v>
      </c>
      <c r="J601" s="247">
        <f ca="1">IF(I601="","",IF(COUNTIF($D$12:D601,D601)=1,IF(H601=1,I601*H601,IF(H601="X","X",0)),0))</f>
        <v>0</v>
      </c>
      <c r="K601" s="248">
        <f t="shared" ca="1" si="85"/>
        <v>0</v>
      </c>
      <c r="L601" s="212" t="s">
        <v>679</v>
      </c>
      <c r="M601" s="212" t="s">
        <v>448</v>
      </c>
      <c r="N601" s="212" t="s">
        <v>470</v>
      </c>
      <c r="O601" s="213">
        <v>41419</v>
      </c>
      <c r="P601" s="212" t="s">
        <v>531</v>
      </c>
      <c r="Q601" s="214">
        <v>100</v>
      </c>
      <c r="R601" s="212" t="s">
        <v>445</v>
      </c>
      <c r="S601" s="212" t="s">
        <v>532</v>
      </c>
      <c r="T601" s="212" t="s">
        <v>445</v>
      </c>
      <c r="U601" s="212" t="s">
        <v>446</v>
      </c>
      <c r="V601" s="214" t="b">
        <v>1</v>
      </c>
      <c r="W601" s="214">
        <v>1989</v>
      </c>
      <c r="X601" s="214">
        <v>5</v>
      </c>
      <c r="Y601" s="214">
        <v>2</v>
      </c>
      <c r="Z601" s="214">
        <v>4</v>
      </c>
      <c r="AA601" s="212" t="s">
        <v>447</v>
      </c>
      <c r="AB601" s="212" t="s">
        <v>531</v>
      </c>
      <c r="AC601" s="212" t="s">
        <v>533</v>
      </c>
      <c r="AD601" s="214">
        <v>1.640296</v>
      </c>
      <c r="AE601" s="214">
        <v>152</v>
      </c>
      <c r="AF601" s="214">
        <v>0.16569999999999999</v>
      </c>
      <c r="AG601" s="214">
        <v>-99</v>
      </c>
      <c r="AH601" s="212" t="s">
        <v>224</v>
      </c>
      <c r="AI601" s="212" t="s">
        <v>449</v>
      </c>
      <c r="AJ601" s="212" t="s">
        <v>310</v>
      </c>
      <c r="AK601" s="212" t="s">
        <v>531</v>
      </c>
      <c r="AL601" s="212" t="s">
        <v>386</v>
      </c>
      <c r="AM601" s="214" t="b">
        <v>1</v>
      </c>
      <c r="AN601" s="214" t="b">
        <v>0</v>
      </c>
      <c r="AO601" s="212" t="s">
        <v>311</v>
      </c>
      <c r="AP601" s="212" t="s">
        <v>312</v>
      </c>
      <c r="AQ601" s="214">
        <v>100.20194000000001</v>
      </c>
      <c r="AR601" s="214" t="b">
        <v>0</v>
      </c>
      <c r="AS601" s="212" t="s">
        <v>534</v>
      </c>
      <c r="AU601" s="222" t="s">
        <v>819</v>
      </c>
    </row>
    <row r="602" spans="1:47" x14ac:dyDescent="0.25">
      <c r="A602" s="245">
        <f t="shared" si="78"/>
        <v>602</v>
      </c>
      <c r="B602" s="246" t="str">
        <f t="shared" si="84"/>
        <v>Oil Field - Tank</v>
      </c>
      <c r="C602" s="246" t="str">
        <f ca="1">IF(B602="","",VLOOKUP(D602,'Species Data'!B:E,4,FALSE))</f>
        <v>methep2</v>
      </c>
      <c r="D602" s="246">
        <f t="shared" ca="1" si="79"/>
        <v>193</v>
      </c>
      <c r="E602" s="246">
        <f t="shared" ca="1" si="80"/>
        <v>9.11E-2</v>
      </c>
      <c r="F602" s="246" t="str">
        <f t="shared" ca="1" si="81"/>
        <v>2-methylheptane</v>
      </c>
      <c r="G602" s="246">
        <f t="shared" ca="1" si="82"/>
        <v>114.22852</v>
      </c>
      <c r="H602" s="204">
        <f ca="1">IF(G602="","",IF(VLOOKUP(Tank!F602,'Species Data'!D:F,3,FALSE)=0,"X",IF(G602&lt;44.1,2,1)))</f>
        <v>1</v>
      </c>
      <c r="I602" s="204">
        <f t="shared" ca="1" si="83"/>
        <v>0.11845447049625013</v>
      </c>
      <c r="J602" s="247">
        <f ca="1">IF(I602="","",IF(COUNTIF($D$12:D602,D602)=1,IF(H602=1,I602*H602,IF(H602="X","X",0)),0))</f>
        <v>0</v>
      </c>
      <c r="K602" s="248">
        <f t="shared" ca="1" si="85"/>
        <v>0</v>
      </c>
      <c r="L602" s="212" t="s">
        <v>679</v>
      </c>
      <c r="M602" s="212" t="s">
        <v>448</v>
      </c>
      <c r="N602" s="212" t="s">
        <v>470</v>
      </c>
      <c r="O602" s="213">
        <v>41419</v>
      </c>
      <c r="P602" s="212" t="s">
        <v>531</v>
      </c>
      <c r="Q602" s="214">
        <v>100</v>
      </c>
      <c r="R602" s="212" t="s">
        <v>445</v>
      </c>
      <c r="S602" s="212" t="s">
        <v>532</v>
      </c>
      <c r="T602" s="212" t="s">
        <v>445</v>
      </c>
      <c r="U602" s="212" t="s">
        <v>446</v>
      </c>
      <c r="V602" s="214" t="b">
        <v>1</v>
      </c>
      <c r="W602" s="214">
        <v>1989</v>
      </c>
      <c r="X602" s="214">
        <v>5</v>
      </c>
      <c r="Y602" s="214">
        <v>2</v>
      </c>
      <c r="Z602" s="214">
        <v>4</v>
      </c>
      <c r="AA602" s="212" t="s">
        <v>447</v>
      </c>
      <c r="AB602" s="212" t="s">
        <v>531</v>
      </c>
      <c r="AC602" s="212" t="s">
        <v>533</v>
      </c>
      <c r="AD602" s="214">
        <v>1.640296</v>
      </c>
      <c r="AE602" s="214">
        <v>193</v>
      </c>
      <c r="AF602" s="214">
        <v>9.11E-2</v>
      </c>
      <c r="AG602" s="214">
        <v>-99</v>
      </c>
      <c r="AH602" s="212" t="s">
        <v>224</v>
      </c>
      <c r="AI602" s="212" t="s">
        <v>449</v>
      </c>
      <c r="AJ602" s="212" t="s">
        <v>313</v>
      </c>
      <c r="AK602" s="212" t="s">
        <v>531</v>
      </c>
      <c r="AL602" s="212" t="s">
        <v>387</v>
      </c>
      <c r="AM602" s="214" t="b">
        <v>1</v>
      </c>
      <c r="AN602" s="214" t="b">
        <v>0</v>
      </c>
      <c r="AO602" s="212" t="s">
        <v>314</v>
      </c>
      <c r="AP602" s="212" t="s">
        <v>315</v>
      </c>
      <c r="AQ602" s="214">
        <v>114.22852</v>
      </c>
      <c r="AR602" s="214" t="b">
        <v>0</v>
      </c>
      <c r="AS602" s="212" t="s">
        <v>534</v>
      </c>
      <c r="AU602" s="222" t="s">
        <v>819</v>
      </c>
    </row>
    <row r="603" spans="1:47" x14ac:dyDescent="0.25">
      <c r="A603" s="245">
        <f t="shared" si="78"/>
        <v>603</v>
      </c>
      <c r="B603" s="246" t="str">
        <f t="shared" si="84"/>
        <v>Oil Field - Tank</v>
      </c>
      <c r="C603" s="246" t="str">
        <f ca="1">IF(B603="","",VLOOKUP(D603,'Species Data'!B:E,4,FALSE))</f>
        <v>twomethex</v>
      </c>
      <c r="D603" s="246">
        <f t="shared" ca="1" si="79"/>
        <v>194</v>
      </c>
      <c r="E603" s="246">
        <f t="shared" ca="1" si="80"/>
        <v>0.65200000000000002</v>
      </c>
      <c r="F603" s="246" t="str">
        <f t="shared" ca="1" si="81"/>
        <v>2-methylhexane</v>
      </c>
      <c r="G603" s="246">
        <f t="shared" ca="1" si="82"/>
        <v>100.20194000000001</v>
      </c>
      <c r="H603" s="204">
        <f ca="1">IF(G603="","",IF(VLOOKUP(Tank!F603,'Species Data'!D:F,3,FALSE)=0,"X",IF(G603&lt;44.1,2,1)))</f>
        <v>1</v>
      </c>
      <c r="I603" s="204">
        <f t="shared" ca="1" si="83"/>
        <v>0.30248957056654424</v>
      </c>
      <c r="J603" s="247">
        <f ca="1">IF(I603="","",IF(COUNTIF($D$12:D603,D603)=1,IF(H603=1,I603*H603,IF(H603="X","X",0)),0))</f>
        <v>0</v>
      </c>
      <c r="K603" s="248">
        <f t="shared" ca="1" si="85"/>
        <v>0</v>
      </c>
      <c r="L603" s="212" t="s">
        <v>679</v>
      </c>
      <c r="M603" s="212" t="s">
        <v>448</v>
      </c>
      <c r="N603" s="212" t="s">
        <v>470</v>
      </c>
      <c r="O603" s="213">
        <v>41419</v>
      </c>
      <c r="P603" s="212" t="s">
        <v>531</v>
      </c>
      <c r="Q603" s="214">
        <v>100</v>
      </c>
      <c r="R603" s="212" t="s">
        <v>445</v>
      </c>
      <c r="S603" s="212" t="s">
        <v>532</v>
      </c>
      <c r="T603" s="212" t="s">
        <v>445</v>
      </c>
      <c r="U603" s="212" t="s">
        <v>446</v>
      </c>
      <c r="V603" s="214" t="b">
        <v>1</v>
      </c>
      <c r="W603" s="214">
        <v>1989</v>
      </c>
      <c r="X603" s="214">
        <v>5</v>
      </c>
      <c r="Y603" s="214">
        <v>2</v>
      </c>
      <c r="Z603" s="214">
        <v>4</v>
      </c>
      <c r="AA603" s="212" t="s">
        <v>447</v>
      </c>
      <c r="AB603" s="212" t="s">
        <v>531</v>
      </c>
      <c r="AC603" s="212" t="s">
        <v>533</v>
      </c>
      <c r="AD603" s="214">
        <v>1.640296</v>
      </c>
      <c r="AE603" s="214">
        <v>194</v>
      </c>
      <c r="AF603" s="214">
        <v>0.65200000000000002</v>
      </c>
      <c r="AG603" s="214">
        <v>-99</v>
      </c>
      <c r="AH603" s="212" t="s">
        <v>224</v>
      </c>
      <c r="AI603" s="212" t="s">
        <v>449</v>
      </c>
      <c r="AJ603" s="212" t="s">
        <v>316</v>
      </c>
      <c r="AK603" s="212" t="s">
        <v>531</v>
      </c>
      <c r="AL603" s="212" t="s">
        <v>388</v>
      </c>
      <c r="AM603" s="214" t="b">
        <v>1</v>
      </c>
      <c r="AN603" s="214" t="b">
        <v>0</v>
      </c>
      <c r="AO603" s="212" t="s">
        <v>317</v>
      </c>
      <c r="AP603" s="212" t="s">
        <v>318</v>
      </c>
      <c r="AQ603" s="214">
        <v>100.20194000000001</v>
      </c>
      <c r="AR603" s="214" t="b">
        <v>0</v>
      </c>
      <c r="AS603" s="212" t="s">
        <v>534</v>
      </c>
      <c r="AU603" s="222" t="s">
        <v>819</v>
      </c>
    </row>
    <row r="604" spans="1:47" x14ac:dyDescent="0.25">
      <c r="A604" s="245">
        <f t="shared" si="78"/>
        <v>604</v>
      </c>
      <c r="B604" s="246" t="str">
        <f t="shared" si="84"/>
        <v>Oil Field - Tank</v>
      </c>
      <c r="C604" s="246" t="str">
        <f ca="1">IF(B604="","",VLOOKUP(D604,'Species Data'!B:E,4,FALSE))</f>
        <v>twometpen</v>
      </c>
      <c r="D604" s="246">
        <f t="shared" ca="1" si="79"/>
        <v>199</v>
      </c>
      <c r="E604" s="246">
        <f t="shared" ca="1" si="80"/>
        <v>0.64510000000000001</v>
      </c>
      <c r="F604" s="246" t="str">
        <f t="shared" ca="1" si="81"/>
        <v>2-methylpentane (isohexane)</v>
      </c>
      <c r="G604" s="246">
        <f t="shared" ca="1" si="82"/>
        <v>86.175359999999998</v>
      </c>
      <c r="H604" s="204">
        <f ca="1">IF(G604="","",IF(VLOOKUP(Tank!F604,'Species Data'!D:F,3,FALSE)=0,"X",IF(G604&lt;44.1,2,1)))</f>
        <v>1</v>
      </c>
      <c r="I604" s="204">
        <f t="shared" ca="1" si="83"/>
        <v>0.93120227287515311</v>
      </c>
      <c r="J604" s="247">
        <f ca="1">IF(I604="","",IF(COUNTIF($D$12:D604,D604)=1,IF(H604=1,I604*H604,IF(H604="X","X",0)),0))</f>
        <v>0</v>
      </c>
      <c r="K604" s="248">
        <f t="shared" ca="1" si="85"/>
        <v>0</v>
      </c>
      <c r="L604" s="212" t="s">
        <v>679</v>
      </c>
      <c r="M604" s="212" t="s">
        <v>448</v>
      </c>
      <c r="N604" s="212" t="s">
        <v>470</v>
      </c>
      <c r="O604" s="213">
        <v>41419</v>
      </c>
      <c r="P604" s="212" t="s">
        <v>531</v>
      </c>
      <c r="Q604" s="214">
        <v>100</v>
      </c>
      <c r="R604" s="212" t="s">
        <v>445</v>
      </c>
      <c r="S604" s="212" t="s">
        <v>532</v>
      </c>
      <c r="T604" s="212" t="s">
        <v>445</v>
      </c>
      <c r="U604" s="212" t="s">
        <v>446</v>
      </c>
      <c r="V604" s="214" t="b">
        <v>1</v>
      </c>
      <c r="W604" s="214">
        <v>1989</v>
      </c>
      <c r="X604" s="214">
        <v>5</v>
      </c>
      <c r="Y604" s="214">
        <v>2</v>
      </c>
      <c r="Z604" s="214">
        <v>4</v>
      </c>
      <c r="AA604" s="212" t="s">
        <v>447</v>
      </c>
      <c r="AB604" s="212" t="s">
        <v>531</v>
      </c>
      <c r="AC604" s="212" t="s">
        <v>533</v>
      </c>
      <c r="AD604" s="214">
        <v>1.640296</v>
      </c>
      <c r="AE604" s="214">
        <v>199</v>
      </c>
      <c r="AF604" s="214">
        <v>0.64510000000000001</v>
      </c>
      <c r="AG604" s="214">
        <v>-99</v>
      </c>
      <c r="AH604" s="212" t="s">
        <v>224</v>
      </c>
      <c r="AI604" s="212" t="s">
        <v>449</v>
      </c>
      <c r="AJ604" s="212" t="s">
        <v>319</v>
      </c>
      <c r="AK604" s="212" t="s">
        <v>531</v>
      </c>
      <c r="AL604" s="212" t="s">
        <v>389</v>
      </c>
      <c r="AM604" s="214" t="b">
        <v>1</v>
      </c>
      <c r="AN604" s="214" t="b">
        <v>0</v>
      </c>
      <c r="AO604" s="212" t="s">
        <v>320</v>
      </c>
      <c r="AP604" s="212" t="s">
        <v>321</v>
      </c>
      <c r="AQ604" s="214">
        <v>86.175359999999998</v>
      </c>
      <c r="AR604" s="214" t="b">
        <v>0</v>
      </c>
      <c r="AS604" s="212" t="s">
        <v>534</v>
      </c>
      <c r="AU604" s="222" t="s">
        <v>819</v>
      </c>
    </row>
    <row r="605" spans="1:47" x14ac:dyDescent="0.25">
      <c r="A605" s="245">
        <f t="shared" si="78"/>
        <v>605</v>
      </c>
      <c r="B605" s="246" t="str">
        <f t="shared" si="84"/>
        <v>Oil Field - Tank</v>
      </c>
      <c r="C605" s="246" t="str">
        <f ca="1">IF(B605="","",VLOOKUP(D605,'Species Data'!B:E,4,FALSE))</f>
        <v>ethylhexane</v>
      </c>
      <c r="D605" s="246">
        <f t="shared" ca="1" si="79"/>
        <v>226</v>
      </c>
      <c r="E605" s="246">
        <f t="shared" ca="1" si="80"/>
        <v>0.25640000000000002</v>
      </c>
      <c r="F605" s="246" t="str">
        <f t="shared" ca="1" si="81"/>
        <v>3-ethylhexane</v>
      </c>
      <c r="G605" s="246">
        <f t="shared" ca="1" si="82"/>
        <v>114.22852</v>
      </c>
      <c r="H605" s="204" t="str">
        <f ca="1">IF(G605="","",IF(VLOOKUP(Tank!F605,'Species Data'!D:F,3,FALSE)=0,"X",IF(G605&lt;44.1,2,1)))</f>
        <v>X</v>
      </c>
      <c r="I605" s="204">
        <f t="shared" ca="1" si="83"/>
        <v>9.0107531698970997E-2</v>
      </c>
      <c r="J605" s="247">
        <f ca="1">IF(I605="","",IF(COUNTIF($D$12:D605,D605)=1,IF(H605=1,I605*H605,IF(H605="X","X",0)),0))</f>
        <v>0</v>
      </c>
      <c r="K605" s="248">
        <f t="shared" ca="1" si="85"/>
        <v>0</v>
      </c>
      <c r="L605" s="212" t="s">
        <v>679</v>
      </c>
      <c r="M605" s="212" t="s">
        <v>448</v>
      </c>
      <c r="N605" s="212" t="s">
        <v>470</v>
      </c>
      <c r="O605" s="213">
        <v>41419</v>
      </c>
      <c r="P605" s="212" t="s">
        <v>531</v>
      </c>
      <c r="Q605" s="214">
        <v>100</v>
      </c>
      <c r="R605" s="212" t="s">
        <v>445</v>
      </c>
      <c r="S605" s="212" t="s">
        <v>532</v>
      </c>
      <c r="T605" s="212" t="s">
        <v>445</v>
      </c>
      <c r="U605" s="212" t="s">
        <v>446</v>
      </c>
      <c r="V605" s="214" t="b">
        <v>1</v>
      </c>
      <c r="W605" s="214">
        <v>1989</v>
      </c>
      <c r="X605" s="214">
        <v>5</v>
      </c>
      <c r="Y605" s="214">
        <v>2</v>
      </c>
      <c r="Z605" s="214">
        <v>4</v>
      </c>
      <c r="AA605" s="212" t="s">
        <v>447</v>
      </c>
      <c r="AB605" s="212" t="s">
        <v>531</v>
      </c>
      <c r="AC605" s="212" t="s">
        <v>533</v>
      </c>
      <c r="AD605" s="214">
        <v>1.640296</v>
      </c>
      <c r="AE605" s="214">
        <v>226</v>
      </c>
      <c r="AF605" s="214">
        <v>0.25640000000000002</v>
      </c>
      <c r="AG605" s="214">
        <v>-99</v>
      </c>
      <c r="AH605" s="212" t="s">
        <v>224</v>
      </c>
      <c r="AI605" s="212" t="s">
        <v>449</v>
      </c>
      <c r="AJ605" s="212" t="s">
        <v>439</v>
      </c>
      <c r="AK605" s="212" t="s">
        <v>531</v>
      </c>
      <c r="AL605" s="212" t="s">
        <v>461</v>
      </c>
      <c r="AM605" s="214" t="b">
        <v>0</v>
      </c>
      <c r="AN605" s="214" t="b">
        <v>0</v>
      </c>
      <c r="AO605" s="212" t="s">
        <v>440</v>
      </c>
      <c r="AP605" s="212" t="s">
        <v>531</v>
      </c>
      <c r="AQ605" s="214">
        <v>114.22852</v>
      </c>
      <c r="AR605" s="214" t="b">
        <v>0</v>
      </c>
      <c r="AS605" s="212" t="s">
        <v>534</v>
      </c>
      <c r="AU605" s="222" t="s">
        <v>819</v>
      </c>
    </row>
    <row r="606" spans="1:47" x14ac:dyDescent="0.25">
      <c r="A606" s="245">
        <f t="shared" si="78"/>
        <v>606</v>
      </c>
      <c r="B606" s="246" t="str">
        <f t="shared" si="84"/>
        <v>Oil Field - Tank</v>
      </c>
      <c r="C606" s="246" t="str">
        <f ca="1">IF(B606="","",VLOOKUP(D606,'Species Data'!B:E,4,FALSE))</f>
        <v>threemethex</v>
      </c>
      <c r="D606" s="246">
        <f t="shared" ca="1" si="79"/>
        <v>245</v>
      </c>
      <c r="E606" s="246">
        <f t="shared" ca="1" si="80"/>
        <v>0.94650000000000001</v>
      </c>
      <c r="F606" s="246" t="str">
        <f t="shared" ca="1" si="81"/>
        <v>3-methylhexane</v>
      </c>
      <c r="G606" s="246">
        <f t="shared" ca="1" si="82"/>
        <v>100.20194000000001</v>
      </c>
      <c r="H606" s="204">
        <f ca="1">IF(G606="","",IF(VLOOKUP(Tank!F606,'Species Data'!D:F,3,FALSE)=0,"X",IF(G606&lt;44.1,2,1)))</f>
        <v>1</v>
      </c>
      <c r="I606" s="204">
        <f t="shared" ca="1" si="83"/>
        <v>0.33724323753508045</v>
      </c>
      <c r="J606" s="247">
        <f ca="1">IF(I606="","",IF(COUNTIF($D$12:D606,D606)=1,IF(H606=1,I606*H606,IF(H606="X","X",0)),0))</f>
        <v>0</v>
      </c>
      <c r="K606" s="248">
        <f t="shared" ca="1" si="85"/>
        <v>0</v>
      </c>
      <c r="L606" s="212" t="s">
        <v>679</v>
      </c>
      <c r="M606" s="212" t="s">
        <v>448</v>
      </c>
      <c r="N606" s="212" t="s">
        <v>470</v>
      </c>
      <c r="O606" s="213">
        <v>41419</v>
      </c>
      <c r="P606" s="212" t="s">
        <v>531</v>
      </c>
      <c r="Q606" s="214">
        <v>100</v>
      </c>
      <c r="R606" s="212" t="s">
        <v>445</v>
      </c>
      <c r="S606" s="212" t="s">
        <v>532</v>
      </c>
      <c r="T606" s="212" t="s">
        <v>445</v>
      </c>
      <c r="U606" s="212" t="s">
        <v>446</v>
      </c>
      <c r="V606" s="214" t="b">
        <v>1</v>
      </c>
      <c r="W606" s="214">
        <v>1989</v>
      </c>
      <c r="X606" s="214">
        <v>5</v>
      </c>
      <c r="Y606" s="214">
        <v>2</v>
      </c>
      <c r="Z606" s="214">
        <v>4</v>
      </c>
      <c r="AA606" s="212" t="s">
        <v>447</v>
      </c>
      <c r="AB606" s="212" t="s">
        <v>531</v>
      </c>
      <c r="AC606" s="212" t="s">
        <v>533</v>
      </c>
      <c r="AD606" s="214">
        <v>1.640296</v>
      </c>
      <c r="AE606" s="214">
        <v>245</v>
      </c>
      <c r="AF606" s="214">
        <v>0.94650000000000001</v>
      </c>
      <c r="AG606" s="214">
        <v>-99</v>
      </c>
      <c r="AH606" s="212" t="s">
        <v>224</v>
      </c>
      <c r="AI606" s="212" t="s">
        <v>449</v>
      </c>
      <c r="AJ606" s="212" t="s">
        <v>325</v>
      </c>
      <c r="AK606" s="212" t="s">
        <v>531</v>
      </c>
      <c r="AL606" s="212" t="s">
        <v>390</v>
      </c>
      <c r="AM606" s="214" t="b">
        <v>1</v>
      </c>
      <c r="AN606" s="214" t="b">
        <v>0</v>
      </c>
      <c r="AO606" s="212" t="s">
        <v>326</v>
      </c>
      <c r="AP606" s="212" t="s">
        <v>327</v>
      </c>
      <c r="AQ606" s="214">
        <v>100.20194000000001</v>
      </c>
      <c r="AR606" s="214" t="b">
        <v>0</v>
      </c>
      <c r="AS606" s="212" t="s">
        <v>534</v>
      </c>
      <c r="AU606" s="222" t="s">
        <v>819</v>
      </c>
    </row>
    <row r="607" spans="1:47" x14ac:dyDescent="0.25">
      <c r="A607" s="245">
        <f t="shared" si="78"/>
        <v>607</v>
      </c>
      <c r="B607" s="246" t="str">
        <f t="shared" si="84"/>
        <v>Oil Field - Tank</v>
      </c>
      <c r="C607" s="246" t="str">
        <f ca="1">IF(B607="","",VLOOKUP(D607,'Species Data'!B:E,4,FALSE))</f>
        <v>threemetpen</v>
      </c>
      <c r="D607" s="246">
        <f t="shared" ca="1" si="79"/>
        <v>248</v>
      </c>
      <c r="E607" s="246">
        <f t="shared" ca="1" si="80"/>
        <v>0.83</v>
      </c>
      <c r="F607" s="246" t="str">
        <f t="shared" ca="1" si="81"/>
        <v>3-methylpentane</v>
      </c>
      <c r="G607" s="246">
        <f t="shared" ca="1" si="82"/>
        <v>86.175359999999998</v>
      </c>
      <c r="H607" s="204">
        <f ca="1">IF(G607="","",IF(VLOOKUP(Tank!F607,'Species Data'!D:F,3,FALSE)=0,"X",IF(G607&lt;44.1,2,1)))</f>
        <v>1</v>
      </c>
      <c r="I607" s="204">
        <f t="shared" ca="1" si="83"/>
        <v>0.72479362468546382</v>
      </c>
      <c r="J607" s="247">
        <f ca="1">IF(I607="","",IF(COUNTIF($D$12:D607,D607)=1,IF(H607=1,I607*H607,IF(H607="X","X",0)),0))</f>
        <v>0</v>
      </c>
      <c r="K607" s="248">
        <f t="shared" ca="1" si="85"/>
        <v>0</v>
      </c>
      <c r="L607" s="212" t="s">
        <v>679</v>
      </c>
      <c r="M607" s="212" t="s">
        <v>448</v>
      </c>
      <c r="N607" s="212" t="s">
        <v>470</v>
      </c>
      <c r="O607" s="213">
        <v>41419</v>
      </c>
      <c r="P607" s="212" t="s">
        <v>531</v>
      </c>
      <c r="Q607" s="214">
        <v>100</v>
      </c>
      <c r="R607" s="212" t="s">
        <v>445</v>
      </c>
      <c r="S607" s="212" t="s">
        <v>532</v>
      </c>
      <c r="T607" s="212" t="s">
        <v>445</v>
      </c>
      <c r="U607" s="212" t="s">
        <v>446</v>
      </c>
      <c r="V607" s="214" t="b">
        <v>1</v>
      </c>
      <c r="W607" s="214">
        <v>1989</v>
      </c>
      <c r="X607" s="214">
        <v>5</v>
      </c>
      <c r="Y607" s="214">
        <v>2</v>
      </c>
      <c r="Z607" s="214">
        <v>4</v>
      </c>
      <c r="AA607" s="212" t="s">
        <v>447</v>
      </c>
      <c r="AB607" s="212" t="s">
        <v>531</v>
      </c>
      <c r="AC607" s="212" t="s">
        <v>533</v>
      </c>
      <c r="AD607" s="214">
        <v>1.640296</v>
      </c>
      <c r="AE607" s="214">
        <v>248</v>
      </c>
      <c r="AF607" s="214">
        <v>0.83</v>
      </c>
      <c r="AG607" s="214">
        <v>-99</v>
      </c>
      <c r="AH607" s="212" t="s">
        <v>224</v>
      </c>
      <c r="AI607" s="212" t="s">
        <v>449</v>
      </c>
      <c r="AJ607" s="212" t="s">
        <v>328</v>
      </c>
      <c r="AK607" s="212" t="s">
        <v>531</v>
      </c>
      <c r="AL607" s="212" t="s">
        <v>391</v>
      </c>
      <c r="AM607" s="214" t="b">
        <v>1</v>
      </c>
      <c r="AN607" s="214" t="b">
        <v>0</v>
      </c>
      <c r="AO607" s="212" t="s">
        <v>329</v>
      </c>
      <c r="AP607" s="212" t="s">
        <v>330</v>
      </c>
      <c r="AQ607" s="214">
        <v>86.175359999999998</v>
      </c>
      <c r="AR607" s="214" t="b">
        <v>0</v>
      </c>
      <c r="AS607" s="212" t="s">
        <v>534</v>
      </c>
      <c r="AU607" s="222" t="s">
        <v>819</v>
      </c>
    </row>
    <row r="608" spans="1:47" x14ac:dyDescent="0.25">
      <c r="A608" s="245">
        <f t="shared" si="78"/>
        <v>608</v>
      </c>
      <c r="B608" s="246" t="str">
        <f t="shared" si="84"/>
        <v>Oil Field - Tank</v>
      </c>
      <c r="C608" s="246" t="str">
        <f ca="1">IF(B608="","",VLOOKUP(D608,'Species Data'!B:E,4,FALSE))</f>
        <v>benzene</v>
      </c>
      <c r="D608" s="246">
        <f t="shared" ca="1" si="79"/>
        <v>302</v>
      </c>
      <c r="E608" s="246">
        <f t="shared" ca="1" si="80"/>
        <v>1.0242</v>
      </c>
      <c r="F608" s="246" t="str">
        <f t="shared" ca="1" si="81"/>
        <v>Benzene</v>
      </c>
      <c r="G608" s="246">
        <f t="shared" ca="1" si="82"/>
        <v>78.111840000000001</v>
      </c>
      <c r="H608" s="204">
        <f ca="1">IF(G608="","",IF(VLOOKUP(Tank!F608,'Species Data'!D:F,3,FALSE)=0,"X",IF(G608&lt;44.1,2,1)))</f>
        <v>1</v>
      </c>
      <c r="I608" s="204">
        <f t="shared" ca="1" si="83"/>
        <v>0.24518902048126334</v>
      </c>
      <c r="J608" s="247">
        <f ca="1">IF(I608="","",IF(COUNTIF($D$12:D608,D608)=1,IF(H608=1,I608*H608,IF(H608="X","X",0)),0))</f>
        <v>0</v>
      </c>
      <c r="K608" s="248">
        <f t="shared" ca="1" si="85"/>
        <v>0</v>
      </c>
      <c r="L608" s="212" t="s">
        <v>679</v>
      </c>
      <c r="M608" s="212" t="s">
        <v>448</v>
      </c>
      <c r="N608" s="212" t="s">
        <v>470</v>
      </c>
      <c r="O608" s="213">
        <v>41419</v>
      </c>
      <c r="P608" s="212" t="s">
        <v>531</v>
      </c>
      <c r="Q608" s="214">
        <v>100</v>
      </c>
      <c r="R608" s="212" t="s">
        <v>445</v>
      </c>
      <c r="S608" s="212" t="s">
        <v>532</v>
      </c>
      <c r="T608" s="212" t="s">
        <v>445</v>
      </c>
      <c r="U608" s="212" t="s">
        <v>446</v>
      </c>
      <c r="V608" s="214" t="b">
        <v>1</v>
      </c>
      <c r="W608" s="214">
        <v>1989</v>
      </c>
      <c r="X608" s="214">
        <v>5</v>
      </c>
      <c r="Y608" s="214">
        <v>2</v>
      </c>
      <c r="Z608" s="214">
        <v>4</v>
      </c>
      <c r="AA608" s="212" t="s">
        <v>447</v>
      </c>
      <c r="AB608" s="212" t="s">
        <v>531</v>
      </c>
      <c r="AC608" s="212" t="s">
        <v>533</v>
      </c>
      <c r="AD608" s="214">
        <v>1.640296</v>
      </c>
      <c r="AE608" s="214">
        <v>302</v>
      </c>
      <c r="AF608" s="214">
        <v>1.0242</v>
      </c>
      <c r="AG608" s="214">
        <v>-99</v>
      </c>
      <c r="AH608" s="212" t="s">
        <v>224</v>
      </c>
      <c r="AI608" s="212" t="s">
        <v>449</v>
      </c>
      <c r="AJ608" s="212" t="s">
        <v>262</v>
      </c>
      <c r="AK608" s="212" t="s">
        <v>531</v>
      </c>
      <c r="AL608" s="212" t="s">
        <v>373</v>
      </c>
      <c r="AM608" s="214" t="b">
        <v>1</v>
      </c>
      <c r="AN608" s="214" t="b">
        <v>1</v>
      </c>
      <c r="AO608" s="212" t="s">
        <v>263</v>
      </c>
      <c r="AP608" s="212" t="s">
        <v>264</v>
      </c>
      <c r="AQ608" s="214">
        <v>78.111840000000001</v>
      </c>
      <c r="AR608" s="214" t="b">
        <v>0</v>
      </c>
      <c r="AS608" s="212" t="s">
        <v>534</v>
      </c>
      <c r="AU608" s="222" t="s">
        <v>819</v>
      </c>
    </row>
    <row r="609" spans="1:47" x14ac:dyDescent="0.25">
      <c r="A609" s="245">
        <f t="shared" si="78"/>
        <v>609</v>
      </c>
      <c r="B609" s="246" t="str">
        <f t="shared" si="84"/>
        <v>Oil Field - Tank</v>
      </c>
      <c r="C609" s="246" t="str">
        <f ca="1">IF(B609="","",VLOOKUP(D609,'Species Data'!B:E,4,FALSE))</f>
        <v>cyclohexane</v>
      </c>
      <c r="D609" s="246">
        <f t="shared" ca="1" si="79"/>
        <v>385</v>
      </c>
      <c r="E609" s="246">
        <f t="shared" ca="1" si="80"/>
        <v>4.5499999999999999E-2</v>
      </c>
      <c r="F609" s="246" t="str">
        <f t="shared" ca="1" si="81"/>
        <v>Cyclohexane</v>
      </c>
      <c r="G609" s="246">
        <f t="shared" ca="1" si="82"/>
        <v>84.159480000000002</v>
      </c>
      <c r="H609" s="204">
        <f ca="1">IF(G609="","",IF(VLOOKUP(Tank!F609,'Species Data'!D:F,3,FALSE)=0,"X",IF(G609&lt;44.1,2,1)))</f>
        <v>1</v>
      </c>
      <c r="I609" s="204">
        <f t="shared" ca="1" si="83"/>
        <v>1.8406843372363042E-2</v>
      </c>
      <c r="J609" s="247">
        <f ca="1">IF(I609="","",IF(COUNTIF($D$12:D609,D609)=1,IF(H609=1,I609*H609,IF(H609="X","X",0)),0))</f>
        <v>0</v>
      </c>
      <c r="K609" s="248">
        <f t="shared" ca="1" si="85"/>
        <v>0</v>
      </c>
      <c r="L609" s="212" t="s">
        <v>679</v>
      </c>
      <c r="M609" s="212" t="s">
        <v>448</v>
      </c>
      <c r="N609" s="212" t="s">
        <v>470</v>
      </c>
      <c r="O609" s="213">
        <v>41419</v>
      </c>
      <c r="P609" s="212" t="s">
        <v>531</v>
      </c>
      <c r="Q609" s="214">
        <v>100</v>
      </c>
      <c r="R609" s="212" t="s">
        <v>445</v>
      </c>
      <c r="S609" s="212" t="s">
        <v>532</v>
      </c>
      <c r="T609" s="212" t="s">
        <v>445</v>
      </c>
      <c r="U609" s="212" t="s">
        <v>446</v>
      </c>
      <c r="V609" s="214" t="b">
        <v>1</v>
      </c>
      <c r="W609" s="214">
        <v>1989</v>
      </c>
      <c r="X609" s="214">
        <v>5</v>
      </c>
      <c r="Y609" s="214">
        <v>2</v>
      </c>
      <c r="Z609" s="214">
        <v>4</v>
      </c>
      <c r="AA609" s="212" t="s">
        <v>447</v>
      </c>
      <c r="AB609" s="212" t="s">
        <v>531</v>
      </c>
      <c r="AC609" s="212" t="s">
        <v>533</v>
      </c>
      <c r="AD609" s="214">
        <v>1.640296</v>
      </c>
      <c r="AE609" s="214">
        <v>385</v>
      </c>
      <c r="AF609" s="214">
        <v>4.5499999999999999E-2</v>
      </c>
      <c r="AG609" s="214">
        <v>-99</v>
      </c>
      <c r="AH609" s="212" t="s">
        <v>224</v>
      </c>
      <c r="AI609" s="212" t="s">
        <v>449</v>
      </c>
      <c r="AJ609" s="212" t="s">
        <v>331</v>
      </c>
      <c r="AK609" s="212" t="s">
        <v>531</v>
      </c>
      <c r="AL609" s="212" t="s">
        <v>392</v>
      </c>
      <c r="AM609" s="214" t="b">
        <v>1</v>
      </c>
      <c r="AN609" s="214" t="b">
        <v>0</v>
      </c>
      <c r="AO609" s="212" t="s">
        <v>332</v>
      </c>
      <c r="AP609" s="212" t="s">
        <v>333</v>
      </c>
      <c r="AQ609" s="214">
        <v>84.159480000000002</v>
      </c>
      <c r="AR609" s="214" t="b">
        <v>0</v>
      </c>
      <c r="AS609" s="212" t="s">
        <v>534</v>
      </c>
      <c r="AU609" s="222" t="s">
        <v>819</v>
      </c>
    </row>
    <row r="610" spans="1:47" x14ac:dyDescent="0.25">
      <c r="A610" s="245">
        <f t="shared" si="78"/>
        <v>610</v>
      </c>
      <c r="B610" s="246" t="str">
        <f t="shared" si="84"/>
        <v>Oil Field - Tank</v>
      </c>
      <c r="C610" s="246" t="str">
        <f ca="1">IF(B610="","",VLOOKUP(D610,'Species Data'!B:E,4,FALSE))</f>
        <v>ethane</v>
      </c>
      <c r="D610" s="246">
        <f t="shared" ca="1" si="79"/>
        <v>438</v>
      </c>
      <c r="E610" s="246">
        <f t="shared" ca="1" si="80"/>
        <v>3.3725999999999998</v>
      </c>
      <c r="F610" s="246" t="str">
        <f t="shared" ca="1" si="81"/>
        <v>Ethane</v>
      </c>
      <c r="G610" s="246">
        <f t="shared" ca="1" si="82"/>
        <v>30.069040000000005</v>
      </c>
      <c r="H610" s="204">
        <f ca="1">IF(G610="","",IF(VLOOKUP(Tank!F610,'Species Data'!D:F,3,FALSE)=0,"X",IF(G610&lt;44.1,2,1)))</f>
        <v>2</v>
      </c>
      <c r="I610" s="204">
        <f t="shared" ca="1" si="83"/>
        <v>5.717421553913586</v>
      </c>
      <c r="J610" s="247">
        <f ca="1">IF(I610="","",IF(COUNTIF($D$12:D610,D610)=1,IF(H610=1,I610*H610,IF(H610="X","X",0)),0))</f>
        <v>0</v>
      </c>
      <c r="K610" s="248">
        <f t="shared" ca="1" si="85"/>
        <v>0</v>
      </c>
      <c r="L610" s="212" t="s">
        <v>679</v>
      </c>
      <c r="M610" s="212" t="s">
        <v>448</v>
      </c>
      <c r="N610" s="212" t="s">
        <v>470</v>
      </c>
      <c r="O610" s="213">
        <v>41419</v>
      </c>
      <c r="P610" s="212" t="s">
        <v>531</v>
      </c>
      <c r="Q610" s="214">
        <v>100</v>
      </c>
      <c r="R610" s="212" t="s">
        <v>445</v>
      </c>
      <c r="S610" s="212" t="s">
        <v>532</v>
      </c>
      <c r="T610" s="212" t="s">
        <v>445</v>
      </c>
      <c r="U610" s="212" t="s">
        <v>446</v>
      </c>
      <c r="V610" s="214" t="b">
        <v>1</v>
      </c>
      <c r="W610" s="214">
        <v>1989</v>
      </c>
      <c r="X610" s="214">
        <v>5</v>
      </c>
      <c r="Y610" s="214">
        <v>2</v>
      </c>
      <c r="Z610" s="214">
        <v>4</v>
      </c>
      <c r="AA610" s="212" t="s">
        <v>447</v>
      </c>
      <c r="AB610" s="212" t="s">
        <v>531</v>
      </c>
      <c r="AC610" s="212" t="s">
        <v>533</v>
      </c>
      <c r="AD610" s="214">
        <v>1.640296</v>
      </c>
      <c r="AE610" s="214">
        <v>438</v>
      </c>
      <c r="AF610" s="214">
        <v>3.3725999999999998</v>
      </c>
      <c r="AG610" s="214">
        <v>-99</v>
      </c>
      <c r="AH610" s="212" t="s">
        <v>224</v>
      </c>
      <c r="AI610" s="212" t="s">
        <v>449</v>
      </c>
      <c r="AJ610" s="212" t="s">
        <v>265</v>
      </c>
      <c r="AK610" s="212" t="s">
        <v>531</v>
      </c>
      <c r="AL610" s="212" t="s">
        <v>374</v>
      </c>
      <c r="AM610" s="214" t="b">
        <v>1</v>
      </c>
      <c r="AN610" s="214" t="b">
        <v>0</v>
      </c>
      <c r="AO610" s="212" t="s">
        <v>266</v>
      </c>
      <c r="AP610" s="212" t="s">
        <v>267</v>
      </c>
      <c r="AQ610" s="214">
        <v>30.069040000000005</v>
      </c>
      <c r="AR610" s="214" t="b">
        <v>1</v>
      </c>
      <c r="AS610" s="212" t="s">
        <v>534</v>
      </c>
      <c r="AU610" s="222" t="s">
        <v>819</v>
      </c>
    </row>
    <row r="611" spans="1:47" x14ac:dyDescent="0.25">
      <c r="A611" s="245">
        <f t="shared" si="78"/>
        <v>611</v>
      </c>
      <c r="B611" s="246" t="str">
        <f t="shared" si="84"/>
        <v>Oil Field - Tank</v>
      </c>
      <c r="C611" s="246" t="str">
        <f ca="1">IF(B611="","",VLOOKUP(D611,'Species Data'!B:E,4,FALSE))</f>
        <v>ethyl_benz</v>
      </c>
      <c r="D611" s="246">
        <f t="shared" ca="1" si="79"/>
        <v>449</v>
      </c>
      <c r="E611" s="246">
        <f t="shared" ca="1" si="80"/>
        <v>0.25790000000000002</v>
      </c>
      <c r="F611" s="246" t="str">
        <f t="shared" ca="1" si="81"/>
        <v>Ethylbenzene</v>
      </c>
      <c r="G611" s="246">
        <f t="shared" ca="1" si="82"/>
        <v>106.16500000000001</v>
      </c>
      <c r="H611" s="204">
        <f ca="1">IF(G611="","",IF(VLOOKUP(Tank!F611,'Species Data'!D:F,3,FALSE)=0,"X",IF(G611&lt;44.1,2,1)))</f>
        <v>1</v>
      </c>
      <c r="I611" s="204">
        <f t="shared" ca="1" si="83"/>
        <v>0.12062115796311647</v>
      </c>
      <c r="J611" s="247">
        <f ca="1">IF(I611="","",IF(COUNTIF($D$12:D611,D611)=1,IF(H611=1,I611*H611,IF(H611="X","X",0)),0))</f>
        <v>0</v>
      </c>
      <c r="K611" s="248">
        <f t="shared" ca="1" si="85"/>
        <v>0</v>
      </c>
      <c r="L611" s="212" t="s">
        <v>679</v>
      </c>
      <c r="M611" s="212" t="s">
        <v>448</v>
      </c>
      <c r="N611" s="212" t="s">
        <v>470</v>
      </c>
      <c r="O611" s="213">
        <v>41419</v>
      </c>
      <c r="P611" s="212" t="s">
        <v>531</v>
      </c>
      <c r="Q611" s="214">
        <v>100</v>
      </c>
      <c r="R611" s="212" t="s">
        <v>445</v>
      </c>
      <c r="S611" s="212" t="s">
        <v>532</v>
      </c>
      <c r="T611" s="212" t="s">
        <v>445</v>
      </c>
      <c r="U611" s="212" t="s">
        <v>446</v>
      </c>
      <c r="V611" s="214" t="b">
        <v>1</v>
      </c>
      <c r="W611" s="214">
        <v>1989</v>
      </c>
      <c r="X611" s="214">
        <v>5</v>
      </c>
      <c r="Y611" s="214">
        <v>2</v>
      </c>
      <c r="Z611" s="214">
        <v>4</v>
      </c>
      <c r="AA611" s="212" t="s">
        <v>447</v>
      </c>
      <c r="AB611" s="212" t="s">
        <v>531</v>
      </c>
      <c r="AC611" s="212" t="s">
        <v>533</v>
      </c>
      <c r="AD611" s="214">
        <v>1.640296</v>
      </c>
      <c r="AE611" s="214">
        <v>449</v>
      </c>
      <c r="AF611" s="214">
        <v>0.25790000000000002</v>
      </c>
      <c r="AG611" s="214">
        <v>-99</v>
      </c>
      <c r="AH611" s="212" t="s">
        <v>224</v>
      </c>
      <c r="AI611" s="212" t="s">
        <v>449</v>
      </c>
      <c r="AJ611" s="212" t="s">
        <v>337</v>
      </c>
      <c r="AK611" s="212" t="s">
        <v>531</v>
      </c>
      <c r="AL611" s="212" t="s">
        <v>394</v>
      </c>
      <c r="AM611" s="214" t="b">
        <v>1</v>
      </c>
      <c r="AN611" s="214" t="b">
        <v>1</v>
      </c>
      <c r="AO611" s="212" t="s">
        <v>338</v>
      </c>
      <c r="AP611" s="212" t="s">
        <v>339</v>
      </c>
      <c r="AQ611" s="214">
        <v>106.16500000000001</v>
      </c>
      <c r="AR611" s="214" t="b">
        <v>0</v>
      </c>
      <c r="AS611" s="212" t="s">
        <v>534</v>
      </c>
      <c r="AU611" s="222" t="s">
        <v>819</v>
      </c>
    </row>
    <row r="612" spans="1:47" x14ac:dyDescent="0.25">
      <c r="A612" s="245">
        <f t="shared" si="78"/>
        <v>612</v>
      </c>
      <c r="B612" s="246" t="str">
        <f t="shared" si="84"/>
        <v>Oil Field - Tank</v>
      </c>
      <c r="C612" s="246" t="str">
        <f ca="1">IF(B612="","",VLOOKUP(D612,'Species Data'!B:E,4,FALSE))</f>
        <v>isobut</v>
      </c>
      <c r="D612" s="246">
        <f t="shared" ca="1" si="79"/>
        <v>491</v>
      </c>
      <c r="E612" s="246">
        <f t="shared" ca="1" si="80"/>
        <v>3.6774</v>
      </c>
      <c r="F612" s="246" t="str">
        <f t="shared" ca="1" si="81"/>
        <v>Isobutane</v>
      </c>
      <c r="G612" s="246">
        <f t="shared" ca="1" si="82"/>
        <v>58.122199999999992</v>
      </c>
      <c r="H612" s="204">
        <f ca="1">IF(G612="","",IF(VLOOKUP(Tank!F612,'Species Data'!D:F,3,FALSE)=0,"X",IF(G612&lt;44.1,2,1)))</f>
        <v>1</v>
      </c>
      <c r="I612" s="204">
        <f t="shared" ca="1" si="83"/>
        <v>3.2562712602040991</v>
      </c>
      <c r="J612" s="247">
        <f ca="1">IF(I612="","",IF(COUNTIF($D$12:D612,D612)=1,IF(H612=1,I612*H612,IF(H612="X","X",0)),0))</f>
        <v>0</v>
      </c>
      <c r="K612" s="248">
        <f t="shared" ca="1" si="85"/>
        <v>0</v>
      </c>
      <c r="L612" s="212" t="s">
        <v>679</v>
      </c>
      <c r="M612" s="212" t="s">
        <v>448</v>
      </c>
      <c r="N612" s="212" t="s">
        <v>470</v>
      </c>
      <c r="O612" s="213">
        <v>41419</v>
      </c>
      <c r="P612" s="212" t="s">
        <v>531</v>
      </c>
      <c r="Q612" s="214">
        <v>100</v>
      </c>
      <c r="R612" s="212" t="s">
        <v>445</v>
      </c>
      <c r="S612" s="212" t="s">
        <v>532</v>
      </c>
      <c r="T612" s="212" t="s">
        <v>445</v>
      </c>
      <c r="U612" s="212" t="s">
        <v>446</v>
      </c>
      <c r="V612" s="214" t="b">
        <v>1</v>
      </c>
      <c r="W612" s="214">
        <v>1989</v>
      </c>
      <c r="X612" s="214">
        <v>5</v>
      </c>
      <c r="Y612" s="214">
        <v>2</v>
      </c>
      <c r="Z612" s="214">
        <v>4</v>
      </c>
      <c r="AA612" s="212" t="s">
        <v>447</v>
      </c>
      <c r="AB612" s="212" t="s">
        <v>531</v>
      </c>
      <c r="AC612" s="212" t="s">
        <v>533</v>
      </c>
      <c r="AD612" s="214">
        <v>1.640296</v>
      </c>
      <c r="AE612" s="214">
        <v>491</v>
      </c>
      <c r="AF612" s="214">
        <v>3.6774</v>
      </c>
      <c r="AG612" s="214">
        <v>-99</v>
      </c>
      <c r="AH612" s="212" t="s">
        <v>224</v>
      </c>
      <c r="AI612" s="212" t="s">
        <v>449</v>
      </c>
      <c r="AJ612" s="212" t="s">
        <v>268</v>
      </c>
      <c r="AK612" s="212" t="s">
        <v>531</v>
      </c>
      <c r="AL612" s="212" t="s">
        <v>375</v>
      </c>
      <c r="AM612" s="214" t="b">
        <v>1</v>
      </c>
      <c r="AN612" s="214" t="b">
        <v>0</v>
      </c>
      <c r="AO612" s="212" t="s">
        <v>269</v>
      </c>
      <c r="AP612" s="212" t="s">
        <v>270</v>
      </c>
      <c r="AQ612" s="214">
        <v>58.122199999999992</v>
      </c>
      <c r="AR612" s="214" t="b">
        <v>0</v>
      </c>
      <c r="AS612" s="212" t="s">
        <v>534</v>
      </c>
      <c r="AU612" s="222" t="s">
        <v>819</v>
      </c>
    </row>
    <row r="613" spans="1:47" x14ac:dyDescent="0.25">
      <c r="A613" s="245">
        <f t="shared" ref="A613:A676" si="86">IF(B613="","",A612+1)</f>
        <v>613</v>
      </c>
      <c r="B613" s="246" t="str">
        <f t="shared" si="84"/>
        <v>Oil Field - Tank</v>
      </c>
      <c r="C613" s="246" t="str">
        <f ca="1">IF(B613="","",VLOOKUP(D613,'Species Data'!B:E,4,FALSE))</f>
        <v>i_but</v>
      </c>
      <c r="D613" s="246">
        <f t="shared" ref="D613:D676" ca="1" si="87">IF(B613="","",INDIRECT("AE"&amp;$A613))</f>
        <v>499</v>
      </c>
      <c r="E613" s="246">
        <f t="shared" ref="E613:E676" ca="1" si="88">IF(D613="","",INDIRECT("AF"&amp;$A613))</f>
        <v>1.15E-2</v>
      </c>
      <c r="F613" s="246" t="str">
        <f t="shared" ref="F613:F676" ca="1" si="89">IF(E613="","",INDIRECT("AO"&amp;$A613))</f>
        <v>Isomers of butylbenzene</v>
      </c>
      <c r="G613" s="246">
        <f t="shared" ref="G613:G676" ca="1" si="90">IF(F613="","",INDIRECT("AQ"&amp;$A613))</f>
        <v>134.21816000000001</v>
      </c>
      <c r="H613" s="204">
        <f ca="1">IF(G613="","",IF(VLOOKUP(Tank!F613,'Species Data'!D:F,3,FALSE)=0,"X",IF(G613&lt;44.1,2,1)))</f>
        <v>1</v>
      </c>
      <c r="I613" s="204">
        <f t="shared" ref="I613:I676" ca="1" si="91">IF(H613="","",SUMIF(D:D,D613,E:E)/($E$9/100))</f>
        <v>1.7466834348276415E-3</v>
      </c>
      <c r="J613" s="247">
        <f ca="1">IF(I613="","",IF(COUNTIF($D$12:D613,D613)=1,IF(H613=1,I613*H613,IF(H613="X","X",0)),0))</f>
        <v>0</v>
      </c>
      <c r="K613" s="248">
        <f t="shared" ca="1" si="85"/>
        <v>0</v>
      </c>
      <c r="L613" s="212" t="s">
        <v>679</v>
      </c>
      <c r="M613" s="212" t="s">
        <v>448</v>
      </c>
      <c r="N613" s="212" t="s">
        <v>470</v>
      </c>
      <c r="O613" s="213">
        <v>41419</v>
      </c>
      <c r="P613" s="212" t="s">
        <v>531</v>
      </c>
      <c r="Q613" s="214">
        <v>100</v>
      </c>
      <c r="R613" s="212" t="s">
        <v>445</v>
      </c>
      <c r="S613" s="212" t="s">
        <v>532</v>
      </c>
      <c r="T613" s="212" t="s">
        <v>445</v>
      </c>
      <c r="U613" s="212" t="s">
        <v>446</v>
      </c>
      <c r="V613" s="214" t="b">
        <v>1</v>
      </c>
      <c r="W613" s="214">
        <v>1989</v>
      </c>
      <c r="X613" s="214">
        <v>5</v>
      </c>
      <c r="Y613" s="214">
        <v>2</v>
      </c>
      <c r="Z613" s="214">
        <v>4</v>
      </c>
      <c r="AA613" s="212" t="s">
        <v>447</v>
      </c>
      <c r="AB613" s="212" t="s">
        <v>531</v>
      </c>
      <c r="AC613" s="212" t="s">
        <v>533</v>
      </c>
      <c r="AD613" s="214">
        <v>1.640296</v>
      </c>
      <c r="AE613" s="214">
        <v>499</v>
      </c>
      <c r="AF613" s="214">
        <v>1.15E-2</v>
      </c>
      <c r="AG613" s="214">
        <v>-99</v>
      </c>
      <c r="AH613" s="212" t="s">
        <v>224</v>
      </c>
      <c r="AI613" s="212" t="s">
        <v>449</v>
      </c>
      <c r="AJ613" s="212" t="s">
        <v>531</v>
      </c>
      <c r="AK613" s="212" t="s">
        <v>642</v>
      </c>
      <c r="AL613" s="212" t="s">
        <v>643</v>
      </c>
      <c r="AM613" s="214" t="b">
        <v>0</v>
      </c>
      <c r="AN613" s="214" t="b">
        <v>0</v>
      </c>
      <c r="AO613" s="212" t="s">
        <v>644</v>
      </c>
      <c r="AP613" s="212" t="s">
        <v>531</v>
      </c>
      <c r="AQ613" s="214">
        <v>134.21816000000001</v>
      </c>
      <c r="AR613" s="214" t="b">
        <v>0</v>
      </c>
      <c r="AS613" s="212" t="s">
        <v>534</v>
      </c>
      <c r="AU613" s="222" t="s">
        <v>819</v>
      </c>
    </row>
    <row r="614" spans="1:47" x14ac:dyDescent="0.25">
      <c r="A614" s="245">
        <f t="shared" si="86"/>
        <v>614</v>
      </c>
      <c r="B614" s="246" t="str">
        <f t="shared" si="84"/>
        <v>Oil Field - Tank</v>
      </c>
      <c r="C614" s="246" t="str">
        <f ca="1">IF(B614="","",VLOOKUP(D614,'Species Data'!B:E,4,FALSE))</f>
        <v>isopentane</v>
      </c>
      <c r="D614" s="246">
        <f t="shared" ca="1" si="87"/>
        <v>508</v>
      </c>
      <c r="E614" s="246">
        <f t="shared" ca="1" si="88"/>
        <v>6.4922000000000004</v>
      </c>
      <c r="F614" s="246" t="str">
        <f t="shared" ca="1" si="89"/>
        <v>Isopentane (2-Methylbutane)</v>
      </c>
      <c r="G614" s="246">
        <f t="shared" ca="1" si="90"/>
        <v>72.148780000000002</v>
      </c>
      <c r="H614" s="204">
        <f ca="1">IF(G614="","",IF(VLOOKUP(Tank!F614,'Species Data'!D:F,3,FALSE)=0,"X",IF(G614&lt;44.1,2,1)))</f>
        <v>1</v>
      </c>
      <c r="I614" s="204">
        <f t="shared" ca="1" si="91"/>
        <v>3.397999287459827</v>
      </c>
      <c r="J614" s="247">
        <f ca="1">IF(I614="","",IF(COUNTIF($D$12:D614,D614)=1,IF(H614=1,I614*H614,IF(H614="X","X",0)),0))</f>
        <v>0</v>
      </c>
      <c r="K614" s="248">
        <f t="shared" ca="1" si="85"/>
        <v>0</v>
      </c>
      <c r="L614" s="212" t="s">
        <v>679</v>
      </c>
      <c r="M614" s="212" t="s">
        <v>448</v>
      </c>
      <c r="N614" s="212" t="s">
        <v>470</v>
      </c>
      <c r="O614" s="213">
        <v>41419</v>
      </c>
      <c r="P614" s="212" t="s">
        <v>531</v>
      </c>
      <c r="Q614" s="214">
        <v>100</v>
      </c>
      <c r="R614" s="212" t="s">
        <v>445</v>
      </c>
      <c r="S614" s="212" t="s">
        <v>532</v>
      </c>
      <c r="T614" s="212" t="s">
        <v>445</v>
      </c>
      <c r="U614" s="212" t="s">
        <v>446</v>
      </c>
      <c r="V614" s="214" t="b">
        <v>1</v>
      </c>
      <c r="W614" s="214">
        <v>1989</v>
      </c>
      <c r="X614" s="214">
        <v>5</v>
      </c>
      <c r="Y614" s="214">
        <v>2</v>
      </c>
      <c r="Z614" s="214">
        <v>4</v>
      </c>
      <c r="AA614" s="212" t="s">
        <v>447</v>
      </c>
      <c r="AB614" s="212" t="s">
        <v>531</v>
      </c>
      <c r="AC614" s="212" t="s">
        <v>533</v>
      </c>
      <c r="AD614" s="214">
        <v>1.640296</v>
      </c>
      <c r="AE614" s="214">
        <v>508</v>
      </c>
      <c r="AF614" s="214">
        <v>6.4922000000000004</v>
      </c>
      <c r="AG614" s="214">
        <v>-99</v>
      </c>
      <c r="AH614" s="212" t="s">
        <v>224</v>
      </c>
      <c r="AI614" s="212" t="s">
        <v>449</v>
      </c>
      <c r="AJ614" s="212" t="s">
        <v>342</v>
      </c>
      <c r="AK614" s="212" t="s">
        <v>531</v>
      </c>
      <c r="AL614" s="212" t="s">
        <v>395</v>
      </c>
      <c r="AM614" s="214" t="b">
        <v>1</v>
      </c>
      <c r="AN614" s="214" t="b">
        <v>0</v>
      </c>
      <c r="AO614" s="212" t="s">
        <v>343</v>
      </c>
      <c r="AP614" s="212" t="s">
        <v>344</v>
      </c>
      <c r="AQ614" s="214">
        <v>72.148780000000002</v>
      </c>
      <c r="AR614" s="214" t="b">
        <v>0</v>
      </c>
      <c r="AS614" s="212" t="s">
        <v>534</v>
      </c>
      <c r="AU614" s="222" t="s">
        <v>819</v>
      </c>
    </row>
    <row r="615" spans="1:47" x14ac:dyDescent="0.25">
      <c r="A615" s="245">
        <f t="shared" si="86"/>
        <v>615</v>
      </c>
      <c r="B615" s="246" t="str">
        <f t="shared" si="84"/>
        <v>Oil Field - Tank</v>
      </c>
      <c r="C615" s="246" t="str">
        <f ca="1">IF(B615="","",VLOOKUP(D615,'Species Data'!B:E,4,FALSE))</f>
        <v>isopben</v>
      </c>
      <c r="D615" s="246">
        <f t="shared" ca="1" si="87"/>
        <v>514</v>
      </c>
      <c r="E615" s="246">
        <f t="shared" ca="1" si="88"/>
        <v>9.9000000000000008E-3</v>
      </c>
      <c r="F615" s="246" t="str">
        <f t="shared" ca="1" si="89"/>
        <v>Isopropylbenzene (cumene)</v>
      </c>
      <c r="G615" s="246">
        <f t="shared" ca="1" si="90"/>
        <v>120.19158</v>
      </c>
      <c r="H615" s="204">
        <f ca="1">IF(G615="","",IF(VLOOKUP(Tank!F615,'Species Data'!D:F,3,FALSE)=0,"X",IF(G615&lt;44.1,2,1)))</f>
        <v>1</v>
      </c>
      <c r="I615" s="204">
        <f t="shared" ca="1" si="91"/>
        <v>4.0067051310359253E-3</v>
      </c>
      <c r="J615" s="247">
        <f ca="1">IF(I615="","",IF(COUNTIF($D$12:D615,D615)=1,IF(H615=1,I615*H615,IF(H615="X","X",0)),0))</f>
        <v>0</v>
      </c>
      <c r="K615" s="248">
        <f t="shared" ca="1" si="85"/>
        <v>0</v>
      </c>
      <c r="L615" s="212" t="s">
        <v>679</v>
      </c>
      <c r="M615" s="212" t="s">
        <v>448</v>
      </c>
      <c r="N615" s="212" t="s">
        <v>470</v>
      </c>
      <c r="O615" s="213">
        <v>41419</v>
      </c>
      <c r="P615" s="212" t="s">
        <v>531</v>
      </c>
      <c r="Q615" s="214">
        <v>100</v>
      </c>
      <c r="R615" s="212" t="s">
        <v>445</v>
      </c>
      <c r="S615" s="212" t="s">
        <v>532</v>
      </c>
      <c r="T615" s="212" t="s">
        <v>445</v>
      </c>
      <c r="U615" s="212" t="s">
        <v>446</v>
      </c>
      <c r="V615" s="214" t="b">
        <v>1</v>
      </c>
      <c r="W615" s="214">
        <v>1989</v>
      </c>
      <c r="X615" s="214">
        <v>5</v>
      </c>
      <c r="Y615" s="214">
        <v>2</v>
      </c>
      <c r="Z615" s="214">
        <v>4</v>
      </c>
      <c r="AA615" s="212" t="s">
        <v>447</v>
      </c>
      <c r="AB615" s="212" t="s">
        <v>531</v>
      </c>
      <c r="AC615" s="212" t="s">
        <v>533</v>
      </c>
      <c r="AD615" s="214">
        <v>1.640296</v>
      </c>
      <c r="AE615" s="214">
        <v>514</v>
      </c>
      <c r="AF615" s="214">
        <v>9.9000000000000008E-3</v>
      </c>
      <c r="AG615" s="214">
        <v>-99</v>
      </c>
      <c r="AH615" s="212" t="s">
        <v>224</v>
      </c>
      <c r="AI615" s="212" t="s">
        <v>449</v>
      </c>
      <c r="AJ615" s="212" t="s">
        <v>362</v>
      </c>
      <c r="AK615" s="212" t="s">
        <v>531</v>
      </c>
      <c r="AL615" s="212" t="s">
        <v>399</v>
      </c>
      <c r="AM615" s="214" t="b">
        <v>1</v>
      </c>
      <c r="AN615" s="214" t="b">
        <v>1</v>
      </c>
      <c r="AO615" s="212" t="s">
        <v>363</v>
      </c>
      <c r="AP615" s="212" t="s">
        <v>364</v>
      </c>
      <c r="AQ615" s="214">
        <v>120.19158</v>
      </c>
      <c r="AR615" s="214" t="b">
        <v>0</v>
      </c>
      <c r="AS615" s="212" t="s">
        <v>534</v>
      </c>
      <c r="AU615" s="222" t="s">
        <v>819</v>
      </c>
    </row>
    <row r="616" spans="1:47" x14ac:dyDescent="0.25">
      <c r="A616" s="245">
        <f t="shared" si="86"/>
        <v>616</v>
      </c>
      <c r="B616" s="246" t="str">
        <f t="shared" si="84"/>
        <v>Oil Field - Tank</v>
      </c>
      <c r="C616" s="246" t="str">
        <f ca="1">IF(B616="","",VLOOKUP(D616,'Species Data'!B:E,4,FALSE))</f>
        <v>methane</v>
      </c>
      <c r="D616" s="246">
        <f t="shared" ca="1" si="87"/>
        <v>529</v>
      </c>
      <c r="E616" s="246">
        <f t="shared" ca="1" si="88"/>
        <v>35.662799999999997</v>
      </c>
      <c r="F616" s="246" t="str">
        <f t="shared" ca="1" si="89"/>
        <v>Methane</v>
      </c>
      <c r="G616" s="246">
        <f t="shared" ca="1" si="90"/>
        <v>16.042459999999998</v>
      </c>
      <c r="H616" s="204">
        <f ca="1">IF(G616="","",IF(VLOOKUP(Tank!F616,'Species Data'!D:F,3,FALSE)=0,"X",IF(G616&lt;44.1,2,1)))</f>
        <v>2</v>
      </c>
      <c r="I616" s="204">
        <f t="shared" ca="1" si="91"/>
        <v>44.518760713436194</v>
      </c>
      <c r="J616" s="247">
        <f ca="1">IF(I616="","",IF(COUNTIF($D$12:D616,D616)=1,IF(H616=1,I616*H616,IF(H616="X","X",0)),0))</f>
        <v>0</v>
      </c>
      <c r="K616" s="248">
        <f t="shared" ca="1" si="85"/>
        <v>0</v>
      </c>
      <c r="L616" s="212" t="s">
        <v>679</v>
      </c>
      <c r="M616" s="212" t="s">
        <v>448</v>
      </c>
      <c r="N616" s="212" t="s">
        <v>470</v>
      </c>
      <c r="O616" s="213">
        <v>41419</v>
      </c>
      <c r="P616" s="212" t="s">
        <v>531</v>
      </c>
      <c r="Q616" s="214">
        <v>100</v>
      </c>
      <c r="R616" s="212" t="s">
        <v>445</v>
      </c>
      <c r="S616" s="212" t="s">
        <v>532</v>
      </c>
      <c r="T616" s="212" t="s">
        <v>445</v>
      </c>
      <c r="U616" s="212" t="s">
        <v>446</v>
      </c>
      <c r="V616" s="214" t="b">
        <v>1</v>
      </c>
      <c r="W616" s="214">
        <v>1989</v>
      </c>
      <c r="X616" s="214">
        <v>5</v>
      </c>
      <c r="Y616" s="214">
        <v>2</v>
      </c>
      <c r="Z616" s="214">
        <v>4</v>
      </c>
      <c r="AA616" s="212" t="s">
        <v>447</v>
      </c>
      <c r="AB616" s="212" t="s">
        <v>531</v>
      </c>
      <c r="AC616" s="212" t="s">
        <v>533</v>
      </c>
      <c r="AD616" s="214">
        <v>1.640296</v>
      </c>
      <c r="AE616" s="214">
        <v>529</v>
      </c>
      <c r="AF616" s="214">
        <v>35.662799999999997</v>
      </c>
      <c r="AG616" s="214">
        <v>-99</v>
      </c>
      <c r="AH616" s="212" t="s">
        <v>224</v>
      </c>
      <c r="AI616" s="212" t="s">
        <v>449</v>
      </c>
      <c r="AJ616" s="212" t="s">
        <v>271</v>
      </c>
      <c r="AK616" s="212" t="s">
        <v>531</v>
      </c>
      <c r="AL616" s="212" t="s">
        <v>376</v>
      </c>
      <c r="AM616" s="214" t="b">
        <v>0</v>
      </c>
      <c r="AN616" s="214" t="b">
        <v>0</v>
      </c>
      <c r="AO616" s="212" t="s">
        <v>272</v>
      </c>
      <c r="AP616" s="212" t="s">
        <v>531</v>
      </c>
      <c r="AQ616" s="214">
        <v>16.042459999999998</v>
      </c>
      <c r="AR616" s="214" t="b">
        <v>1</v>
      </c>
      <c r="AS616" s="212" t="s">
        <v>534</v>
      </c>
      <c r="AU616" s="222" t="s">
        <v>819</v>
      </c>
    </row>
    <row r="617" spans="1:47" x14ac:dyDescent="0.25">
      <c r="A617" s="245">
        <f t="shared" si="86"/>
        <v>617</v>
      </c>
      <c r="B617" s="246" t="str">
        <f t="shared" si="84"/>
        <v>Oil Field - Tank</v>
      </c>
      <c r="C617" s="246" t="str">
        <f ca="1">IF(B617="","",VLOOKUP(D617,'Species Data'!B:E,4,FALSE))</f>
        <v>methcycpen</v>
      </c>
      <c r="D617" s="246">
        <f t="shared" ca="1" si="87"/>
        <v>551</v>
      </c>
      <c r="E617" s="246">
        <f t="shared" ca="1" si="88"/>
        <v>3.4133</v>
      </c>
      <c r="F617" s="246" t="str">
        <f t="shared" ca="1" si="89"/>
        <v>Methylcyclopentane</v>
      </c>
      <c r="G617" s="246">
        <f t="shared" ca="1" si="90"/>
        <v>84.159480000000002</v>
      </c>
      <c r="H617" s="204">
        <f ca="1">IF(G617="","",IF(VLOOKUP(Tank!F617,'Species Data'!D:F,3,FALSE)=0,"X",IF(G617&lt;44.1,2,1)))</f>
        <v>1</v>
      </c>
      <c r="I617" s="204">
        <f t="shared" ca="1" si="91"/>
        <v>1.4788275300776224</v>
      </c>
      <c r="J617" s="247">
        <f ca="1">IF(I617="","",IF(COUNTIF($D$12:D617,D617)=1,IF(H617=1,I617*H617,IF(H617="X","X",0)),0))</f>
        <v>0</v>
      </c>
      <c r="K617" s="248">
        <f t="shared" ca="1" si="85"/>
        <v>0</v>
      </c>
      <c r="L617" s="212" t="s">
        <v>679</v>
      </c>
      <c r="M617" s="212" t="s">
        <v>448</v>
      </c>
      <c r="N617" s="212" t="s">
        <v>470</v>
      </c>
      <c r="O617" s="213">
        <v>41419</v>
      </c>
      <c r="P617" s="212" t="s">
        <v>531</v>
      </c>
      <c r="Q617" s="214">
        <v>100</v>
      </c>
      <c r="R617" s="212" t="s">
        <v>445</v>
      </c>
      <c r="S617" s="212" t="s">
        <v>532</v>
      </c>
      <c r="T617" s="212" t="s">
        <v>445</v>
      </c>
      <c r="U617" s="212" t="s">
        <v>446</v>
      </c>
      <c r="V617" s="214" t="b">
        <v>1</v>
      </c>
      <c r="W617" s="214">
        <v>1989</v>
      </c>
      <c r="X617" s="214">
        <v>5</v>
      </c>
      <c r="Y617" s="214">
        <v>2</v>
      </c>
      <c r="Z617" s="214">
        <v>4</v>
      </c>
      <c r="AA617" s="212" t="s">
        <v>447</v>
      </c>
      <c r="AB617" s="212" t="s">
        <v>531</v>
      </c>
      <c r="AC617" s="212" t="s">
        <v>533</v>
      </c>
      <c r="AD617" s="214">
        <v>1.640296</v>
      </c>
      <c r="AE617" s="214">
        <v>551</v>
      </c>
      <c r="AF617" s="214">
        <v>3.4133</v>
      </c>
      <c r="AG617" s="214">
        <v>-99</v>
      </c>
      <c r="AH617" s="212" t="s">
        <v>224</v>
      </c>
      <c r="AI617" s="212" t="s">
        <v>449</v>
      </c>
      <c r="AJ617" s="212" t="s">
        <v>351</v>
      </c>
      <c r="AK617" s="212" t="s">
        <v>531</v>
      </c>
      <c r="AL617" s="212" t="s">
        <v>397</v>
      </c>
      <c r="AM617" s="214" t="b">
        <v>1</v>
      </c>
      <c r="AN617" s="214" t="b">
        <v>0</v>
      </c>
      <c r="AO617" s="212" t="s">
        <v>352</v>
      </c>
      <c r="AP617" s="212" t="s">
        <v>353</v>
      </c>
      <c r="AQ617" s="214">
        <v>84.159480000000002</v>
      </c>
      <c r="AR617" s="214" t="b">
        <v>0</v>
      </c>
      <c r="AS617" s="212" t="s">
        <v>534</v>
      </c>
      <c r="AU617" s="222" t="s">
        <v>819</v>
      </c>
    </row>
    <row r="618" spans="1:47" x14ac:dyDescent="0.25">
      <c r="A618" s="245">
        <f t="shared" si="86"/>
        <v>618</v>
      </c>
      <c r="B618" s="246" t="str">
        <f t="shared" si="84"/>
        <v>Oil Field - Tank</v>
      </c>
      <c r="C618" s="246" t="str">
        <f ca="1">IF(B618="","",VLOOKUP(D618,'Species Data'!B:E,4,FALSE))</f>
        <v>N_but</v>
      </c>
      <c r="D618" s="246">
        <f t="shared" ca="1" si="87"/>
        <v>592</v>
      </c>
      <c r="E618" s="246">
        <f t="shared" ca="1" si="88"/>
        <v>8.0761000000000003</v>
      </c>
      <c r="F618" s="246" t="str">
        <f t="shared" ca="1" si="89"/>
        <v>N-butane</v>
      </c>
      <c r="G618" s="246">
        <f t="shared" ca="1" si="90"/>
        <v>58.122199999999992</v>
      </c>
      <c r="H618" s="204">
        <f ca="1">IF(G618="","",IF(VLOOKUP(Tank!F618,'Species Data'!D:F,3,FALSE)=0,"X",IF(G618&lt;44.1,2,1)))</f>
        <v>1</v>
      </c>
      <c r="I618" s="204">
        <f t="shared" ca="1" si="91"/>
        <v>8.8589583793337763</v>
      </c>
      <c r="J618" s="247">
        <f ca="1">IF(I618="","",IF(COUNTIF($D$12:D618,D618)=1,IF(H618=1,I618*H618,IF(H618="X","X",0)),0))</f>
        <v>0</v>
      </c>
      <c r="K618" s="248">
        <f t="shared" ca="1" si="85"/>
        <v>0</v>
      </c>
      <c r="L618" s="212" t="s">
        <v>679</v>
      </c>
      <c r="M618" s="212" t="s">
        <v>448</v>
      </c>
      <c r="N618" s="212" t="s">
        <v>470</v>
      </c>
      <c r="O618" s="213">
        <v>41419</v>
      </c>
      <c r="P618" s="212" t="s">
        <v>531</v>
      </c>
      <c r="Q618" s="214">
        <v>100</v>
      </c>
      <c r="R618" s="212" t="s">
        <v>445</v>
      </c>
      <c r="S618" s="212" t="s">
        <v>532</v>
      </c>
      <c r="T618" s="212" t="s">
        <v>445</v>
      </c>
      <c r="U618" s="212" t="s">
        <v>446</v>
      </c>
      <c r="V618" s="214" t="b">
        <v>1</v>
      </c>
      <c r="W618" s="214">
        <v>1989</v>
      </c>
      <c r="X618" s="214">
        <v>5</v>
      </c>
      <c r="Y618" s="214">
        <v>2</v>
      </c>
      <c r="Z618" s="214">
        <v>4</v>
      </c>
      <c r="AA618" s="212" t="s">
        <v>447</v>
      </c>
      <c r="AB618" s="212" t="s">
        <v>531</v>
      </c>
      <c r="AC618" s="212" t="s">
        <v>533</v>
      </c>
      <c r="AD618" s="214">
        <v>1.640296</v>
      </c>
      <c r="AE618" s="214">
        <v>592</v>
      </c>
      <c r="AF618" s="214">
        <v>8.0761000000000003</v>
      </c>
      <c r="AG618" s="214">
        <v>-99</v>
      </c>
      <c r="AH618" s="212" t="s">
        <v>224</v>
      </c>
      <c r="AI618" s="212" t="s">
        <v>449</v>
      </c>
      <c r="AJ618" s="212" t="s">
        <v>273</v>
      </c>
      <c r="AK618" s="212" t="s">
        <v>531</v>
      </c>
      <c r="AL618" s="212" t="s">
        <v>377</v>
      </c>
      <c r="AM618" s="214" t="b">
        <v>1</v>
      </c>
      <c r="AN618" s="214" t="b">
        <v>0</v>
      </c>
      <c r="AO618" s="212" t="s">
        <v>274</v>
      </c>
      <c r="AP618" s="212" t="s">
        <v>275</v>
      </c>
      <c r="AQ618" s="214">
        <v>58.122199999999992</v>
      </c>
      <c r="AR618" s="214" t="b">
        <v>0</v>
      </c>
      <c r="AS618" s="212" t="s">
        <v>534</v>
      </c>
      <c r="AU618" s="222" t="s">
        <v>819</v>
      </c>
    </row>
    <row r="619" spans="1:47" x14ac:dyDescent="0.25">
      <c r="A619" s="245">
        <f t="shared" si="86"/>
        <v>619</v>
      </c>
      <c r="B619" s="246" t="str">
        <f t="shared" si="84"/>
        <v>Oil Field - Tank</v>
      </c>
      <c r="C619" s="246" t="str">
        <f ca="1">IF(B619="","",VLOOKUP(D619,'Species Data'!B:E,4,FALSE))</f>
        <v>N_hep</v>
      </c>
      <c r="D619" s="246">
        <f t="shared" ca="1" si="87"/>
        <v>600</v>
      </c>
      <c r="E619" s="246">
        <f t="shared" ca="1" si="88"/>
        <v>1.0903</v>
      </c>
      <c r="F619" s="246" t="str">
        <f t="shared" ca="1" si="89"/>
        <v>N-heptane</v>
      </c>
      <c r="G619" s="246">
        <f t="shared" ca="1" si="90"/>
        <v>100.20194000000001</v>
      </c>
      <c r="H619" s="204">
        <f ca="1">IF(G619="","",IF(VLOOKUP(Tank!F619,'Species Data'!D:F,3,FALSE)=0,"X",IF(G619&lt;44.1,2,1)))</f>
        <v>1</v>
      </c>
      <c r="I619" s="204">
        <f t="shared" ca="1" si="91"/>
        <v>0.55093195561344066</v>
      </c>
      <c r="J619" s="247">
        <f ca="1">IF(I619="","",IF(COUNTIF($D$12:D619,D619)=1,IF(H619=1,I619*H619,IF(H619="X","X",0)),0))</f>
        <v>0</v>
      </c>
      <c r="K619" s="248">
        <f t="shared" ca="1" si="85"/>
        <v>0</v>
      </c>
      <c r="L619" s="212" t="s">
        <v>679</v>
      </c>
      <c r="M619" s="212" t="s">
        <v>448</v>
      </c>
      <c r="N619" s="212" t="s">
        <v>470</v>
      </c>
      <c r="O619" s="213">
        <v>41419</v>
      </c>
      <c r="P619" s="212" t="s">
        <v>531</v>
      </c>
      <c r="Q619" s="214">
        <v>100</v>
      </c>
      <c r="R619" s="212" t="s">
        <v>445</v>
      </c>
      <c r="S619" s="212" t="s">
        <v>532</v>
      </c>
      <c r="T619" s="212" t="s">
        <v>445</v>
      </c>
      <c r="U619" s="212" t="s">
        <v>446</v>
      </c>
      <c r="V619" s="214" t="b">
        <v>1</v>
      </c>
      <c r="W619" s="214">
        <v>1989</v>
      </c>
      <c r="X619" s="214">
        <v>5</v>
      </c>
      <c r="Y619" s="214">
        <v>2</v>
      </c>
      <c r="Z619" s="214">
        <v>4</v>
      </c>
      <c r="AA619" s="212" t="s">
        <v>447</v>
      </c>
      <c r="AB619" s="212" t="s">
        <v>531</v>
      </c>
      <c r="AC619" s="212" t="s">
        <v>533</v>
      </c>
      <c r="AD619" s="214">
        <v>1.640296</v>
      </c>
      <c r="AE619" s="214">
        <v>600</v>
      </c>
      <c r="AF619" s="214">
        <v>1.0903</v>
      </c>
      <c r="AG619" s="214">
        <v>-99</v>
      </c>
      <c r="AH619" s="212" t="s">
        <v>224</v>
      </c>
      <c r="AI619" s="212" t="s">
        <v>449</v>
      </c>
      <c r="AJ619" s="212" t="s">
        <v>276</v>
      </c>
      <c r="AK619" s="212" t="s">
        <v>531</v>
      </c>
      <c r="AL619" s="212" t="s">
        <v>378</v>
      </c>
      <c r="AM619" s="214" t="b">
        <v>1</v>
      </c>
      <c r="AN619" s="214" t="b">
        <v>0</v>
      </c>
      <c r="AO619" s="212" t="s">
        <v>277</v>
      </c>
      <c r="AP619" s="212" t="s">
        <v>278</v>
      </c>
      <c r="AQ619" s="214">
        <v>100.20194000000001</v>
      </c>
      <c r="AR619" s="214" t="b">
        <v>0</v>
      </c>
      <c r="AS619" s="212" t="s">
        <v>534</v>
      </c>
      <c r="AU619" s="222" t="s">
        <v>819</v>
      </c>
    </row>
    <row r="620" spans="1:47" x14ac:dyDescent="0.25">
      <c r="A620" s="245">
        <f t="shared" si="86"/>
        <v>620</v>
      </c>
      <c r="B620" s="246" t="str">
        <f t="shared" si="84"/>
        <v>Oil Field - Tank</v>
      </c>
      <c r="C620" s="246" t="str">
        <f ca="1">IF(B620="","",VLOOKUP(D620,'Species Data'!B:E,4,FALSE))</f>
        <v>N_hex</v>
      </c>
      <c r="D620" s="246">
        <f t="shared" ca="1" si="87"/>
        <v>601</v>
      </c>
      <c r="E620" s="246">
        <f t="shared" ca="1" si="88"/>
        <v>1.9254</v>
      </c>
      <c r="F620" s="246" t="str">
        <f t="shared" ca="1" si="89"/>
        <v>N-hexane</v>
      </c>
      <c r="G620" s="246">
        <f t="shared" ca="1" si="90"/>
        <v>86.175359999999998</v>
      </c>
      <c r="H620" s="204">
        <f ca="1">IF(G620="","",IF(VLOOKUP(Tank!F620,'Species Data'!D:F,3,FALSE)=0,"X",IF(G620&lt;44.1,2,1)))</f>
        <v>1</v>
      </c>
      <c r="I620" s="204">
        <f t="shared" ca="1" si="91"/>
        <v>1.4244870084086145</v>
      </c>
      <c r="J620" s="247">
        <f ca="1">IF(I620="","",IF(COUNTIF($D$12:D620,D620)=1,IF(H620=1,I620*H620,IF(H620="X","X",0)),0))</f>
        <v>0</v>
      </c>
      <c r="K620" s="248">
        <f t="shared" ca="1" si="85"/>
        <v>0</v>
      </c>
      <c r="L620" s="212" t="s">
        <v>679</v>
      </c>
      <c r="M620" s="212" t="s">
        <v>448</v>
      </c>
      <c r="N620" s="212" t="s">
        <v>470</v>
      </c>
      <c r="O620" s="213">
        <v>41419</v>
      </c>
      <c r="P620" s="212" t="s">
        <v>531</v>
      </c>
      <c r="Q620" s="214">
        <v>100</v>
      </c>
      <c r="R620" s="212" t="s">
        <v>445</v>
      </c>
      <c r="S620" s="212" t="s">
        <v>532</v>
      </c>
      <c r="T620" s="212" t="s">
        <v>445</v>
      </c>
      <c r="U620" s="212" t="s">
        <v>446</v>
      </c>
      <c r="V620" s="214" t="b">
        <v>1</v>
      </c>
      <c r="W620" s="214">
        <v>1989</v>
      </c>
      <c r="X620" s="214">
        <v>5</v>
      </c>
      <c r="Y620" s="214">
        <v>2</v>
      </c>
      <c r="Z620" s="214">
        <v>4</v>
      </c>
      <c r="AA620" s="212" t="s">
        <v>447</v>
      </c>
      <c r="AB620" s="212" t="s">
        <v>531</v>
      </c>
      <c r="AC620" s="212" t="s">
        <v>533</v>
      </c>
      <c r="AD620" s="214">
        <v>1.640296</v>
      </c>
      <c r="AE620" s="214">
        <v>601</v>
      </c>
      <c r="AF620" s="214">
        <v>1.9254</v>
      </c>
      <c r="AG620" s="214">
        <v>-99</v>
      </c>
      <c r="AH620" s="212" t="s">
        <v>224</v>
      </c>
      <c r="AI620" s="212" t="s">
        <v>449</v>
      </c>
      <c r="AJ620" s="212" t="s">
        <v>279</v>
      </c>
      <c r="AK620" s="212" t="s">
        <v>531</v>
      </c>
      <c r="AL620" s="212" t="s">
        <v>379</v>
      </c>
      <c r="AM620" s="214" t="b">
        <v>1</v>
      </c>
      <c r="AN620" s="214" t="b">
        <v>1</v>
      </c>
      <c r="AO620" s="212" t="s">
        <v>280</v>
      </c>
      <c r="AP620" s="212" t="s">
        <v>281</v>
      </c>
      <c r="AQ620" s="214">
        <v>86.175359999999998</v>
      </c>
      <c r="AR620" s="214" t="b">
        <v>0</v>
      </c>
      <c r="AS620" s="212" t="s">
        <v>534</v>
      </c>
      <c r="AU620" s="222" t="s">
        <v>819</v>
      </c>
    </row>
    <row r="621" spans="1:47" x14ac:dyDescent="0.25">
      <c r="A621" s="245">
        <f t="shared" si="86"/>
        <v>621</v>
      </c>
      <c r="B621" s="246" t="str">
        <f t="shared" si="84"/>
        <v>Oil Field - Tank</v>
      </c>
      <c r="C621" s="246" t="str">
        <f ca="1">IF(B621="","",VLOOKUP(D621,'Species Data'!B:E,4,FALSE))</f>
        <v>N_nonane</v>
      </c>
      <c r="D621" s="246">
        <f t="shared" ca="1" si="87"/>
        <v>603</v>
      </c>
      <c r="E621" s="246">
        <f t="shared" ca="1" si="88"/>
        <v>4.4999999999999998E-2</v>
      </c>
      <c r="F621" s="246" t="str">
        <f t="shared" ca="1" si="89"/>
        <v>N-nonane</v>
      </c>
      <c r="G621" s="246">
        <f t="shared" ca="1" si="90"/>
        <v>128.2551</v>
      </c>
      <c r="H621" s="204">
        <f ca="1">IF(G621="","",IF(VLOOKUP(Tank!F621,'Species Data'!D:F,3,FALSE)=0,"X",IF(G621&lt;44.1,2,1)))</f>
        <v>1</v>
      </c>
      <c r="I621" s="204">
        <f t="shared" ca="1" si="91"/>
        <v>6.0467247152239355E-2</v>
      </c>
      <c r="J621" s="247">
        <f ca="1">IF(I621="","",IF(COUNTIF($D$12:D621,D621)=1,IF(H621=1,I621*H621,IF(H621="X","X",0)),0))</f>
        <v>0</v>
      </c>
      <c r="K621" s="248">
        <f t="shared" ca="1" si="85"/>
        <v>0</v>
      </c>
      <c r="L621" s="212" t="s">
        <v>679</v>
      </c>
      <c r="M621" s="212" t="s">
        <v>448</v>
      </c>
      <c r="N621" s="212" t="s">
        <v>470</v>
      </c>
      <c r="O621" s="213">
        <v>41419</v>
      </c>
      <c r="P621" s="212" t="s">
        <v>531</v>
      </c>
      <c r="Q621" s="214">
        <v>100</v>
      </c>
      <c r="R621" s="212" t="s">
        <v>445</v>
      </c>
      <c r="S621" s="212" t="s">
        <v>532</v>
      </c>
      <c r="T621" s="212" t="s">
        <v>445</v>
      </c>
      <c r="U621" s="212" t="s">
        <v>446</v>
      </c>
      <c r="V621" s="214" t="b">
        <v>1</v>
      </c>
      <c r="W621" s="214">
        <v>1989</v>
      </c>
      <c r="X621" s="214">
        <v>5</v>
      </c>
      <c r="Y621" s="214">
        <v>2</v>
      </c>
      <c r="Z621" s="214">
        <v>4</v>
      </c>
      <c r="AA621" s="212" t="s">
        <v>447</v>
      </c>
      <c r="AB621" s="212" t="s">
        <v>531</v>
      </c>
      <c r="AC621" s="212" t="s">
        <v>533</v>
      </c>
      <c r="AD621" s="214">
        <v>1.640296</v>
      </c>
      <c r="AE621" s="214">
        <v>603</v>
      </c>
      <c r="AF621" s="214">
        <v>4.4999999999999998E-2</v>
      </c>
      <c r="AG621" s="214">
        <v>-99</v>
      </c>
      <c r="AH621" s="212" t="s">
        <v>224</v>
      </c>
      <c r="AI621" s="212" t="s">
        <v>449</v>
      </c>
      <c r="AJ621" s="212" t="s">
        <v>417</v>
      </c>
      <c r="AK621" s="212" t="s">
        <v>531</v>
      </c>
      <c r="AL621" s="212" t="s">
        <v>453</v>
      </c>
      <c r="AM621" s="214" t="b">
        <v>1</v>
      </c>
      <c r="AN621" s="214" t="b">
        <v>0</v>
      </c>
      <c r="AO621" s="212" t="s">
        <v>418</v>
      </c>
      <c r="AP621" s="212" t="s">
        <v>419</v>
      </c>
      <c r="AQ621" s="214">
        <v>128.2551</v>
      </c>
      <c r="AR621" s="214" t="b">
        <v>0</v>
      </c>
      <c r="AS621" s="212" t="s">
        <v>534</v>
      </c>
      <c r="AU621" s="222" t="s">
        <v>819</v>
      </c>
    </row>
    <row r="622" spans="1:47" x14ac:dyDescent="0.25">
      <c r="A622" s="245">
        <f t="shared" si="86"/>
        <v>622</v>
      </c>
      <c r="B622" s="246" t="str">
        <f t="shared" si="84"/>
        <v>Oil Field - Tank</v>
      </c>
      <c r="C622" s="246" t="str">
        <f ca="1">IF(B622="","",VLOOKUP(D622,'Species Data'!B:E,4,FALSE))</f>
        <v>N_octane</v>
      </c>
      <c r="D622" s="246">
        <f t="shared" ca="1" si="87"/>
        <v>604</v>
      </c>
      <c r="E622" s="246">
        <f t="shared" ca="1" si="88"/>
        <v>0.64300000000000002</v>
      </c>
      <c r="F622" s="246" t="str">
        <f t="shared" ca="1" si="89"/>
        <v>N-octane</v>
      </c>
      <c r="G622" s="246">
        <f t="shared" ca="1" si="90"/>
        <v>114.22852</v>
      </c>
      <c r="H622" s="204">
        <f ca="1">IF(G622="","",IF(VLOOKUP(Tank!F622,'Species Data'!D:F,3,FALSE)=0,"X",IF(G622&lt;44.1,2,1)))</f>
        <v>1</v>
      </c>
      <c r="I622" s="204">
        <f t="shared" ca="1" si="91"/>
        <v>0.21590207265989761</v>
      </c>
      <c r="J622" s="247">
        <f ca="1">IF(I622="","",IF(COUNTIF($D$12:D622,D622)=1,IF(H622=1,I622*H622,IF(H622="X","X",0)),0))</f>
        <v>0</v>
      </c>
      <c r="K622" s="248">
        <f t="shared" ca="1" si="85"/>
        <v>0</v>
      </c>
      <c r="L622" s="212" t="s">
        <v>679</v>
      </c>
      <c r="M622" s="212" t="s">
        <v>448</v>
      </c>
      <c r="N622" s="212" t="s">
        <v>470</v>
      </c>
      <c r="O622" s="213">
        <v>41419</v>
      </c>
      <c r="P622" s="212" t="s">
        <v>531</v>
      </c>
      <c r="Q622" s="214">
        <v>100</v>
      </c>
      <c r="R622" s="212" t="s">
        <v>445</v>
      </c>
      <c r="S622" s="212" t="s">
        <v>532</v>
      </c>
      <c r="T622" s="212" t="s">
        <v>445</v>
      </c>
      <c r="U622" s="212" t="s">
        <v>446</v>
      </c>
      <c r="V622" s="214" t="b">
        <v>1</v>
      </c>
      <c r="W622" s="214">
        <v>1989</v>
      </c>
      <c r="X622" s="214">
        <v>5</v>
      </c>
      <c r="Y622" s="214">
        <v>2</v>
      </c>
      <c r="Z622" s="214">
        <v>4</v>
      </c>
      <c r="AA622" s="212" t="s">
        <v>447</v>
      </c>
      <c r="AB622" s="212" t="s">
        <v>531</v>
      </c>
      <c r="AC622" s="212" t="s">
        <v>533</v>
      </c>
      <c r="AD622" s="214">
        <v>1.640296</v>
      </c>
      <c r="AE622" s="214">
        <v>604</v>
      </c>
      <c r="AF622" s="214">
        <v>0.64300000000000002</v>
      </c>
      <c r="AG622" s="214">
        <v>-99</v>
      </c>
      <c r="AH622" s="212" t="s">
        <v>224</v>
      </c>
      <c r="AI622" s="212" t="s">
        <v>449</v>
      </c>
      <c r="AJ622" s="212" t="s">
        <v>282</v>
      </c>
      <c r="AK622" s="212" t="s">
        <v>531</v>
      </c>
      <c r="AL622" s="212" t="s">
        <v>380</v>
      </c>
      <c r="AM622" s="214" t="b">
        <v>1</v>
      </c>
      <c r="AN622" s="214" t="b">
        <v>0</v>
      </c>
      <c r="AO622" s="212" t="s">
        <v>283</v>
      </c>
      <c r="AP622" s="212" t="s">
        <v>284</v>
      </c>
      <c r="AQ622" s="214">
        <v>114.22852</v>
      </c>
      <c r="AR622" s="214" t="b">
        <v>0</v>
      </c>
      <c r="AS622" s="212" t="s">
        <v>534</v>
      </c>
      <c r="AU622" s="222" t="s">
        <v>819</v>
      </c>
    </row>
    <row r="623" spans="1:47" x14ac:dyDescent="0.25">
      <c r="A623" s="245">
        <f t="shared" si="86"/>
        <v>623</v>
      </c>
      <c r="B623" s="246" t="str">
        <f t="shared" si="84"/>
        <v>Oil Field - Tank</v>
      </c>
      <c r="C623" s="246" t="str">
        <f ca="1">IF(B623="","",VLOOKUP(D623,'Species Data'!B:E,4,FALSE))</f>
        <v>N_pentane</v>
      </c>
      <c r="D623" s="246">
        <f t="shared" ca="1" si="87"/>
        <v>605</v>
      </c>
      <c r="E623" s="246">
        <f t="shared" ca="1" si="88"/>
        <v>4.1816000000000004</v>
      </c>
      <c r="F623" s="246" t="str">
        <f t="shared" ca="1" si="89"/>
        <v>N-pentane</v>
      </c>
      <c r="G623" s="246">
        <f t="shared" ca="1" si="90"/>
        <v>72.148780000000002</v>
      </c>
      <c r="H623" s="204">
        <f ca="1">IF(G623="","",IF(VLOOKUP(Tank!F623,'Species Data'!D:F,3,FALSE)=0,"X",IF(G623&lt;44.1,2,1)))</f>
        <v>1</v>
      </c>
      <c r="I623" s="204">
        <f t="shared" ca="1" si="91"/>
        <v>3.2465311666992012</v>
      </c>
      <c r="J623" s="247">
        <f ca="1">IF(I623="","",IF(COUNTIF($D$12:D623,D623)=1,IF(H623=1,I623*H623,IF(H623="X","X",0)),0))</f>
        <v>0</v>
      </c>
      <c r="K623" s="248">
        <f t="shared" ca="1" si="85"/>
        <v>0</v>
      </c>
      <c r="L623" s="212" t="s">
        <v>679</v>
      </c>
      <c r="M623" s="212" t="s">
        <v>448</v>
      </c>
      <c r="N623" s="212" t="s">
        <v>470</v>
      </c>
      <c r="O623" s="213">
        <v>41419</v>
      </c>
      <c r="P623" s="212" t="s">
        <v>531</v>
      </c>
      <c r="Q623" s="214">
        <v>100</v>
      </c>
      <c r="R623" s="212" t="s">
        <v>445</v>
      </c>
      <c r="S623" s="212" t="s">
        <v>532</v>
      </c>
      <c r="T623" s="212" t="s">
        <v>445</v>
      </c>
      <c r="U623" s="212" t="s">
        <v>446</v>
      </c>
      <c r="V623" s="214" t="b">
        <v>1</v>
      </c>
      <c r="W623" s="214">
        <v>1989</v>
      </c>
      <c r="X623" s="214">
        <v>5</v>
      </c>
      <c r="Y623" s="214">
        <v>2</v>
      </c>
      <c r="Z623" s="214">
        <v>4</v>
      </c>
      <c r="AA623" s="212" t="s">
        <v>447</v>
      </c>
      <c r="AB623" s="212" t="s">
        <v>531</v>
      </c>
      <c r="AC623" s="212" t="s">
        <v>533</v>
      </c>
      <c r="AD623" s="214">
        <v>1.640296</v>
      </c>
      <c r="AE623" s="214">
        <v>605</v>
      </c>
      <c r="AF623" s="214">
        <v>4.1816000000000004</v>
      </c>
      <c r="AG623" s="214">
        <v>-99</v>
      </c>
      <c r="AH623" s="212" t="s">
        <v>224</v>
      </c>
      <c r="AI623" s="212" t="s">
        <v>449</v>
      </c>
      <c r="AJ623" s="212" t="s">
        <v>285</v>
      </c>
      <c r="AK623" s="212" t="s">
        <v>531</v>
      </c>
      <c r="AL623" s="212" t="s">
        <v>381</v>
      </c>
      <c r="AM623" s="214" t="b">
        <v>1</v>
      </c>
      <c r="AN623" s="214" t="b">
        <v>0</v>
      </c>
      <c r="AO623" s="212" t="s">
        <v>286</v>
      </c>
      <c r="AP623" s="212" t="s">
        <v>287</v>
      </c>
      <c r="AQ623" s="214">
        <v>72.148780000000002</v>
      </c>
      <c r="AR623" s="214" t="b">
        <v>0</v>
      </c>
      <c r="AS623" s="212" t="s">
        <v>534</v>
      </c>
      <c r="AU623" s="222" t="s">
        <v>819</v>
      </c>
    </row>
    <row r="624" spans="1:47" x14ac:dyDescent="0.25">
      <c r="A624" s="245">
        <f t="shared" si="86"/>
        <v>624</v>
      </c>
      <c r="B624" s="246" t="str">
        <f t="shared" si="84"/>
        <v>Oil Field - Tank</v>
      </c>
      <c r="C624" s="246" t="str">
        <f ca="1">IF(B624="","",VLOOKUP(D624,'Species Data'!B:E,4,FALSE))</f>
        <v>N_proben</v>
      </c>
      <c r="D624" s="246">
        <f t="shared" ca="1" si="87"/>
        <v>608</v>
      </c>
      <c r="E624" s="246">
        <f t="shared" ca="1" si="88"/>
        <v>3.8199999999999998E-2</v>
      </c>
      <c r="F624" s="246" t="str">
        <f t="shared" ca="1" si="89"/>
        <v>N-propylbenzene</v>
      </c>
      <c r="G624" s="246">
        <f t="shared" ca="1" si="90"/>
        <v>120.19158</v>
      </c>
      <c r="H624" s="204">
        <f ca="1">IF(G624="","",IF(VLOOKUP(Tank!F624,'Species Data'!D:F,3,FALSE)=0,"X",IF(G624&lt;44.1,2,1)))</f>
        <v>1</v>
      </c>
      <c r="I624" s="204">
        <f t="shared" ca="1" si="91"/>
        <v>2.0193527191194376E-2</v>
      </c>
      <c r="J624" s="247">
        <f ca="1">IF(I624="","",IF(COUNTIF($D$12:D624,D624)=1,IF(H624=1,I624*H624,IF(H624="X","X",0)),0))</f>
        <v>0</v>
      </c>
      <c r="K624" s="248">
        <f t="shared" ca="1" si="85"/>
        <v>0</v>
      </c>
      <c r="L624" s="212" t="s">
        <v>679</v>
      </c>
      <c r="M624" s="212" t="s">
        <v>448</v>
      </c>
      <c r="N624" s="212" t="s">
        <v>470</v>
      </c>
      <c r="O624" s="213">
        <v>41419</v>
      </c>
      <c r="P624" s="212" t="s">
        <v>531</v>
      </c>
      <c r="Q624" s="214">
        <v>100</v>
      </c>
      <c r="R624" s="212" t="s">
        <v>445</v>
      </c>
      <c r="S624" s="212" t="s">
        <v>532</v>
      </c>
      <c r="T624" s="212" t="s">
        <v>445</v>
      </c>
      <c r="U624" s="212" t="s">
        <v>446</v>
      </c>
      <c r="V624" s="214" t="b">
        <v>1</v>
      </c>
      <c r="W624" s="214">
        <v>1989</v>
      </c>
      <c r="X624" s="214">
        <v>5</v>
      </c>
      <c r="Y624" s="214">
        <v>2</v>
      </c>
      <c r="Z624" s="214">
        <v>4</v>
      </c>
      <c r="AA624" s="212" t="s">
        <v>447</v>
      </c>
      <c r="AB624" s="212" t="s">
        <v>531</v>
      </c>
      <c r="AC624" s="212" t="s">
        <v>533</v>
      </c>
      <c r="AD624" s="214">
        <v>1.640296</v>
      </c>
      <c r="AE624" s="214">
        <v>608</v>
      </c>
      <c r="AF624" s="214">
        <v>3.8199999999999998E-2</v>
      </c>
      <c r="AG624" s="214">
        <v>-99</v>
      </c>
      <c r="AH624" s="212" t="s">
        <v>224</v>
      </c>
      <c r="AI624" s="212" t="s">
        <v>449</v>
      </c>
      <c r="AJ624" s="212" t="s">
        <v>420</v>
      </c>
      <c r="AK624" s="212" t="s">
        <v>531</v>
      </c>
      <c r="AL624" s="212" t="s">
        <v>454</v>
      </c>
      <c r="AM624" s="214" t="b">
        <v>1</v>
      </c>
      <c r="AN624" s="214" t="b">
        <v>0</v>
      </c>
      <c r="AO624" s="212" t="s">
        <v>421</v>
      </c>
      <c r="AP624" s="212" t="s">
        <v>422</v>
      </c>
      <c r="AQ624" s="214">
        <v>120.19158</v>
      </c>
      <c r="AR624" s="214" t="b">
        <v>0</v>
      </c>
      <c r="AS624" s="212" t="s">
        <v>534</v>
      </c>
      <c r="AU624" s="222" t="s">
        <v>819</v>
      </c>
    </row>
    <row r="625" spans="1:47" x14ac:dyDescent="0.25">
      <c r="A625" s="245">
        <f t="shared" si="86"/>
        <v>625</v>
      </c>
      <c r="B625" s="246" t="str">
        <f t="shared" si="84"/>
        <v>Oil Field - Tank</v>
      </c>
      <c r="C625" s="246" t="str">
        <f ca="1">IF(B625="","",VLOOKUP(D625,'Species Data'!B:E,4,FALSE))</f>
        <v>O_xylene</v>
      </c>
      <c r="D625" s="246">
        <f t="shared" ca="1" si="87"/>
        <v>620</v>
      </c>
      <c r="E625" s="246">
        <f t="shared" ca="1" si="88"/>
        <v>0.1187</v>
      </c>
      <c r="F625" s="246" t="str">
        <f t="shared" ca="1" si="89"/>
        <v>O-xylene</v>
      </c>
      <c r="G625" s="246">
        <f t="shared" ca="1" si="90"/>
        <v>106.16500000000001</v>
      </c>
      <c r="H625" s="204">
        <f ca="1">IF(G625="","",IF(VLOOKUP(Tank!F625,'Species Data'!D:F,3,FALSE)=0,"X",IF(G625&lt;44.1,2,1)))</f>
        <v>1</v>
      </c>
      <c r="I625" s="204">
        <f t="shared" ca="1" si="91"/>
        <v>5.0080480772615434E-2</v>
      </c>
      <c r="J625" s="247">
        <f ca="1">IF(I625="","",IF(COUNTIF($D$12:D625,D625)=1,IF(H625=1,I625*H625,IF(H625="X","X",0)),0))</f>
        <v>0</v>
      </c>
      <c r="K625" s="248">
        <f t="shared" ca="1" si="85"/>
        <v>0</v>
      </c>
      <c r="L625" s="212" t="s">
        <v>679</v>
      </c>
      <c r="M625" s="212" t="s">
        <v>448</v>
      </c>
      <c r="N625" s="212" t="s">
        <v>470</v>
      </c>
      <c r="O625" s="213">
        <v>41419</v>
      </c>
      <c r="P625" s="212" t="s">
        <v>531</v>
      </c>
      <c r="Q625" s="214">
        <v>100</v>
      </c>
      <c r="R625" s="212" t="s">
        <v>445</v>
      </c>
      <c r="S625" s="212" t="s">
        <v>532</v>
      </c>
      <c r="T625" s="212" t="s">
        <v>445</v>
      </c>
      <c r="U625" s="212" t="s">
        <v>446</v>
      </c>
      <c r="V625" s="214" t="b">
        <v>1</v>
      </c>
      <c r="W625" s="214">
        <v>1989</v>
      </c>
      <c r="X625" s="214">
        <v>5</v>
      </c>
      <c r="Y625" s="214">
        <v>2</v>
      </c>
      <c r="Z625" s="214">
        <v>4</v>
      </c>
      <c r="AA625" s="212" t="s">
        <v>447</v>
      </c>
      <c r="AB625" s="212" t="s">
        <v>531</v>
      </c>
      <c r="AC625" s="212" t="s">
        <v>533</v>
      </c>
      <c r="AD625" s="214">
        <v>1.640296</v>
      </c>
      <c r="AE625" s="214">
        <v>620</v>
      </c>
      <c r="AF625" s="214">
        <v>0.1187</v>
      </c>
      <c r="AG625" s="214">
        <v>-99</v>
      </c>
      <c r="AH625" s="212" t="s">
        <v>224</v>
      </c>
      <c r="AI625" s="212" t="s">
        <v>449</v>
      </c>
      <c r="AJ625" s="212" t="s">
        <v>354</v>
      </c>
      <c r="AK625" s="212" t="s">
        <v>531</v>
      </c>
      <c r="AL625" s="212" t="s">
        <v>398</v>
      </c>
      <c r="AM625" s="214" t="b">
        <v>1</v>
      </c>
      <c r="AN625" s="214" t="b">
        <v>1</v>
      </c>
      <c r="AO625" s="212" t="s">
        <v>355</v>
      </c>
      <c r="AP625" s="212" t="s">
        <v>356</v>
      </c>
      <c r="AQ625" s="214">
        <v>106.16500000000001</v>
      </c>
      <c r="AR625" s="214" t="b">
        <v>0</v>
      </c>
      <c r="AS625" s="212" t="s">
        <v>534</v>
      </c>
      <c r="AU625" s="222" t="s">
        <v>819</v>
      </c>
    </row>
    <row r="626" spans="1:47" x14ac:dyDescent="0.25">
      <c r="A626" s="245">
        <f t="shared" si="86"/>
        <v>626</v>
      </c>
      <c r="B626" s="246" t="str">
        <f t="shared" si="84"/>
        <v>Oil Field - Tank</v>
      </c>
      <c r="C626" s="246" t="str">
        <f ca="1">IF(B626="","",VLOOKUP(D626,'Species Data'!B:E,4,FALSE))</f>
        <v>P_xylene</v>
      </c>
      <c r="D626" s="246">
        <f t="shared" ca="1" si="87"/>
        <v>648</v>
      </c>
      <c r="E626" s="246">
        <f t="shared" ca="1" si="88"/>
        <v>0.31409999999999999</v>
      </c>
      <c r="F626" s="246" t="str">
        <f t="shared" ca="1" si="89"/>
        <v>P-xylene</v>
      </c>
      <c r="G626" s="246">
        <f t="shared" ca="1" si="90"/>
        <v>106.16500000000001</v>
      </c>
      <c r="H626" s="204">
        <f ca="1">IF(G626="","",IF(VLOOKUP(Tank!F626,'Species Data'!D:F,3,FALSE)=0,"X",IF(G626&lt;44.1,2,1)))</f>
        <v>1</v>
      </c>
      <c r="I626" s="204">
        <f t="shared" ca="1" si="91"/>
        <v>8.2000787207557213E-2</v>
      </c>
      <c r="J626" s="247">
        <f ca="1">IF(I626="","",IF(COUNTIF($D$12:D626,D626)=1,IF(H626=1,I626*H626,IF(H626="X","X",0)),0))</f>
        <v>0</v>
      </c>
      <c r="K626" s="248">
        <f t="shared" ca="1" si="85"/>
        <v>0</v>
      </c>
      <c r="L626" s="212" t="s">
        <v>679</v>
      </c>
      <c r="M626" s="212" t="s">
        <v>448</v>
      </c>
      <c r="N626" s="212" t="s">
        <v>470</v>
      </c>
      <c r="O626" s="213">
        <v>41419</v>
      </c>
      <c r="P626" s="212" t="s">
        <v>531</v>
      </c>
      <c r="Q626" s="214">
        <v>100</v>
      </c>
      <c r="R626" s="212" t="s">
        <v>445</v>
      </c>
      <c r="S626" s="212" t="s">
        <v>532</v>
      </c>
      <c r="T626" s="212" t="s">
        <v>445</v>
      </c>
      <c r="U626" s="212" t="s">
        <v>446</v>
      </c>
      <c r="V626" s="214" t="b">
        <v>1</v>
      </c>
      <c r="W626" s="214">
        <v>1989</v>
      </c>
      <c r="X626" s="214">
        <v>5</v>
      </c>
      <c r="Y626" s="214">
        <v>2</v>
      </c>
      <c r="Z626" s="214">
        <v>4</v>
      </c>
      <c r="AA626" s="212" t="s">
        <v>447</v>
      </c>
      <c r="AB626" s="212" t="s">
        <v>531</v>
      </c>
      <c r="AC626" s="212" t="s">
        <v>533</v>
      </c>
      <c r="AD626" s="214">
        <v>1.640296</v>
      </c>
      <c r="AE626" s="214">
        <v>648</v>
      </c>
      <c r="AF626" s="214">
        <v>0.31409999999999999</v>
      </c>
      <c r="AG626" s="214">
        <v>-99</v>
      </c>
      <c r="AH626" s="212" t="s">
        <v>224</v>
      </c>
      <c r="AI626" s="212" t="s">
        <v>449</v>
      </c>
      <c r="AJ626" s="212" t="s">
        <v>433</v>
      </c>
      <c r="AK626" s="212" t="s">
        <v>531</v>
      </c>
      <c r="AL626" s="212" t="s">
        <v>459</v>
      </c>
      <c r="AM626" s="214" t="b">
        <v>0</v>
      </c>
      <c r="AN626" s="214" t="b">
        <v>1</v>
      </c>
      <c r="AO626" s="212" t="s">
        <v>434</v>
      </c>
      <c r="AP626" s="212" t="s">
        <v>435</v>
      </c>
      <c r="AQ626" s="214">
        <v>106.16500000000001</v>
      </c>
      <c r="AR626" s="214" t="b">
        <v>0</v>
      </c>
      <c r="AS626" s="212" t="s">
        <v>534</v>
      </c>
      <c r="AU626" s="222" t="s">
        <v>819</v>
      </c>
    </row>
    <row r="627" spans="1:47" x14ac:dyDescent="0.25">
      <c r="A627" s="245">
        <f t="shared" si="86"/>
        <v>627</v>
      </c>
      <c r="B627" s="246" t="str">
        <f t="shared" si="84"/>
        <v>Oil Field - Tank</v>
      </c>
      <c r="C627" s="246" t="str">
        <f ca="1">IF(B627="","",VLOOKUP(D627,'Species Data'!B:E,4,FALSE))</f>
        <v>propane</v>
      </c>
      <c r="D627" s="246">
        <f t="shared" ca="1" si="87"/>
        <v>671</v>
      </c>
      <c r="E627" s="246">
        <f t="shared" ca="1" si="88"/>
        <v>5.2351000000000001</v>
      </c>
      <c r="F627" s="246" t="str">
        <f t="shared" ca="1" si="89"/>
        <v>Propane</v>
      </c>
      <c r="G627" s="246">
        <f t="shared" ca="1" si="90"/>
        <v>44.095619999999997</v>
      </c>
      <c r="H627" s="204">
        <f ca="1">IF(G627="","",IF(VLOOKUP(Tank!F627,'Species Data'!D:F,3,FALSE)=0,"X",IF(G627&lt;44.1,2,1)))</f>
        <v>2</v>
      </c>
      <c r="I627" s="204">
        <f t="shared" ca="1" si="91"/>
        <v>10.138737331878389</v>
      </c>
      <c r="J627" s="247">
        <f ca="1">IF(I627="","",IF(COUNTIF($D$12:D627,D627)=1,IF(H627=1,I627*H627,IF(H627="X","X",0)),0))</f>
        <v>0</v>
      </c>
      <c r="K627" s="248">
        <f t="shared" ca="1" si="85"/>
        <v>0</v>
      </c>
      <c r="L627" s="212" t="s">
        <v>679</v>
      </c>
      <c r="M627" s="212" t="s">
        <v>448</v>
      </c>
      <c r="N627" s="212" t="s">
        <v>470</v>
      </c>
      <c r="O627" s="213">
        <v>41419</v>
      </c>
      <c r="P627" s="212" t="s">
        <v>531</v>
      </c>
      <c r="Q627" s="214">
        <v>100</v>
      </c>
      <c r="R627" s="212" t="s">
        <v>445</v>
      </c>
      <c r="S627" s="212" t="s">
        <v>532</v>
      </c>
      <c r="T627" s="212" t="s">
        <v>445</v>
      </c>
      <c r="U627" s="212" t="s">
        <v>446</v>
      </c>
      <c r="V627" s="214" t="b">
        <v>1</v>
      </c>
      <c r="W627" s="214">
        <v>1989</v>
      </c>
      <c r="X627" s="214">
        <v>5</v>
      </c>
      <c r="Y627" s="214">
        <v>2</v>
      </c>
      <c r="Z627" s="214">
        <v>4</v>
      </c>
      <c r="AA627" s="212" t="s">
        <v>447</v>
      </c>
      <c r="AB627" s="212" t="s">
        <v>531</v>
      </c>
      <c r="AC627" s="212" t="s">
        <v>533</v>
      </c>
      <c r="AD627" s="214">
        <v>1.640296</v>
      </c>
      <c r="AE627" s="214">
        <v>671</v>
      </c>
      <c r="AF627" s="214">
        <v>5.2351000000000001</v>
      </c>
      <c r="AG627" s="214">
        <v>-99</v>
      </c>
      <c r="AH627" s="212" t="s">
        <v>224</v>
      </c>
      <c r="AI627" s="212" t="s">
        <v>449</v>
      </c>
      <c r="AJ627" s="212" t="s">
        <v>288</v>
      </c>
      <c r="AK627" s="212" t="s">
        <v>531</v>
      </c>
      <c r="AL627" s="212" t="s">
        <v>382</v>
      </c>
      <c r="AM627" s="214" t="b">
        <v>1</v>
      </c>
      <c r="AN627" s="214" t="b">
        <v>0</v>
      </c>
      <c r="AO627" s="212" t="s">
        <v>289</v>
      </c>
      <c r="AP627" s="212" t="s">
        <v>290</v>
      </c>
      <c r="AQ627" s="214">
        <v>44.095619999999997</v>
      </c>
      <c r="AR627" s="214" t="b">
        <v>0</v>
      </c>
      <c r="AS627" s="212" t="s">
        <v>534</v>
      </c>
      <c r="AU627" s="222" t="s">
        <v>819</v>
      </c>
    </row>
    <row r="628" spans="1:47" x14ac:dyDescent="0.25">
      <c r="A628" s="245">
        <f t="shared" si="86"/>
        <v>628</v>
      </c>
      <c r="B628" s="246" t="str">
        <f t="shared" si="84"/>
        <v>Oil Field - Tank</v>
      </c>
      <c r="C628" s="246" t="str">
        <f ca="1">IF(B628="","",VLOOKUP(D628,'Species Data'!B:E,4,FALSE))</f>
        <v>T_butben</v>
      </c>
      <c r="D628" s="246">
        <f t="shared" ca="1" si="87"/>
        <v>703</v>
      </c>
      <c r="E628" s="246">
        <f t="shared" ca="1" si="88"/>
        <v>1.5699999999999999E-2</v>
      </c>
      <c r="F628" s="246" t="str">
        <f t="shared" ca="1" si="89"/>
        <v>T-butylbenzene</v>
      </c>
      <c r="G628" s="246">
        <f t="shared" ca="1" si="90"/>
        <v>134.21816000000001</v>
      </c>
      <c r="H628" s="204" t="str">
        <f ca="1">IF(G628="","",IF(VLOOKUP(Tank!F628,'Species Data'!D:F,3,FALSE)=0,"X",IF(G628&lt;44.1,2,1)))</f>
        <v>X</v>
      </c>
      <c r="I628" s="204">
        <f t="shared" ca="1" si="91"/>
        <v>6.7067310512847599E-3</v>
      </c>
      <c r="J628" s="247">
        <f ca="1">IF(I628="","",IF(COUNTIF($D$12:D628,D628)=1,IF(H628=1,I628*H628,IF(H628="X","X",0)),0))</f>
        <v>0</v>
      </c>
      <c r="K628" s="248">
        <f t="shared" ca="1" si="85"/>
        <v>0</v>
      </c>
      <c r="L628" s="212" t="s">
        <v>679</v>
      </c>
      <c r="M628" s="212" t="s">
        <v>448</v>
      </c>
      <c r="N628" s="212" t="s">
        <v>470</v>
      </c>
      <c r="O628" s="213">
        <v>41419</v>
      </c>
      <c r="P628" s="212" t="s">
        <v>531</v>
      </c>
      <c r="Q628" s="214">
        <v>100</v>
      </c>
      <c r="R628" s="212" t="s">
        <v>445</v>
      </c>
      <c r="S628" s="212" t="s">
        <v>532</v>
      </c>
      <c r="T628" s="212" t="s">
        <v>445</v>
      </c>
      <c r="U628" s="212" t="s">
        <v>446</v>
      </c>
      <c r="V628" s="214" t="b">
        <v>1</v>
      </c>
      <c r="W628" s="214">
        <v>1989</v>
      </c>
      <c r="X628" s="214">
        <v>5</v>
      </c>
      <c r="Y628" s="214">
        <v>2</v>
      </c>
      <c r="Z628" s="214">
        <v>4</v>
      </c>
      <c r="AA628" s="212" t="s">
        <v>447</v>
      </c>
      <c r="AB628" s="212" t="s">
        <v>531</v>
      </c>
      <c r="AC628" s="212" t="s">
        <v>533</v>
      </c>
      <c r="AD628" s="214">
        <v>1.640296</v>
      </c>
      <c r="AE628" s="214">
        <v>703</v>
      </c>
      <c r="AF628" s="214">
        <v>1.5699999999999999E-2</v>
      </c>
      <c r="AG628" s="214">
        <v>-99</v>
      </c>
      <c r="AH628" s="212" t="s">
        <v>224</v>
      </c>
      <c r="AI628" s="212" t="s">
        <v>449</v>
      </c>
      <c r="AJ628" s="212" t="s">
        <v>423</v>
      </c>
      <c r="AK628" s="212" t="s">
        <v>531</v>
      </c>
      <c r="AL628" s="212" t="s">
        <v>455</v>
      </c>
      <c r="AM628" s="214" t="b">
        <v>0</v>
      </c>
      <c r="AN628" s="214" t="b">
        <v>0</v>
      </c>
      <c r="AO628" s="212" t="s">
        <v>424</v>
      </c>
      <c r="AP628" s="212" t="s">
        <v>531</v>
      </c>
      <c r="AQ628" s="214">
        <v>134.21816000000001</v>
      </c>
      <c r="AR628" s="214" t="b">
        <v>0</v>
      </c>
      <c r="AS628" s="212" t="s">
        <v>534</v>
      </c>
      <c r="AU628" s="222" t="s">
        <v>819</v>
      </c>
    </row>
    <row r="629" spans="1:47" x14ac:dyDescent="0.25">
      <c r="A629" s="245">
        <f t="shared" si="86"/>
        <v>629</v>
      </c>
      <c r="B629" s="246" t="str">
        <f t="shared" si="84"/>
        <v>Oil Field - Tank</v>
      </c>
      <c r="C629" s="246" t="str">
        <f ca="1">IF(B629="","",VLOOKUP(D629,'Species Data'!B:E,4,FALSE))</f>
        <v>toluene</v>
      </c>
      <c r="D629" s="246">
        <f t="shared" ca="1" si="87"/>
        <v>717</v>
      </c>
      <c r="E629" s="246">
        <f t="shared" ca="1" si="88"/>
        <v>0.26319999999999999</v>
      </c>
      <c r="F629" s="246" t="str">
        <f t="shared" ca="1" si="89"/>
        <v>Toluene</v>
      </c>
      <c r="G629" s="246">
        <f t="shared" ca="1" si="90"/>
        <v>92.138419999999996</v>
      </c>
      <c r="H629" s="204">
        <f ca="1">IF(G629="","",IF(VLOOKUP(Tank!F629,'Species Data'!D:F,3,FALSE)=0,"X",IF(G629&lt;44.1,2,1)))</f>
        <v>1</v>
      </c>
      <c r="I629" s="204">
        <f t="shared" ca="1" si="91"/>
        <v>0.21631540996126902</v>
      </c>
      <c r="J629" s="247">
        <f ca="1">IF(I629="","",IF(COUNTIF($D$12:D629,D629)=1,IF(H629=1,I629*H629,IF(H629="X","X",0)),0))</f>
        <v>0</v>
      </c>
      <c r="K629" s="248">
        <f t="shared" ca="1" si="85"/>
        <v>0</v>
      </c>
      <c r="L629" s="212" t="s">
        <v>679</v>
      </c>
      <c r="M629" s="212" t="s">
        <v>448</v>
      </c>
      <c r="N629" s="212" t="s">
        <v>470</v>
      </c>
      <c r="O629" s="213">
        <v>41419</v>
      </c>
      <c r="P629" s="212" t="s">
        <v>531</v>
      </c>
      <c r="Q629" s="214">
        <v>100</v>
      </c>
      <c r="R629" s="212" t="s">
        <v>445</v>
      </c>
      <c r="S629" s="212" t="s">
        <v>532</v>
      </c>
      <c r="T629" s="212" t="s">
        <v>445</v>
      </c>
      <c r="U629" s="212" t="s">
        <v>446</v>
      </c>
      <c r="V629" s="214" t="b">
        <v>1</v>
      </c>
      <c r="W629" s="214">
        <v>1989</v>
      </c>
      <c r="X629" s="214">
        <v>5</v>
      </c>
      <c r="Y629" s="214">
        <v>2</v>
      </c>
      <c r="Z629" s="214">
        <v>4</v>
      </c>
      <c r="AA629" s="212" t="s">
        <v>447</v>
      </c>
      <c r="AB629" s="212" t="s">
        <v>531</v>
      </c>
      <c r="AC629" s="212" t="s">
        <v>533</v>
      </c>
      <c r="AD629" s="214">
        <v>1.640296</v>
      </c>
      <c r="AE629" s="214">
        <v>717</v>
      </c>
      <c r="AF629" s="214">
        <v>0.26319999999999999</v>
      </c>
      <c r="AG629" s="214">
        <v>-99</v>
      </c>
      <c r="AH629" s="212" t="s">
        <v>224</v>
      </c>
      <c r="AI629" s="212" t="s">
        <v>449</v>
      </c>
      <c r="AJ629" s="212" t="s">
        <v>294</v>
      </c>
      <c r="AK629" s="212" t="s">
        <v>531</v>
      </c>
      <c r="AL629" s="212" t="s">
        <v>383</v>
      </c>
      <c r="AM629" s="214" t="b">
        <v>1</v>
      </c>
      <c r="AN629" s="214" t="b">
        <v>1</v>
      </c>
      <c r="AO629" s="212" t="s">
        <v>295</v>
      </c>
      <c r="AP629" s="212" t="s">
        <v>296</v>
      </c>
      <c r="AQ629" s="214">
        <v>92.138419999999996</v>
      </c>
      <c r="AR629" s="214" t="b">
        <v>0</v>
      </c>
      <c r="AS629" s="212" t="s">
        <v>534</v>
      </c>
      <c r="AU629" s="222" t="s">
        <v>819</v>
      </c>
    </row>
    <row r="630" spans="1:47" x14ac:dyDescent="0.25">
      <c r="A630" s="245">
        <f t="shared" si="86"/>
        <v>630</v>
      </c>
      <c r="B630" s="246" t="str">
        <f t="shared" si="84"/>
        <v>Oil Field - Tank</v>
      </c>
      <c r="C630" s="246" t="str">
        <f ca="1">IF(B630="","",VLOOKUP(D630,'Species Data'!B:E,4,FALSE))</f>
        <v>c10_comp</v>
      </c>
      <c r="D630" s="246">
        <f t="shared" ca="1" si="87"/>
        <v>1924</v>
      </c>
      <c r="E630" s="246">
        <f t="shared" ca="1" si="88"/>
        <v>0.14829999999999999</v>
      </c>
      <c r="F630" s="246" t="str">
        <f t="shared" ca="1" si="89"/>
        <v>C-10 Compounds</v>
      </c>
      <c r="G630" s="246">
        <f t="shared" ca="1" si="90"/>
        <v>142.28167999999999</v>
      </c>
      <c r="H630" s="204" t="str">
        <f ca="1">IF(G630="","",IF(VLOOKUP(Tank!F630,'Species Data'!D:F,3,FALSE)=0,"X",IF(G630&lt;44.1,2,1)))</f>
        <v>X</v>
      </c>
      <c r="I630" s="204">
        <f t="shared" ca="1" si="91"/>
        <v>0.15904819352932459</v>
      </c>
      <c r="J630" s="247">
        <f ca="1">IF(I630="","",IF(COUNTIF($D$12:D630,D630)=1,IF(H630=1,I630*H630,IF(H630="X","X",0)),0))</f>
        <v>0</v>
      </c>
      <c r="K630" s="248">
        <f t="shared" ca="1" si="85"/>
        <v>0</v>
      </c>
      <c r="L630" s="212" t="s">
        <v>679</v>
      </c>
      <c r="M630" s="212" t="s">
        <v>448</v>
      </c>
      <c r="N630" s="212" t="s">
        <v>470</v>
      </c>
      <c r="O630" s="213">
        <v>41419</v>
      </c>
      <c r="P630" s="212" t="s">
        <v>531</v>
      </c>
      <c r="Q630" s="214">
        <v>100</v>
      </c>
      <c r="R630" s="212" t="s">
        <v>445</v>
      </c>
      <c r="S630" s="212" t="s">
        <v>532</v>
      </c>
      <c r="T630" s="212" t="s">
        <v>445</v>
      </c>
      <c r="U630" s="212" t="s">
        <v>446</v>
      </c>
      <c r="V630" s="214" t="b">
        <v>1</v>
      </c>
      <c r="W630" s="214">
        <v>1989</v>
      </c>
      <c r="X630" s="214">
        <v>5</v>
      </c>
      <c r="Y630" s="214">
        <v>2</v>
      </c>
      <c r="Z630" s="214">
        <v>4</v>
      </c>
      <c r="AA630" s="212" t="s">
        <v>447</v>
      </c>
      <c r="AB630" s="212" t="s">
        <v>531</v>
      </c>
      <c r="AC630" s="212" t="s">
        <v>533</v>
      </c>
      <c r="AD630" s="214">
        <v>1.640296</v>
      </c>
      <c r="AE630" s="214">
        <v>1924</v>
      </c>
      <c r="AF630" s="214">
        <v>0.14829999999999999</v>
      </c>
      <c r="AG630" s="214">
        <v>-99</v>
      </c>
      <c r="AH630" s="212" t="s">
        <v>224</v>
      </c>
      <c r="AI630" s="212" t="s">
        <v>449</v>
      </c>
      <c r="AJ630" s="212" t="s">
        <v>224</v>
      </c>
      <c r="AK630" s="212" t="s">
        <v>531</v>
      </c>
      <c r="AL630" s="212" t="s">
        <v>466</v>
      </c>
      <c r="AM630" s="214" t="b">
        <v>0</v>
      </c>
      <c r="AN630" s="214" t="b">
        <v>0</v>
      </c>
      <c r="AO630" s="212" t="s">
        <v>535</v>
      </c>
      <c r="AP630" s="212" t="s">
        <v>536</v>
      </c>
      <c r="AQ630" s="214">
        <v>142.28167999999999</v>
      </c>
      <c r="AR630" s="214" t="b">
        <v>0</v>
      </c>
      <c r="AS630" s="212" t="s">
        <v>534</v>
      </c>
      <c r="AU630" s="222" t="s">
        <v>819</v>
      </c>
    </row>
    <row r="631" spans="1:47" x14ac:dyDescent="0.25">
      <c r="A631" s="245">
        <f t="shared" si="86"/>
        <v>631</v>
      </c>
      <c r="B631" s="246" t="str">
        <f t="shared" si="84"/>
        <v>Oil Field - Tank</v>
      </c>
      <c r="C631" s="246" t="str">
        <f ca="1">IF(B631="","",VLOOKUP(D631,'Species Data'!B:E,4,FALSE))</f>
        <v>c11_comp</v>
      </c>
      <c r="D631" s="246">
        <f t="shared" ca="1" si="87"/>
        <v>1929</v>
      </c>
      <c r="E631" s="246">
        <f t="shared" ca="1" si="88"/>
        <v>2.8299999999999999E-2</v>
      </c>
      <c r="F631" s="246" t="str">
        <f t="shared" ca="1" si="89"/>
        <v>C-11 Compounds</v>
      </c>
      <c r="G631" s="246">
        <f t="shared" ca="1" si="90"/>
        <v>156.30826000000002</v>
      </c>
      <c r="H631" s="204" t="str">
        <f ca="1">IF(G631="","",IF(VLOOKUP(Tank!F631,'Species Data'!D:F,3,FALSE)=0,"X",IF(G631&lt;44.1,2,1)))</f>
        <v>X</v>
      </c>
      <c r="I631" s="204">
        <f t="shared" ca="1" si="91"/>
        <v>2.464690327693813E-2</v>
      </c>
      <c r="J631" s="247">
        <f ca="1">IF(I631="","",IF(COUNTIF($D$12:D631,D631)=1,IF(H631=1,I631*H631,IF(H631="X","X",0)),0))</f>
        <v>0</v>
      </c>
      <c r="K631" s="248">
        <f t="shared" ca="1" si="85"/>
        <v>0</v>
      </c>
      <c r="L631" s="212" t="s">
        <v>679</v>
      </c>
      <c r="M631" s="212" t="s">
        <v>448</v>
      </c>
      <c r="N631" s="212" t="s">
        <v>470</v>
      </c>
      <c r="O631" s="213">
        <v>41419</v>
      </c>
      <c r="P631" s="212" t="s">
        <v>531</v>
      </c>
      <c r="Q631" s="214">
        <v>100</v>
      </c>
      <c r="R631" s="212" t="s">
        <v>445</v>
      </c>
      <c r="S631" s="212" t="s">
        <v>532</v>
      </c>
      <c r="T631" s="212" t="s">
        <v>445</v>
      </c>
      <c r="U631" s="212" t="s">
        <v>446</v>
      </c>
      <c r="V631" s="214" t="b">
        <v>1</v>
      </c>
      <c r="W631" s="214">
        <v>1989</v>
      </c>
      <c r="X631" s="214">
        <v>5</v>
      </c>
      <c r="Y631" s="214">
        <v>2</v>
      </c>
      <c r="Z631" s="214">
        <v>4</v>
      </c>
      <c r="AA631" s="212" t="s">
        <v>447</v>
      </c>
      <c r="AB631" s="212" t="s">
        <v>531</v>
      </c>
      <c r="AC631" s="212" t="s">
        <v>533</v>
      </c>
      <c r="AD631" s="214">
        <v>1.640296</v>
      </c>
      <c r="AE631" s="214">
        <v>1929</v>
      </c>
      <c r="AF631" s="214">
        <v>2.8299999999999999E-2</v>
      </c>
      <c r="AG631" s="214">
        <v>-99</v>
      </c>
      <c r="AH631" s="212" t="s">
        <v>224</v>
      </c>
      <c r="AI631" s="212" t="s">
        <v>449</v>
      </c>
      <c r="AJ631" s="212" t="s">
        <v>224</v>
      </c>
      <c r="AK631" s="212" t="s">
        <v>531</v>
      </c>
      <c r="AL631" s="212" t="s">
        <v>467</v>
      </c>
      <c r="AM631" s="214" t="b">
        <v>0</v>
      </c>
      <c r="AN631" s="214" t="b">
        <v>0</v>
      </c>
      <c r="AO631" s="212" t="s">
        <v>468</v>
      </c>
      <c r="AP631" s="212" t="s">
        <v>469</v>
      </c>
      <c r="AQ631" s="214">
        <v>156.30826000000002</v>
      </c>
      <c r="AR631" s="214" t="b">
        <v>0</v>
      </c>
      <c r="AS631" s="212" t="s">
        <v>534</v>
      </c>
      <c r="AU631" s="222" t="s">
        <v>819</v>
      </c>
    </row>
    <row r="632" spans="1:47" x14ac:dyDescent="0.25">
      <c r="A632" s="245">
        <f t="shared" si="86"/>
        <v>632</v>
      </c>
      <c r="B632" s="246" t="str">
        <f t="shared" si="84"/>
        <v>Oil Field - Tank</v>
      </c>
      <c r="C632" s="246" t="str">
        <f ca="1">IF(B632="","",VLOOKUP(D632,'Species Data'!B:E,4,FALSE))</f>
        <v>c5_comp</v>
      </c>
      <c r="D632" s="246">
        <f t="shared" ca="1" si="87"/>
        <v>1986</v>
      </c>
      <c r="E632" s="246">
        <f t="shared" ca="1" si="88"/>
        <v>4.2100999999999997</v>
      </c>
      <c r="F632" s="246" t="str">
        <f t="shared" ca="1" si="89"/>
        <v>C-5 Compounds</v>
      </c>
      <c r="G632" s="246">
        <f t="shared" ca="1" si="90"/>
        <v>72.148780000000002</v>
      </c>
      <c r="H632" s="204" t="str">
        <f ca="1">IF(G632="","",IF(VLOOKUP(Tank!F632,'Species Data'!D:F,3,FALSE)=0,"X",IF(G632&lt;44.1,2,1)))</f>
        <v>X</v>
      </c>
      <c r="I632" s="204">
        <f t="shared" ca="1" si="91"/>
        <v>2.1162936497523712</v>
      </c>
      <c r="J632" s="247">
        <f ca="1">IF(I632="","",IF(COUNTIF($D$12:D632,D632)=1,IF(H632=1,I632*H632,IF(H632="X","X",0)),0))</f>
        <v>0</v>
      </c>
      <c r="K632" s="248">
        <f t="shared" ca="1" si="85"/>
        <v>0</v>
      </c>
      <c r="L632" s="212" t="s">
        <v>679</v>
      </c>
      <c r="M632" s="212" t="s">
        <v>448</v>
      </c>
      <c r="N632" s="212" t="s">
        <v>470</v>
      </c>
      <c r="O632" s="213">
        <v>41419</v>
      </c>
      <c r="P632" s="212" t="s">
        <v>531</v>
      </c>
      <c r="Q632" s="214">
        <v>100</v>
      </c>
      <c r="R632" s="212" t="s">
        <v>445</v>
      </c>
      <c r="S632" s="212" t="s">
        <v>532</v>
      </c>
      <c r="T632" s="212" t="s">
        <v>445</v>
      </c>
      <c r="U632" s="212" t="s">
        <v>446</v>
      </c>
      <c r="V632" s="214" t="b">
        <v>1</v>
      </c>
      <c r="W632" s="214">
        <v>1989</v>
      </c>
      <c r="X632" s="214">
        <v>5</v>
      </c>
      <c r="Y632" s="214">
        <v>2</v>
      </c>
      <c r="Z632" s="214">
        <v>4</v>
      </c>
      <c r="AA632" s="212" t="s">
        <v>447</v>
      </c>
      <c r="AB632" s="212" t="s">
        <v>531</v>
      </c>
      <c r="AC632" s="212" t="s">
        <v>533</v>
      </c>
      <c r="AD632" s="214">
        <v>1.640296</v>
      </c>
      <c r="AE632" s="214">
        <v>1986</v>
      </c>
      <c r="AF632" s="214">
        <v>4.2100999999999997</v>
      </c>
      <c r="AG632" s="214">
        <v>-99</v>
      </c>
      <c r="AH632" s="212" t="s">
        <v>224</v>
      </c>
      <c r="AI632" s="212" t="s">
        <v>449</v>
      </c>
      <c r="AJ632" s="212" t="s">
        <v>224</v>
      </c>
      <c r="AK632" s="212" t="s">
        <v>531</v>
      </c>
      <c r="AL632" s="212" t="s">
        <v>537</v>
      </c>
      <c r="AM632" s="214" t="b">
        <v>0</v>
      </c>
      <c r="AN632" s="214" t="b">
        <v>0</v>
      </c>
      <c r="AO632" s="212" t="s">
        <v>538</v>
      </c>
      <c r="AP632" s="212" t="s">
        <v>539</v>
      </c>
      <c r="AQ632" s="214">
        <v>72.148780000000002</v>
      </c>
      <c r="AR632" s="214" t="b">
        <v>0</v>
      </c>
      <c r="AS632" s="212" t="s">
        <v>534</v>
      </c>
      <c r="AU632" s="222" t="s">
        <v>819</v>
      </c>
    </row>
    <row r="633" spans="1:47" x14ac:dyDescent="0.25">
      <c r="A633" s="245">
        <f t="shared" si="86"/>
        <v>633</v>
      </c>
      <c r="B633" s="246" t="str">
        <f t="shared" si="84"/>
        <v>Oil Field - Tank</v>
      </c>
      <c r="C633" s="246" t="str">
        <f ca="1">IF(B633="","",VLOOKUP(D633,'Species Data'!B:E,4,FALSE))</f>
        <v>c6_comp</v>
      </c>
      <c r="D633" s="246">
        <f t="shared" ca="1" si="87"/>
        <v>1999</v>
      </c>
      <c r="E633" s="246">
        <f t="shared" ca="1" si="88"/>
        <v>5.1428000000000003</v>
      </c>
      <c r="F633" s="246" t="str">
        <f t="shared" ca="1" si="89"/>
        <v>C-6 Compounds</v>
      </c>
      <c r="G633" s="246">
        <f t="shared" ca="1" si="90"/>
        <v>86.175359999999998</v>
      </c>
      <c r="H633" s="204" t="str">
        <f ca="1">IF(G633="","",IF(VLOOKUP(Tank!F633,'Species Data'!D:F,3,FALSE)=0,"X",IF(G633&lt;44.1,2,1)))</f>
        <v>X</v>
      </c>
      <c r="I633" s="204">
        <f t="shared" ca="1" si="91"/>
        <v>3.9709781213899662</v>
      </c>
      <c r="J633" s="247">
        <f ca="1">IF(I633="","",IF(COUNTIF($D$12:D633,D633)=1,IF(H633=1,I633*H633,IF(H633="X","X",0)),0))</f>
        <v>0</v>
      </c>
      <c r="K633" s="248">
        <f t="shared" ca="1" si="85"/>
        <v>0</v>
      </c>
      <c r="L633" s="212" t="s">
        <v>679</v>
      </c>
      <c r="M633" s="212" t="s">
        <v>448</v>
      </c>
      <c r="N633" s="212" t="s">
        <v>470</v>
      </c>
      <c r="O633" s="213">
        <v>41419</v>
      </c>
      <c r="P633" s="212" t="s">
        <v>531</v>
      </c>
      <c r="Q633" s="214">
        <v>100</v>
      </c>
      <c r="R633" s="212" t="s">
        <v>445</v>
      </c>
      <c r="S633" s="212" t="s">
        <v>532</v>
      </c>
      <c r="T633" s="212" t="s">
        <v>445</v>
      </c>
      <c r="U633" s="212" t="s">
        <v>446</v>
      </c>
      <c r="V633" s="214" t="b">
        <v>1</v>
      </c>
      <c r="W633" s="214">
        <v>1989</v>
      </c>
      <c r="X633" s="214">
        <v>5</v>
      </c>
      <c r="Y633" s="214">
        <v>2</v>
      </c>
      <c r="Z633" s="214">
        <v>4</v>
      </c>
      <c r="AA633" s="212" t="s">
        <v>447</v>
      </c>
      <c r="AB633" s="212" t="s">
        <v>531</v>
      </c>
      <c r="AC633" s="212" t="s">
        <v>533</v>
      </c>
      <c r="AD633" s="214">
        <v>1.640296</v>
      </c>
      <c r="AE633" s="214">
        <v>1999</v>
      </c>
      <c r="AF633" s="214">
        <v>5.1428000000000003</v>
      </c>
      <c r="AG633" s="214">
        <v>-99</v>
      </c>
      <c r="AH633" s="212" t="s">
        <v>224</v>
      </c>
      <c r="AI633" s="212" t="s">
        <v>449</v>
      </c>
      <c r="AJ633" s="212" t="s">
        <v>224</v>
      </c>
      <c r="AK633" s="212" t="s">
        <v>531</v>
      </c>
      <c r="AL633" s="212" t="s">
        <v>540</v>
      </c>
      <c r="AM633" s="214" t="b">
        <v>0</v>
      </c>
      <c r="AN633" s="214" t="b">
        <v>0</v>
      </c>
      <c r="AO633" s="212" t="s">
        <v>541</v>
      </c>
      <c r="AP633" s="212" t="s">
        <v>542</v>
      </c>
      <c r="AQ633" s="214">
        <v>86.175359999999998</v>
      </c>
      <c r="AR633" s="214" t="b">
        <v>0</v>
      </c>
      <c r="AS633" s="212" t="s">
        <v>534</v>
      </c>
      <c r="AU633" s="222" t="s">
        <v>819</v>
      </c>
    </row>
    <row r="634" spans="1:47" x14ac:dyDescent="0.25">
      <c r="A634" s="245">
        <f t="shared" si="86"/>
        <v>634</v>
      </c>
      <c r="B634" s="246" t="str">
        <f t="shared" si="84"/>
        <v>Oil Field - Tank</v>
      </c>
      <c r="C634" s="246" t="str">
        <f ca="1">IF(B634="","",VLOOKUP(D634,'Species Data'!B:E,4,FALSE))</f>
        <v>c7_comp</v>
      </c>
      <c r="D634" s="246">
        <f t="shared" ca="1" si="87"/>
        <v>2005</v>
      </c>
      <c r="E634" s="246">
        <f t="shared" ca="1" si="88"/>
        <v>5.1749999999999998</v>
      </c>
      <c r="F634" s="246" t="str">
        <f t="shared" ca="1" si="89"/>
        <v>C-7 Compounds</v>
      </c>
      <c r="G634" s="246">
        <f t="shared" ca="1" si="90"/>
        <v>100.20194000000001</v>
      </c>
      <c r="H634" s="204" t="str">
        <f ca="1">IF(G634="","",IF(VLOOKUP(Tank!F634,'Species Data'!D:F,3,FALSE)=0,"X",IF(G634&lt;44.1,2,1)))</f>
        <v>X</v>
      </c>
      <c r="I634" s="204">
        <f t="shared" ca="1" si="91"/>
        <v>2.5253842436887401</v>
      </c>
      <c r="J634" s="247">
        <f ca="1">IF(I634="","",IF(COUNTIF($D$12:D634,D634)=1,IF(H634=1,I634*H634,IF(H634="X","X",0)),0))</f>
        <v>0</v>
      </c>
      <c r="K634" s="248">
        <f t="shared" ca="1" si="85"/>
        <v>0</v>
      </c>
      <c r="L634" s="212" t="s">
        <v>679</v>
      </c>
      <c r="M634" s="212" t="s">
        <v>448</v>
      </c>
      <c r="N634" s="212" t="s">
        <v>470</v>
      </c>
      <c r="O634" s="213">
        <v>41419</v>
      </c>
      <c r="P634" s="212" t="s">
        <v>531</v>
      </c>
      <c r="Q634" s="214">
        <v>100</v>
      </c>
      <c r="R634" s="212" t="s">
        <v>445</v>
      </c>
      <c r="S634" s="212" t="s">
        <v>532</v>
      </c>
      <c r="T634" s="212" t="s">
        <v>445</v>
      </c>
      <c r="U634" s="212" t="s">
        <v>446</v>
      </c>
      <c r="V634" s="214" t="b">
        <v>1</v>
      </c>
      <c r="W634" s="214">
        <v>1989</v>
      </c>
      <c r="X634" s="214">
        <v>5</v>
      </c>
      <c r="Y634" s="214">
        <v>2</v>
      </c>
      <c r="Z634" s="214">
        <v>4</v>
      </c>
      <c r="AA634" s="212" t="s">
        <v>447</v>
      </c>
      <c r="AB634" s="212" t="s">
        <v>531</v>
      </c>
      <c r="AC634" s="212" t="s">
        <v>533</v>
      </c>
      <c r="AD634" s="214">
        <v>1.640296</v>
      </c>
      <c r="AE634" s="214">
        <v>2005</v>
      </c>
      <c r="AF634" s="214">
        <v>5.1749999999999998</v>
      </c>
      <c r="AG634" s="214">
        <v>-99</v>
      </c>
      <c r="AH634" s="212" t="s">
        <v>224</v>
      </c>
      <c r="AI634" s="212" t="s">
        <v>449</v>
      </c>
      <c r="AJ634" s="212" t="s">
        <v>224</v>
      </c>
      <c r="AK634" s="212" t="s">
        <v>531</v>
      </c>
      <c r="AL634" s="212" t="s">
        <v>543</v>
      </c>
      <c r="AM634" s="214" t="b">
        <v>0</v>
      </c>
      <c r="AN634" s="214" t="b">
        <v>0</v>
      </c>
      <c r="AO634" s="212" t="s">
        <v>544</v>
      </c>
      <c r="AP634" s="212" t="s">
        <v>545</v>
      </c>
      <c r="AQ634" s="214">
        <v>100.20194000000001</v>
      </c>
      <c r="AR634" s="214" t="b">
        <v>0</v>
      </c>
      <c r="AS634" s="212" t="s">
        <v>534</v>
      </c>
      <c r="AU634" s="222" t="s">
        <v>819</v>
      </c>
    </row>
    <row r="635" spans="1:47" x14ac:dyDescent="0.25">
      <c r="A635" s="245">
        <f t="shared" si="86"/>
        <v>635</v>
      </c>
      <c r="B635" s="246" t="str">
        <f t="shared" si="84"/>
        <v>Oil Field - Tank</v>
      </c>
      <c r="C635" s="246" t="str">
        <f ca="1">IF(B635="","",VLOOKUP(D635,'Species Data'!B:E,4,FALSE))</f>
        <v>c8_comp</v>
      </c>
      <c r="D635" s="246">
        <f t="shared" ca="1" si="87"/>
        <v>2011</v>
      </c>
      <c r="E635" s="246">
        <f t="shared" ca="1" si="88"/>
        <v>2.5360999999999998</v>
      </c>
      <c r="F635" s="246" t="str">
        <f t="shared" ca="1" si="89"/>
        <v>C-8 Compounds</v>
      </c>
      <c r="G635" s="246">
        <f t="shared" ca="1" si="90"/>
        <v>113.21160686946486</v>
      </c>
      <c r="H635" s="204" t="str">
        <f ca="1">IF(G635="","",IF(VLOOKUP(Tank!F635,'Species Data'!D:F,3,FALSE)=0,"X",IF(G635&lt;44.1,2,1)))</f>
        <v>X</v>
      </c>
      <c r="I635" s="204">
        <f t="shared" ca="1" si="91"/>
        <v>1.3164259710226556</v>
      </c>
      <c r="J635" s="247">
        <f ca="1">IF(I635="","",IF(COUNTIF($D$12:D635,D635)=1,IF(H635=1,I635*H635,IF(H635="X","X",0)),0))</f>
        <v>0</v>
      </c>
      <c r="K635" s="248">
        <f t="shared" ca="1" si="85"/>
        <v>0</v>
      </c>
      <c r="L635" s="212" t="s">
        <v>679</v>
      </c>
      <c r="M635" s="212" t="s">
        <v>448</v>
      </c>
      <c r="N635" s="212" t="s">
        <v>470</v>
      </c>
      <c r="O635" s="213">
        <v>41419</v>
      </c>
      <c r="P635" s="212" t="s">
        <v>531</v>
      </c>
      <c r="Q635" s="214">
        <v>100</v>
      </c>
      <c r="R635" s="212" t="s">
        <v>445</v>
      </c>
      <c r="S635" s="212" t="s">
        <v>532</v>
      </c>
      <c r="T635" s="212" t="s">
        <v>445</v>
      </c>
      <c r="U635" s="212" t="s">
        <v>446</v>
      </c>
      <c r="V635" s="214" t="b">
        <v>1</v>
      </c>
      <c r="W635" s="214">
        <v>1989</v>
      </c>
      <c r="X635" s="214">
        <v>5</v>
      </c>
      <c r="Y635" s="214">
        <v>2</v>
      </c>
      <c r="Z635" s="214">
        <v>4</v>
      </c>
      <c r="AA635" s="212" t="s">
        <v>447</v>
      </c>
      <c r="AB635" s="212" t="s">
        <v>531</v>
      </c>
      <c r="AC635" s="212" t="s">
        <v>533</v>
      </c>
      <c r="AD635" s="214">
        <v>1.640296</v>
      </c>
      <c r="AE635" s="214">
        <v>2011</v>
      </c>
      <c r="AF635" s="214">
        <v>2.5360999999999998</v>
      </c>
      <c r="AG635" s="214">
        <v>-99</v>
      </c>
      <c r="AH635" s="212" t="s">
        <v>224</v>
      </c>
      <c r="AI635" s="212" t="s">
        <v>449</v>
      </c>
      <c r="AJ635" s="212" t="s">
        <v>224</v>
      </c>
      <c r="AK635" s="212" t="s">
        <v>531</v>
      </c>
      <c r="AL635" s="212" t="s">
        <v>546</v>
      </c>
      <c r="AM635" s="214" t="b">
        <v>0</v>
      </c>
      <c r="AN635" s="214" t="b">
        <v>0</v>
      </c>
      <c r="AO635" s="212" t="s">
        <v>547</v>
      </c>
      <c r="AP635" s="212" t="s">
        <v>548</v>
      </c>
      <c r="AQ635" s="214">
        <v>113.21160686946486</v>
      </c>
      <c r="AR635" s="214" t="b">
        <v>0</v>
      </c>
      <c r="AS635" s="212" t="s">
        <v>534</v>
      </c>
      <c r="AU635" s="222" t="s">
        <v>819</v>
      </c>
    </row>
    <row r="636" spans="1:47" x14ac:dyDescent="0.25">
      <c r="A636" s="245">
        <f t="shared" si="86"/>
        <v>636</v>
      </c>
      <c r="B636" s="246" t="str">
        <f t="shared" si="84"/>
        <v>Oil Field - Tank</v>
      </c>
      <c r="C636" s="246" t="str">
        <f ca="1">IF(B636="","",VLOOKUP(D636,'Species Data'!B:E,4,FALSE))</f>
        <v>c9_comp</v>
      </c>
      <c r="D636" s="246">
        <f t="shared" ca="1" si="87"/>
        <v>2018</v>
      </c>
      <c r="E636" s="246">
        <f t="shared" ca="1" si="88"/>
        <v>1.0005999999999999</v>
      </c>
      <c r="F636" s="246" t="str">
        <f t="shared" ca="1" si="89"/>
        <v>C-9 Compounds</v>
      </c>
      <c r="G636" s="246">
        <f t="shared" ca="1" si="90"/>
        <v>127.23917598649743</v>
      </c>
      <c r="H636" s="204" t="str">
        <f ca="1">IF(G636="","",IF(VLOOKUP(Tank!F636,'Species Data'!D:F,3,FALSE)=0,"X",IF(G636&lt;44.1,2,1)))</f>
        <v>X</v>
      </c>
      <c r="I636" s="204">
        <f t="shared" ca="1" si="91"/>
        <v>0.54975194428533192</v>
      </c>
      <c r="J636" s="247">
        <f ca="1">IF(I636="","",IF(COUNTIF($D$12:D636,D636)=1,IF(H636=1,I636*H636,IF(H636="X","X",0)),0))</f>
        <v>0</v>
      </c>
      <c r="K636" s="248">
        <f t="shared" ca="1" si="85"/>
        <v>0</v>
      </c>
      <c r="L636" s="212" t="s">
        <v>679</v>
      </c>
      <c r="M636" s="212" t="s">
        <v>448</v>
      </c>
      <c r="N636" s="212" t="s">
        <v>470</v>
      </c>
      <c r="O636" s="213">
        <v>41419</v>
      </c>
      <c r="P636" s="212" t="s">
        <v>531</v>
      </c>
      <c r="Q636" s="214">
        <v>100</v>
      </c>
      <c r="R636" s="212" t="s">
        <v>445</v>
      </c>
      <c r="S636" s="212" t="s">
        <v>532</v>
      </c>
      <c r="T636" s="212" t="s">
        <v>445</v>
      </c>
      <c r="U636" s="212" t="s">
        <v>446</v>
      </c>
      <c r="V636" s="214" t="b">
        <v>1</v>
      </c>
      <c r="W636" s="214">
        <v>1989</v>
      </c>
      <c r="X636" s="214">
        <v>5</v>
      </c>
      <c r="Y636" s="214">
        <v>2</v>
      </c>
      <c r="Z636" s="214">
        <v>4</v>
      </c>
      <c r="AA636" s="212" t="s">
        <v>447</v>
      </c>
      <c r="AB636" s="212" t="s">
        <v>531</v>
      </c>
      <c r="AC636" s="212" t="s">
        <v>533</v>
      </c>
      <c r="AD636" s="214">
        <v>1.640296</v>
      </c>
      <c r="AE636" s="214">
        <v>2018</v>
      </c>
      <c r="AF636" s="214">
        <v>1.0005999999999999</v>
      </c>
      <c r="AG636" s="214">
        <v>-99</v>
      </c>
      <c r="AH636" s="212" t="s">
        <v>224</v>
      </c>
      <c r="AI636" s="212" t="s">
        <v>449</v>
      </c>
      <c r="AJ636" s="212" t="s">
        <v>224</v>
      </c>
      <c r="AK636" s="212" t="s">
        <v>531</v>
      </c>
      <c r="AL636" s="212" t="s">
        <v>464</v>
      </c>
      <c r="AM636" s="214" t="b">
        <v>0</v>
      </c>
      <c r="AN636" s="214" t="b">
        <v>0</v>
      </c>
      <c r="AO636" s="212" t="s">
        <v>549</v>
      </c>
      <c r="AP636" s="212" t="s">
        <v>550</v>
      </c>
      <c r="AQ636" s="214">
        <v>127.23917598649743</v>
      </c>
      <c r="AR636" s="214" t="b">
        <v>0</v>
      </c>
      <c r="AS636" s="212" t="s">
        <v>534</v>
      </c>
      <c r="AU636" s="222" t="s">
        <v>819</v>
      </c>
    </row>
    <row r="637" spans="1:47" x14ac:dyDescent="0.25">
      <c r="A637" s="245">
        <f t="shared" si="86"/>
        <v>637</v>
      </c>
      <c r="B637" s="246" t="str">
        <f t="shared" si="84"/>
        <v>Oil Field - Tank</v>
      </c>
      <c r="C637" s="246" t="str">
        <f ca="1">IF(B637="","",VLOOKUP(D637,'Species Data'!B:E,4,FALSE))</f>
        <v>trimethben123</v>
      </c>
      <c r="D637" s="246">
        <f t="shared" ca="1" si="87"/>
        <v>25</v>
      </c>
      <c r="E637" s="246">
        <f t="shared" ca="1" si="88"/>
        <v>1.61E-2</v>
      </c>
      <c r="F637" s="246" t="str">
        <f t="shared" ca="1" si="89"/>
        <v>1,2,3-trimethylbenzene</v>
      </c>
      <c r="G637" s="246">
        <f t="shared" ca="1" si="90"/>
        <v>120.19158</v>
      </c>
      <c r="H637" s="204">
        <f ca="1">IF(G637="","",IF(VLOOKUP(Tank!F637,'Species Data'!D:F,3,FALSE)=0,"X",IF(G637&lt;44.1,2,1)))</f>
        <v>1</v>
      </c>
      <c r="I637" s="204">
        <f t="shared" ca="1" si="91"/>
        <v>1.0560101376973221E-2</v>
      </c>
      <c r="J637" s="247">
        <f ca="1">IF(I637="","",IF(COUNTIF($D$12:D637,D637)=1,IF(H637=1,I637*H637,IF(H637="X","X",0)),0))</f>
        <v>0</v>
      </c>
      <c r="K637" s="248">
        <f t="shared" ca="1" si="85"/>
        <v>0</v>
      </c>
      <c r="L637" s="212" t="s">
        <v>679</v>
      </c>
      <c r="M637" s="212" t="s">
        <v>448</v>
      </c>
      <c r="N637" s="212" t="s">
        <v>470</v>
      </c>
      <c r="O637" s="213">
        <v>41419</v>
      </c>
      <c r="P637" s="212" t="s">
        <v>531</v>
      </c>
      <c r="Q637" s="214">
        <v>100</v>
      </c>
      <c r="R637" s="212" t="s">
        <v>445</v>
      </c>
      <c r="S637" s="212" t="s">
        <v>532</v>
      </c>
      <c r="T637" s="212" t="s">
        <v>445</v>
      </c>
      <c r="U637" s="212" t="s">
        <v>446</v>
      </c>
      <c r="V637" s="214" t="b">
        <v>1</v>
      </c>
      <c r="W637" s="214">
        <v>1989</v>
      </c>
      <c r="X637" s="214">
        <v>5</v>
      </c>
      <c r="Y637" s="214">
        <v>2</v>
      </c>
      <c r="Z637" s="214">
        <v>4</v>
      </c>
      <c r="AA637" s="212" t="s">
        <v>447</v>
      </c>
      <c r="AB637" s="212" t="s">
        <v>531</v>
      </c>
      <c r="AC637" s="212" t="s">
        <v>533</v>
      </c>
      <c r="AD637" s="214">
        <v>1.2622610000000001</v>
      </c>
      <c r="AE637" s="214">
        <v>25</v>
      </c>
      <c r="AF637" s="214">
        <v>1.61E-2</v>
      </c>
      <c r="AG637" s="214">
        <v>-99</v>
      </c>
      <c r="AH637" s="212" t="s">
        <v>224</v>
      </c>
      <c r="AI637" s="212" t="s">
        <v>449</v>
      </c>
      <c r="AJ637" s="212" t="s">
        <v>627</v>
      </c>
      <c r="AK637" s="212" t="s">
        <v>531</v>
      </c>
      <c r="AL637" s="212" t="s">
        <v>628</v>
      </c>
      <c r="AM637" s="214" t="b">
        <v>1</v>
      </c>
      <c r="AN637" s="214" t="b">
        <v>0</v>
      </c>
      <c r="AO637" s="212" t="s">
        <v>629</v>
      </c>
      <c r="AP637" s="212" t="s">
        <v>630</v>
      </c>
      <c r="AQ637" s="214">
        <v>120.19158</v>
      </c>
      <c r="AR637" s="214" t="b">
        <v>0</v>
      </c>
      <c r="AS637" s="212" t="s">
        <v>534</v>
      </c>
      <c r="AU637" s="222" t="s">
        <v>819</v>
      </c>
    </row>
    <row r="638" spans="1:47" x14ac:dyDescent="0.25">
      <c r="A638" s="245">
        <f t="shared" si="86"/>
        <v>638</v>
      </c>
      <c r="B638" s="246" t="str">
        <f t="shared" si="84"/>
        <v>Oil Field - Tank</v>
      </c>
      <c r="C638" s="246" t="str">
        <f ca="1">IF(B638="","",VLOOKUP(D638,'Species Data'!B:E,4,FALSE))</f>
        <v>trimetben124</v>
      </c>
      <c r="D638" s="246">
        <f t="shared" ca="1" si="87"/>
        <v>30</v>
      </c>
      <c r="E638" s="246">
        <f t="shared" ca="1" si="88"/>
        <v>1.26E-2</v>
      </c>
      <c r="F638" s="246" t="str">
        <f t="shared" ca="1" si="89"/>
        <v>1,2,4-trimethylbenzene  (1,3,4-trimethylbenzene)</v>
      </c>
      <c r="G638" s="246">
        <f t="shared" ca="1" si="90"/>
        <v>120.19158</v>
      </c>
      <c r="H638" s="204">
        <f ca="1">IF(G638="","",IF(VLOOKUP(Tank!F638,'Species Data'!D:F,3,FALSE)=0,"X",IF(G638&lt;44.1,2,1)))</f>
        <v>1</v>
      </c>
      <c r="I638" s="204">
        <f t="shared" ca="1" si="91"/>
        <v>1.1400109441050636E-2</v>
      </c>
      <c r="J638" s="247">
        <f ca="1">IF(I638="","",IF(COUNTIF($D$12:D638,D638)=1,IF(H638=1,I638*H638,IF(H638="X","X",0)),0))</f>
        <v>0</v>
      </c>
      <c r="K638" s="248">
        <f t="shared" ca="1" si="85"/>
        <v>0</v>
      </c>
      <c r="L638" s="212" t="s">
        <v>679</v>
      </c>
      <c r="M638" s="212" t="s">
        <v>448</v>
      </c>
      <c r="N638" s="212" t="s">
        <v>470</v>
      </c>
      <c r="O638" s="213">
        <v>41419</v>
      </c>
      <c r="P638" s="212" t="s">
        <v>531</v>
      </c>
      <c r="Q638" s="214">
        <v>100</v>
      </c>
      <c r="R638" s="212" t="s">
        <v>445</v>
      </c>
      <c r="S638" s="212" t="s">
        <v>532</v>
      </c>
      <c r="T638" s="212" t="s">
        <v>445</v>
      </c>
      <c r="U638" s="212" t="s">
        <v>446</v>
      </c>
      <c r="V638" s="214" t="b">
        <v>1</v>
      </c>
      <c r="W638" s="214">
        <v>1989</v>
      </c>
      <c r="X638" s="214">
        <v>5</v>
      </c>
      <c r="Y638" s="214">
        <v>2</v>
      </c>
      <c r="Z638" s="214">
        <v>4</v>
      </c>
      <c r="AA638" s="212" t="s">
        <v>447</v>
      </c>
      <c r="AB638" s="212" t="s">
        <v>531</v>
      </c>
      <c r="AC638" s="212" t="s">
        <v>533</v>
      </c>
      <c r="AD638" s="214">
        <v>1.2622610000000001</v>
      </c>
      <c r="AE638" s="214">
        <v>30</v>
      </c>
      <c r="AF638" s="214">
        <v>1.26E-2</v>
      </c>
      <c r="AG638" s="214">
        <v>-99</v>
      </c>
      <c r="AH638" s="212" t="s">
        <v>224</v>
      </c>
      <c r="AI638" s="212" t="s">
        <v>449</v>
      </c>
      <c r="AJ638" s="212" t="s">
        <v>359</v>
      </c>
      <c r="AK638" s="212" t="s">
        <v>531</v>
      </c>
      <c r="AL638" s="212" t="s">
        <v>531</v>
      </c>
      <c r="AM638" s="214" t="b">
        <v>1</v>
      </c>
      <c r="AN638" s="214" t="b">
        <v>0</v>
      </c>
      <c r="AO638" s="212" t="s">
        <v>360</v>
      </c>
      <c r="AP638" s="212" t="s">
        <v>361</v>
      </c>
      <c r="AQ638" s="214">
        <v>120.19158</v>
      </c>
      <c r="AR638" s="214" t="b">
        <v>0</v>
      </c>
      <c r="AS638" s="212" t="s">
        <v>534</v>
      </c>
      <c r="AU638" s="222" t="s">
        <v>819</v>
      </c>
    </row>
    <row r="639" spans="1:47" x14ac:dyDescent="0.25">
      <c r="A639" s="245">
        <f t="shared" si="86"/>
        <v>639</v>
      </c>
      <c r="B639" s="246" t="str">
        <f t="shared" si="84"/>
        <v>Oil Field - Tank</v>
      </c>
      <c r="C639" s="246" t="str">
        <f ca="1">IF(B639="","",VLOOKUP(D639,'Species Data'!B:E,4,FALSE))</f>
        <v>trimethben135</v>
      </c>
      <c r="D639" s="246">
        <f t="shared" ca="1" si="87"/>
        <v>44</v>
      </c>
      <c r="E639" s="246">
        <f t="shared" ca="1" si="88"/>
        <v>4.3499999999999997E-2</v>
      </c>
      <c r="F639" s="246" t="str">
        <f t="shared" ca="1" si="89"/>
        <v>1,3,5-trimethylbenzene</v>
      </c>
      <c r="G639" s="246">
        <f t="shared" ca="1" si="90"/>
        <v>120.19158</v>
      </c>
      <c r="H639" s="204">
        <f ca="1">IF(G639="","",IF(VLOOKUP(Tank!F639,'Species Data'!D:F,3,FALSE)=0,"X",IF(G639&lt;44.1,2,1)))</f>
        <v>1</v>
      </c>
      <c r="I639" s="204">
        <f t="shared" ca="1" si="91"/>
        <v>1.3046791915869061E-2</v>
      </c>
      <c r="J639" s="247">
        <f ca="1">IF(I639="","",IF(COUNTIF($D$12:D639,D639)=1,IF(H639=1,I639*H639,IF(H639="X","X",0)),0))</f>
        <v>0</v>
      </c>
      <c r="K639" s="248">
        <f t="shared" ca="1" si="85"/>
        <v>0</v>
      </c>
      <c r="L639" s="212" t="s">
        <v>679</v>
      </c>
      <c r="M639" s="212" t="s">
        <v>448</v>
      </c>
      <c r="N639" s="212" t="s">
        <v>470</v>
      </c>
      <c r="O639" s="213">
        <v>41419</v>
      </c>
      <c r="P639" s="212" t="s">
        <v>531</v>
      </c>
      <c r="Q639" s="214">
        <v>100</v>
      </c>
      <c r="R639" s="212" t="s">
        <v>445</v>
      </c>
      <c r="S639" s="212" t="s">
        <v>532</v>
      </c>
      <c r="T639" s="212" t="s">
        <v>445</v>
      </c>
      <c r="U639" s="212" t="s">
        <v>446</v>
      </c>
      <c r="V639" s="214" t="b">
        <v>1</v>
      </c>
      <c r="W639" s="214">
        <v>1989</v>
      </c>
      <c r="X639" s="214">
        <v>5</v>
      </c>
      <c r="Y639" s="214">
        <v>2</v>
      </c>
      <c r="Z639" s="214">
        <v>4</v>
      </c>
      <c r="AA639" s="212" t="s">
        <v>447</v>
      </c>
      <c r="AB639" s="212" t="s">
        <v>531</v>
      </c>
      <c r="AC639" s="212" t="s">
        <v>533</v>
      </c>
      <c r="AD639" s="214">
        <v>1.2622610000000001</v>
      </c>
      <c r="AE639" s="214">
        <v>44</v>
      </c>
      <c r="AF639" s="214">
        <v>4.3499999999999997E-2</v>
      </c>
      <c r="AG639" s="214">
        <v>-99</v>
      </c>
      <c r="AH639" s="212" t="s">
        <v>224</v>
      </c>
      <c r="AI639" s="212" t="s">
        <v>449</v>
      </c>
      <c r="AJ639" s="212" t="s">
        <v>400</v>
      </c>
      <c r="AK639" s="212" t="s">
        <v>531</v>
      </c>
      <c r="AL639" s="212" t="s">
        <v>401</v>
      </c>
      <c r="AM639" s="214" t="b">
        <v>1</v>
      </c>
      <c r="AN639" s="214" t="b">
        <v>0</v>
      </c>
      <c r="AO639" s="212" t="s">
        <v>402</v>
      </c>
      <c r="AP639" s="212" t="s">
        <v>403</v>
      </c>
      <c r="AQ639" s="214">
        <v>120.19158</v>
      </c>
      <c r="AR639" s="214" t="b">
        <v>0</v>
      </c>
      <c r="AS639" s="212" t="s">
        <v>534</v>
      </c>
      <c r="AU639" s="222" t="s">
        <v>819</v>
      </c>
    </row>
    <row r="640" spans="1:47" x14ac:dyDescent="0.25">
      <c r="A640" s="245">
        <f t="shared" si="86"/>
        <v>640</v>
      </c>
      <c r="B640" s="246" t="str">
        <f t="shared" si="84"/>
        <v>Oil Field - Tank</v>
      </c>
      <c r="C640" s="246" t="str">
        <f ca="1">IF(B640="","",VLOOKUP(D640,'Species Data'!B:E,4,FALSE))</f>
        <v>ethben12</v>
      </c>
      <c r="D640" s="246">
        <f t="shared" ca="1" si="87"/>
        <v>80</v>
      </c>
      <c r="E640" s="246">
        <f t="shared" ca="1" si="88"/>
        <v>4.41E-2</v>
      </c>
      <c r="F640" s="246" t="str">
        <f t="shared" ca="1" si="89"/>
        <v>1-Methyl-2-ethylbenzene</v>
      </c>
      <c r="G640" s="246">
        <f t="shared" ca="1" si="90"/>
        <v>120.19158</v>
      </c>
      <c r="H640" s="204">
        <f ca="1">IF(G640="","",IF(VLOOKUP(Tank!F640,'Species Data'!D:F,3,FALSE)=0,"X",IF(G640&lt;44.1,2,1)))</f>
        <v>1</v>
      </c>
      <c r="I640" s="204">
        <f t="shared" ca="1" si="91"/>
        <v>1.2980124609196252E-2</v>
      </c>
      <c r="J640" s="247">
        <f ca="1">IF(I640="","",IF(COUNTIF($D$12:D640,D640)=1,IF(H640=1,I640*H640,IF(H640="X","X",0)),0))</f>
        <v>0</v>
      </c>
      <c r="K640" s="248">
        <f t="shared" ca="1" si="85"/>
        <v>0</v>
      </c>
      <c r="L640" s="212" t="s">
        <v>679</v>
      </c>
      <c r="M640" s="212" t="s">
        <v>448</v>
      </c>
      <c r="N640" s="212" t="s">
        <v>470</v>
      </c>
      <c r="O640" s="213">
        <v>41419</v>
      </c>
      <c r="P640" s="212" t="s">
        <v>531</v>
      </c>
      <c r="Q640" s="214">
        <v>100</v>
      </c>
      <c r="R640" s="212" t="s">
        <v>445</v>
      </c>
      <c r="S640" s="212" t="s">
        <v>532</v>
      </c>
      <c r="T640" s="212" t="s">
        <v>445</v>
      </c>
      <c r="U640" s="212" t="s">
        <v>446</v>
      </c>
      <c r="V640" s="214" t="b">
        <v>1</v>
      </c>
      <c r="W640" s="214">
        <v>1989</v>
      </c>
      <c r="X640" s="214">
        <v>5</v>
      </c>
      <c r="Y640" s="214">
        <v>2</v>
      </c>
      <c r="Z640" s="214">
        <v>4</v>
      </c>
      <c r="AA640" s="212" t="s">
        <v>447</v>
      </c>
      <c r="AB640" s="212" t="s">
        <v>531</v>
      </c>
      <c r="AC640" s="212" t="s">
        <v>533</v>
      </c>
      <c r="AD640" s="214">
        <v>1.2622610000000001</v>
      </c>
      <c r="AE640" s="214">
        <v>80</v>
      </c>
      <c r="AF640" s="214">
        <v>4.41E-2</v>
      </c>
      <c r="AG640" s="214">
        <v>-99</v>
      </c>
      <c r="AH640" s="212" t="s">
        <v>224</v>
      </c>
      <c r="AI640" s="212" t="s">
        <v>449</v>
      </c>
      <c r="AJ640" s="212" t="s">
        <v>408</v>
      </c>
      <c r="AK640" s="212" t="s">
        <v>531</v>
      </c>
      <c r="AL640" s="212" t="s">
        <v>450</v>
      </c>
      <c r="AM640" s="214" t="b">
        <v>1</v>
      </c>
      <c r="AN640" s="214" t="b">
        <v>0</v>
      </c>
      <c r="AO640" s="212" t="s">
        <v>409</v>
      </c>
      <c r="AP640" s="212" t="s">
        <v>410</v>
      </c>
      <c r="AQ640" s="214">
        <v>120.19158</v>
      </c>
      <c r="AR640" s="214" t="b">
        <v>0</v>
      </c>
      <c r="AS640" s="212" t="s">
        <v>534</v>
      </c>
      <c r="AU640" s="222" t="s">
        <v>819</v>
      </c>
    </row>
    <row r="641" spans="1:47" x14ac:dyDescent="0.25">
      <c r="A641" s="245">
        <f t="shared" si="86"/>
        <v>641</v>
      </c>
      <c r="B641" s="246" t="str">
        <f t="shared" si="84"/>
        <v>Oil Field - Tank</v>
      </c>
      <c r="C641" s="246" t="str">
        <f ca="1">IF(B641="","",VLOOKUP(D641,'Species Data'!B:E,4,FALSE))</f>
        <v>ethben13</v>
      </c>
      <c r="D641" s="246">
        <f t="shared" ca="1" si="87"/>
        <v>89</v>
      </c>
      <c r="E641" s="246">
        <f t="shared" ca="1" si="88"/>
        <v>2.29E-2</v>
      </c>
      <c r="F641" s="246" t="str">
        <f t="shared" ca="1" si="89"/>
        <v>1-Methyl-3-ethylbenzene (3-Ethyltoluene)</v>
      </c>
      <c r="G641" s="246">
        <f t="shared" ca="1" si="90"/>
        <v>120.19158</v>
      </c>
      <c r="H641" s="204">
        <f ca="1">IF(G641="","",IF(VLOOKUP(Tank!F641,'Species Data'!D:F,3,FALSE)=0,"X",IF(G641&lt;44.1,2,1)))</f>
        <v>1</v>
      </c>
      <c r="I641" s="204">
        <f t="shared" ca="1" si="91"/>
        <v>1.0893437910337275E-2</v>
      </c>
      <c r="J641" s="247">
        <f ca="1">IF(I641="","",IF(COUNTIF($D$12:D641,D641)=1,IF(H641=1,I641*H641,IF(H641="X","X",0)),0))</f>
        <v>0</v>
      </c>
      <c r="K641" s="248">
        <f t="shared" ca="1" si="85"/>
        <v>0</v>
      </c>
      <c r="L641" s="212" t="s">
        <v>679</v>
      </c>
      <c r="M641" s="212" t="s">
        <v>448</v>
      </c>
      <c r="N641" s="212" t="s">
        <v>470</v>
      </c>
      <c r="O641" s="213">
        <v>41419</v>
      </c>
      <c r="P641" s="212" t="s">
        <v>531</v>
      </c>
      <c r="Q641" s="214">
        <v>100</v>
      </c>
      <c r="R641" s="212" t="s">
        <v>445</v>
      </c>
      <c r="S641" s="212" t="s">
        <v>532</v>
      </c>
      <c r="T641" s="212" t="s">
        <v>445</v>
      </c>
      <c r="U641" s="212" t="s">
        <v>446</v>
      </c>
      <c r="V641" s="214" t="b">
        <v>1</v>
      </c>
      <c r="W641" s="214">
        <v>1989</v>
      </c>
      <c r="X641" s="214">
        <v>5</v>
      </c>
      <c r="Y641" s="214">
        <v>2</v>
      </c>
      <c r="Z641" s="214">
        <v>4</v>
      </c>
      <c r="AA641" s="212" t="s">
        <v>447</v>
      </c>
      <c r="AB641" s="212" t="s">
        <v>531</v>
      </c>
      <c r="AC641" s="212" t="s">
        <v>533</v>
      </c>
      <c r="AD641" s="214">
        <v>1.2622610000000001</v>
      </c>
      <c r="AE641" s="214">
        <v>89</v>
      </c>
      <c r="AF641" s="214">
        <v>2.29E-2</v>
      </c>
      <c r="AG641" s="214">
        <v>-99</v>
      </c>
      <c r="AH641" s="212" t="s">
        <v>224</v>
      </c>
      <c r="AI641" s="212" t="s">
        <v>449</v>
      </c>
      <c r="AJ641" s="212" t="s">
        <v>411</v>
      </c>
      <c r="AK641" s="212" t="s">
        <v>531</v>
      </c>
      <c r="AL641" s="212" t="s">
        <v>451</v>
      </c>
      <c r="AM641" s="214" t="b">
        <v>1</v>
      </c>
      <c r="AN641" s="214" t="b">
        <v>0</v>
      </c>
      <c r="AO641" s="212" t="s">
        <v>412</v>
      </c>
      <c r="AP641" s="212" t="s">
        <v>413</v>
      </c>
      <c r="AQ641" s="214">
        <v>120.19158</v>
      </c>
      <c r="AR641" s="214" t="b">
        <v>0</v>
      </c>
      <c r="AS641" s="212" t="s">
        <v>534</v>
      </c>
      <c r="AU641" s="222" t="s">
        <v>819</v>
      </c>
    </row>
    <row r="642" spans="1:47" x14ac:dyDescent="0.25">
      <c r="A642" s="245">
        <f t="shared" si="86"/>
        <v>642</v>
      </c>
      <c r="B642" s="246" t="str">
        <f t="shared" si="84"/>
        <v>Oil Field - Tank</v>
      </c>
      <c r="C642" s="246" t="str">
        <f ca="1">IF(B642="","",VLOOKUP(D642,'Species Data'!B:E,4,FALSE))</f>
        <v>dimetbut22</v>
      </c>
      <c r="D642" s="246">
        <f t="shared" ca="1" si="87"/>
        <v>122</v>
      </c>
      <c r="E642" s="246">
        <f t="shared" ca="1" si="88"/>
        <v>0.1885</v>
      </c>
      <c r="F642" s="246" t="str">
        <f t="shared" ca="1" si="89"/>
        <v>2,2-dimethylbutane</v>
      </c>
      <c r="G642" s="246">
        <f t="shared" ca="1" si="90"/>
        <v>86.175359999999998</v>
      </c>
      <c r="H642" s="204">
        <f ca="1">IF(G642="","",IF(VLOOKUP(Tank!F642,'Species Data'!D:F,3,FALSE)=0,"X",IF(G642&lt;44.1,2,1)))</f>
        <v>1</v>
      </c>
      <c r="I642" s="204">
        <f t="shared" ca="1" si="91"/>
        <v>8.538748638653601E-2</v>
      </c>
      <c r="J642" s="247">
        <f ca="1">IF(I642="","",IF(COUNTIF($D$12:D642,D642)=1,IF(H642=1,I642*H642,IF(H642="X","X",0)),0))</f>
        <v>0</v>
      </c>
      <c r="K642" s="248">
        <f t="shared" ca="1" si="85"/>
        <v>0</v>
      </c>
      <c r="L642" s="212" t="s">
        <v>679</v>
      </c>
      <c r="M642" s="212" t="s">
        <v>448</v>
      </c>
      <c r="N642" s="212" t="s">
        <v>470</v>
      </c>
      <c r="O642" s="213">
        <v>41419</v>
      </c>
      <c r="P642" s="212" t="s">
        <v>531</v>
      </c>
      <c r="Q642" s="214">
        <v>100</v>
      </c>
      <c r="R642" s="212" t="s">
        <v>445</v>
      </c>
      <c r="S642" s="212" t="s">
        <v>532</v>
      </c>
      <c r="T642" s="212" t="s">
        <v>445</v>
      </c>
      <c r="U642" s="212" t="s">
        <v>446</v>
      </c>
      <c r="V642" s="214" t="b">
        <v>1</v>
      </c>
      <c r="W642" s="214">
        <v>1989</v>
      </c>
      <c r="X642" s="214">
        <v>5</v>
      </c>
      <c r="Y642" s="214">
        <v>2</v>
      </c>
      <c r="Z642" s="214">
        <v>4</v>
      </c>
      <c r="AA642" s="212" t="s">
        <v>447</v>
      </c>
      <c r="AB642" s="212" t="s">
        <v>531</v>
      </c>
      <c r="AC642" s="212" t="s">
        <v>533</v>
      </c>
      <c r="AD642" s="214">
        <v>1.2622610000000001</v>
      </c>
      <c r="AE642" s="214">
        <v>122</v>
      </c>
      <c r="AF642" s="214">
        <v>0.1885</v>
      </c>
      <c r="AG642" s="214">
        <v>-99</v>
      </c>
      <c r="AH642" s="212" t="s">
        <v>224</v>
      </c>
      <c r="AI642" s="212" t="s">
        <v>449</v>
      </c>
      <c r="AJ642" s="212" t="s">
        <v>301</v>
      </c>
      <c r="AK642" s="212" t="s">
        <v>531</v>
      </c>
      <c r="AL642" s="212" t="s">
        <v>384</v>
      </c>
      <c r="AM642" s="214" t="b">
        <v>1</v>
      </c>
      <c r="AN642" s="214" t="b">
        <v>0</v>
      </c>
      <c r="AO642" s="212" t="s">
        <v>302</v>
      </c>
      <c r="AP642" s="212" t="s">
        <v>303</v>
      </c>
      <c r="AQ642" s="214">
        <v>86.175359999999998</v>
      </c>
      <c r="AR642" s="214" t="b">
        <v>0</v>
      </c>
      <c r="AS642" s="212" t="s">
        <v>534</v>
      </c>
      <c r="AU642" s="222" t="s">
        <v>819</v>
      </c>
    </row>
    <row r="643" spans="1:47" x14ac:dyDescent="0.25">
      <c r="A643" s="245">
        <f t="shared" si="86"/>
        <v>643</v>
      </c>
      <c r="B643" s="246" t="str">
        <f t="shared" si="84"/>
        <v>Oil Field - Tank</v>
      </c>
      <c r="C643" s="246" t="str">
        <f ca="1">IF(B643="","",VLOOKUP(D643,'Species Data'!B:E,4,FALSE))</f>
        <v>dimethpro</v>
      </c>
      <c r="D643" s="246">
        <f t="shared" ca="1" si="87"/>
        <v>127</v>
      </c>
      <c r="E643" s="246">
        <f t="shared" ca="1" si="88"/>
        <v>8.9599999999999999E-2</v>
      </c>
      <c r="F643" s="246" t="str">
        <f t="shared" ca="1" si="89"/>
        <v>2,2-dimethylpropane</v>
      </c>
      <c r="G643" s="246">
        <f t="shared" ca="1" si="90"/>
        <v>72.148780000000002</v>
      </c>
      <c r="H643" s="204">
        <f ca="1">IF(G643="","",IF(VLOOKUP(Tank!F643,'Species Data'!D:F,3,FALSE)=0,"X",IF(G643&lt;44.1,2,1)))</f>
        <v>1</v>
      </c>
      <c r="I643" s="204">
        <f t="shared" ca="1" si="91"/>
        <v>9.7614270430329483E-2</v>
      </c>
      <c r="J643" s="247">
        <f ca="1">IF(I643="","",IF(COUNTIF($D$12:D643,D643)=1,IF(H643=1,I643*H643,IF(H643="X","X",0)),0))</f>
        <v>0</v>
      </c>
      <c r="K643" s="248">
        <f t="shared" ca="1" si="85"/>
        <v>0</v>
      </c>
      <c r="L643" s="212" t="s">
        <v>679</v>
      </c>
      <c r="M643" s="212" t="s">
        <v>448</v>
      </c>
      <c r="N643" s="212" t="s">
        <v>470</v>
      </c>
      <c r="O643" s="213">
        <v>41419</v>
      </c>
      <c r="P643" s="212" t="s">
        <v>531</v>
      </c>
      <c r="Q643" s="214">
        <v>100</v>
      </c>
      <c r="R643" s="212" t="s">
        <v>445</v>
      </c>
      <c r="S643" s="212" t="s">
        <v>532</v>
      </c>
      <c r="T643" s="212" t="s">
        <v>445</v>
      </c>
      <c r="U643" s="212" t="s">
        <v>446</v>
      </c>
      <c r="V643" s="214" t="b">
        <v>1</v>
      </c>
      <c r="W643" s="214">
        <v>1989</v>
      </c>
      <c r="X643" s="214">
        <v>5</v>
      </c>
      <c r="Y643" s="214">
        <v>2</v>
      </c>
      <c r="Z643" s="214">
        <v>4</v>
      </c>
      <c r="AA643" s="212" t="s">
        <v>447</v>
      </c>
      <c r="AB643" s="212" t="s">
        <v>531</v>
      </c>
      <c r="AC643" s="212" t="s">
        <v>533</v>
      </c>
      <c r="AD643" s="214">
        <v>1.2622610000000001</v>
      </c>
      <c r="AE643" s="214">
        <v>127</v>
      </c>
      <c r="AF643" s="214">
        <v>8.9599999999999999E-2</v>
      </c>
      <c r="AG643" s="214">
        <v>-99</v>
      </c>
      <c r="AH643" s="212" t="s">
        <v>224</v>
      </c>
      <c r="AI643" s="212" t="s">
        <v>449</v>
      </c>
      <c r="AJ643" s="212" t="s">
        <v>441</v>
      </c>
      <c r="AK643" s="212" t="s">
        <v>531</v>
      </c>
      <c r="AL643" s="212" t="s">
        <v>462</v>
      </c>
      <c r="AM643" s="214" t="b">
        <v>0</v>
      </c>
      <c r="AN643" s="214" t="b">
        <v>0</v>
      </c>
      <c r="AO643" s="212" t="s">
        <v>442</v>
      </c>
      <c r="AP643" s="212" t="s">
        <v>531</v>
      </c>
      <c r="AQ643" s="214">
        <v>72.148780000000002</v>
      </c>
      <c r="AR643" s="214" t="b">
        <v>0</v>
      </c>
      <c r="AS643" s="212" t="s">
        <v>534</v>
      </c>
      <c r="AU643" s="222" t="s">
        <v>819</v>
      </c>
    </row>
    <row r="644" spans="1:47" x14ac:dyDescent="0.25">
      <c r="A644" s="245">
        <f t="shared" si="86"/>
        <v>644</v>
      </c>
      <c r="B644" s="246" t="str">
        <f t="shared" si="84"/>
        <v>Oil Field - Tank</v>
      </c>
      <c r="C644" s="246" t="str">
        <f ca="1">IF(B644="","",VLOOKUP(D644,'Species Data'!B:E,4,FALSE))</f>
        <v>trimentpen3</v>
      </c>
      <c r="D644" s="246">
        <f t="shared" ca="1" si="87"/>
        <v>130</v>
      </c>
      <c r="E644" s="246">
        <f t="shared" ca="1" si="88"/>
        <v>0.95469999999999999</v>
      </c>
      <c r="F644" s="246" t="str">
        <f t="shared" ca="1" si="89"/>
        <v>2,3,4-trimethylpentane</v>
      </c>
      <c r="G644" s="246">
        <f t="shared" ca="1" si="90"/>
        <v>114.22852</v>
      </c>
      <c r="H644" s="204">
        <f ca="1">IF(G644="","",IF(VLOOKUP(Tank!F644,'Species Data'!D:F,3,FALSE)=0,"X",IF(G644&lt;44.1,2,1)))</f>
        <v>1</v>
      </c>
      <c r="I644" s="204">
        <f t="shared" ca="1" si="91"/>
        <v>0.22004211240427912</v>
      </c>
      <c r="J644" s="247">
        <f ca="1">IF(I644="","",IF(COUNTIF($D$12:D644,D644)=1,IF(H644=1,I644*H644,IF(H644="X","X",0)),0))</f>
        <v>0</v>
      </c>
      <c r="K644" s="248">
        <f t="shared" ca="1" si="85"/>
        <v>0</v>
      </c>
      <c r="L644" s="212" t="s">
        <v>679</v>
      </c>
      <c r="M644" s="212" t="s">
        <v>448</v>
      </c>
      <c r="N644" s="212" t="s">
        <v>470</v>
      </c>
      <c r="O644" s="213">
        <v>41419</v>
      </c>
      <c r="P644" s="212" t="s">
        <v>531</v>
      </c>
      <c r="Q644" s="214">
        <v>100</v>
      </c>
      <c r="R644" s="212" t="s">
        <v>445</v>
      </c>
      <c r="S644" s="212" t="s">
        <v>532</v>
      </c>
      <c r="T644" s="212" t="s">
        <v>445</v>
      </c>
      <c r="U644" s="212" t="s">
        <v>446</v>
      </c>
      <c r="V644" s="214" t="b">
        <v>1</v>
      </c>
      <c r="W644" s="214">
        <v>1989</v>
      </c>
      <c r="X644" s="214">
        <v>5</v>
      </c>
      <c r="Y644" s="214">
        <v>2</v>
      </c>
      <c r="Z644" s="214">
        <v>4</v>
      </c>
      <c r="AA644" s="212" t="s">
        <v>447</v>
      </c>
      <c r="AB644" s="212" t="s">
        <v>531</v>
      </c>
      <c r="AC644" s="212" t="s">
        <v>533</v>
      </c>
      <c r="AD644" s="214">
        <v>1.2622610000000001</v>
      </c>
      <c r="AE644" s="214">
        <v>130</v>
      </c>
      <c r="AF644" s="214">
        <v>0.95469999999999999</v>
      </c>
      <c r="AG644" s="214">
        <v>-99</v>
      </c>
      <c r="AH644" s="212" t="s">
        <v>224</v>
      </c>
      <c r="AI644" s="212" t="s">
        <v>449</v>
      </c>
      <c r="AJ644" s="212" t="s">
        <v>404</v>
      </c>
      <c r="AK644" s="212" t="s">
        <v>531</v>
      </c>
      <c r="AL644" s="212" t="s">
        <v>405</v>
      </c>
      <c r="AM644" s="214" t="b">
        <v>1</v>
      </c>
      <c r="AN644" s="214" t="b">
        <v>0</v>
      </c>
      <c r="AO644" s="212" t="s">
        <v>406</v>
      </c>
      <c r="AP644" s="212" t="s">
        <v>407</v>
      </c>
      <c r="AQ644" s="214">
        <v>114.22852</v>
      </c>
      <c r="AR644" s="214" t="b">
        <v>0</v>
      </c>
      <c r="AS644" s="212" t="s">
        <v>534</v>
      </c>
      <c r="AU644" s="222" t="s">
        <v>819</v>
      </c>
    </row>
    <row r="645" spans="1:47" x14ac:dyDescent="0.25">
      <c r="A645" s="245">
        <f t="shared" si="86"/>
        <v>645</v>
      </c>
      <c r="B645" s="246" t="str">
        <f t="shared" si="84"/>
        <v>Oil Field - Tank</v>
      </c>
      <c r="C645" s="246" t="str">
        <f ca="1">IF(B645="","",VLOOKUP(D645,'Species Data'!B:E,4,FALSE))</f>
        <v>dimetbut</v>
      </c>
      <c r="D645" s="246">
        <f t="shared" ca="1" si="87"/>
        <v>136</v>
      </c>
      <c r="E645" s="246">
        <f t="shared" ca="1" si="88"/>
        <v>0.65249999999999997</v>
      </c>
      <c r="F645" s="246" t="str">
        <f t="shared" ca="1" si="89"/>
        <v>2,3-dimethylbutane</v>
      </c>
      <c r="G645" s="246">
        <f t="shared" ca="1" si="90"/>
        <v>86.175359999999998</v>
      </c>
      <c r="H645" s="204">
        <f ca="1">IF(G645="","",IF(VLOOKUP(Tank!F645,'Species Data'!D:F,3,FALSE)=0,"X",IF(G645&lt;44.1,2,1)))</f>
        <v>1</v>
      </c>
      <c r="I645" s="204">
        <f t="shared" ca="1" si="91"/>
        <v>0.22725551498627725</v>
      </c>
      <c r="J645" s="247">
        <f ca="1">IF(I645="","",IF(COUNTIF($D$12:D645,D645)=1,IF(H645=1,I645*H645,IF(H645="X","X",0)),0))</f>
        <v>0</v>
      </c>
      <c r="K645" s="248">
        <f t="shared" ca="1" si="85"/>
        <v>0</v>
      </c>
      <c r="L645" s="212" t="s">
        <v>679</v>
      </c>
      <c r="M645" s="212" t="s">
        <v>448</v>
      </c>
      <c r="N645" s="212" t="s">
        <v>470</v>
      </c>
      <c r="O645" s="213">
        <v>41419</v>
      </c>
      <c r="P645" s="212" t="s">
        <v>531</v>
      </c>
      <c r="Q645" s="214">
        <v>100</v>
      </c>
      <c r="R645" s="212" t="s">
        <v>445</v>
      </c>
      <c r="S645" s="212" t="s">
        <v>532</v>
      </c>
      <c r="T645" s="212" t="s">
        <v>445</v>
      </c>
      <c r="U645" s="212" t="s">
        <v>446</v>
      </c>
      <c r="V645" s="214" t="b">
        <v>1</v>
      </c>
      <c r="W645" s="214">
        <v>1989</v>
      </c>
      <c r="X645" s="214">
        <v>5</v>
      </c>
      <c r="Y645" s="214">
        <v>2</v>
      </c>
      <c r="Z645" s="214">
        <v>4</v>
      </c>
      <c r="AA645" s="212" t="s">
        <v>447</v>
      </c>
      <c r="AB645" s="212" t="s">
        <v>531</v>
      </c>
      <c r="AC645" s="212" t="s">
        <v>533</v>
      </c>
      <c r="AD645" s="214">
        <v>1.2622610000000001</v>
      </c>
      <c r="AE645" s="214">
        <v>136</v>
      </c>
      <c r="AF645" s="214">
        <v>0.65249999999999997</v>
      </c>
      <c r="AG645" s="214">
        <v>-99</v>
      </c>
      <c r="AH645" s="212" t="s">
        <v>224</v>
      </c>
      <c r="AI645" s="212" t="s">
        <v>449</v>
      </c>
      <c r="AJ645" s="212" t="s">
        <v>304</v>
      </c>
      <c r="AK645" s="212" t="s">
        <v>531</v>
      </c>
      <c r="AL645" s="212" t="s">
        <v>620</v>
      </c>
      <c r="AM645" s="214" t="b">
        <v>1</v>
      </c>
      <c r="AN645" s="214" t="b">
        <v>0</v>
      </c>
      <c r="AO645" s="212" t="s">
        <v>305</v>
      </c>
      <c r="AP645" s="212" t="s">
        <v>306</v>
      </c>
      <c r="AQ645" s="214">
        <v>86.175359999999998</v>
      </c>
      <c r="AR645" s="214" t="b">
        <v>0</v>
      </c>
      <c r="AS645" s="212" t="s">
        <v>534</v>
      </c>
      <c r="AU645" s="222" t="s">
        <v>819</v>
      </c>
    </row>
    <row r="646" spans="1:47" x14ac:dyDescent="0.25">
      <c r="A646" s="245">
        <f t="shared" si="86"/>
        <v>646</v>
      </c>
      <c r="B646" s="246" t="str">
        <f t="shared" si="84"/>
        <v>Oil Field - Tank</v>
      </c>
      <c r="C646" s="246" t="str">
        <f ca="1">IF(B646="","",VLOOKUP(D646,'Species Data'!B:E,4,FALSE))</f>
        <v>dimethhex23</v>
      </c>
      <c r="D646" s="246">
        <f t="shared" ca="1" si="87"/>
        <v>138</v>
      </c>
      <c r="E646" s="246">
        <f t="shared" ca="1" si="88"/>
        <v>6.9000000000000006E-2</v>
      </c>
      <c r="F646" s="246" t="str">
        <f t="shared" ca="1" si="89"/>
        <v>2,3-dimethylhexane</v>
      </c>
      <c r="G646" s="246">
        <f t="shared" ca="1" si="90"/>
        <v>114.22852</v>
      </c>
      <c r="H646" s="204">
        <f ca="1">IF(G646="","",IF(VLOOKUP(Tank!F646,'Species Data'!D:F,3,FALSE)=0,"X",IF(G646&lt;44.1,2,1)))</f>
        <v>1</v>
      </c>
      <c r="I646" s="204">
        <f t="shared" ca="1" si="91"/>
        <v>2.958028397072613E-2</v>
      </c>
      <c r="J646" s="247">
        <f ca="1">IF(I646="","",IF(COUNTIF($D$12:D646,D646)=1,IF(H646=1,I646*H646,IF(H646="X","X",0)),0))</f>
        <v>0</v>
      </c>
      <c r="K646" s="248">
        <f t="shared" ca="1" si="85"/>
        <v>0</v>
      </c>
      <c r="L646" s="212" t="s">
        <v>679</v>
      </c>
      <c r="M646" s="212" t="s">
        <v>448</v>
      </c>
      <c r="N646" s="212" t="s">
        <v>470</v>
      </c>
      <c r="O646" s="213">
        <v>41419</v>
      </c>
      <c r="P646" s="212" t="s">
        <v>531</v>
      </c>
      <c r="Q646" s="214">
        <v>100</v>
      </c>
      <c r="R646" s="212" t="s">
        <v>445</v>
      </c>
      <c r="S646" s="212" t="s">
        <v>532</v>
      </c>
      <c r="T646" s="212" t="s">
        <v>445</v>
      </c>
      <c r="U646" s="212" t="s">
        <v>446</v>
      </c>
      <c r="V646" s="214" t="b">
        <v>1</v>
      </c>
      <c r="W646" s="214">
        <v>1989</v>
      </c>
      <c r="X646" s="214">
        <v>5</v>
      </c>
      <c r="Y646" s="214">
        <v>2</v>
      </c>
      <c r="Z646" s="214">
        <v>4</v>
      </c>
      <c r="AA646" s="212" t="s">
        <v>447</v>
      </c>
      <c r="AB646" s="212" t="s">
        <v>531</v>
      </c>
      <c r="AC646" s="212" t="s">
        <v>533</v>
      </c>
      <c r="AD646" s="214">
        <v>1.2622610000000001</v>
      </c>
      <c r="AE646" s="214">
        <v>138</v>
      </c>
      <c r="AF646" s="214">
        <v>6.9000000000000006E-2</v>
      </c>
      <c r="AG646" s="214">
        <v>-99</v>
      </c>
      <c r="AH646" s="212" t="s">
        <v>224</v>
      </c>
      <c r="AI646" s="212" t="s">
        <v>449</v>
      </c>
      <c r="AJ646" s="212" t="s">
        <v>443</v>
      </c>
      <c r="AK646" s="212" t="s">
        <v>531</v>
      </c>
      <c r="AL646" s="212" t="s">
        <v>463</v>
      </c>
      <c r="AM646" s="214" t="b">
        <v>0</v>
      </c>
      <c r="AN646" s="214" t="b">
        <v>0</v>
      </c>
      <c r="AO646" s="212" t="s">
        <v>444</v>
      </c>
      <c r="AP646" s="212" t="s">
        <v>531</v>
      </c>
      <c r="AQ646" s="214">
        <v>114.22852</v>
      </c>
      <c r="AR646" s="214" t="b">
        <v>0</v>
      </c>
      <c r="AS646" s="212" t="s">
        <v>534</v>
      </c>
      <c r="AU646" s="222" t="s">
        <v>819</v>
      </c>
    </row>
    <row r="647" spans="1:47" x14ac:dyDescent="0.25">
      <c r="A647" s="245">
        <f t="shared" si="86"/>
        <v>647</v>
      </c>
      <c r="B647" s="246" t="str">
        <f t="shared" si="84"/>
        <v>Oil Field - Tank</v>
      </c>
      <c r="C647" s="246" t="str">
        <f ca="1">IF(B647="","",VLOOKUP(D647,'Species Data'!B:E,4,FALSE))</f>
        <v>dimetpen3</v>
      </c>
      <c r="D647" s="246">
        <f t="shared" ca="1" si="87"/>
        <v>140</v>
      </c>
      <c r="E647" s="246">
        <f t="shared" ca="1" si="88"/>
        <v>0.5827</v>
      </c>
      <c r="F647" s="246" t="str">
        <f t="shared" ca="1" si="89"/>
        <v>2,3-dimethylpentane</v>
      </c>
      <c r="G647" s="246">
        <f t="shared" ca="1" si="90"/>
        <v>100.20194000000001</v>
      </c>
      <c r="H647" s="204">
        <f ca="1">IF(G647="","",IF(VLOOKUP(Tank!F647,'Species Data'!D:F,3,FALSE)=0,"X",IF(G647&lt;44.1,2,1)))</f>
        <v>1</v>
      </c>
      <c r="I647" s="204">
        <f t="shared" ca="1" si="91"/>
        <v>0.24488235087056845</v>
      </c>
      <c r="J647" s="247">
        <f ca="1">IF(I647="","",IF(COUNTIF($D$12:D647,D647)=1,IF(H647=1,I647*H647,IF(H647="X","X",0)),0))</f>
        <v>0</v>
      </c>
      <c r="K647" s="248">
        <f t="shared" ca="1" si="85"/>
        <v>0</v>
      </c>
      <c r="L647" s="212" t="s">
        <v>679</v>
      </c>
      <c r="M647" s="212" t="s">
        <v>448</v>
      </c>
      <c r="N647" s="212" t="s">
        <v>470</v>
      </c>
      <c r="O647" s="213">
        <v>41419</v>
      </c>
      <c r="P647" s="212" t="s">
        <v>531</v>
      </c>
      <c r="Q647" s="214">
        <v>100</v>
      </c>
      <c r="R647" s="212" t="s">
        <v>445</v>
      </c>
      <c r="S647" s="212" t="s">
        <v>532</v>
      </c>
      <c r="T647" s="212" t="s">
        <v>445</v>
      </c>
      <c r="U647" s="212" t="s">
        <v>446</v>
      </c>
      <c r="V647" s="214" t="b">
        <v>1</v>
      </c>
      <c r="W647" s="214">
        <v>1989</v>
      </c>
      <c r="X647" s="214">
        <v>5</v>
      </c>
      <c r="Y647" s="214">
        <v>2</v>
      </c>
      <c r="Z647" s="214">
        <v>4</v>
      </c>
      <c r="AA647" s="212" t="s">
        <v>447</v>
      </c>
      <c r="AB647" s="212" t="s">
        <v>531</v>
      </c>
      <c r="AC647" s="212" t="s">
        <v>533</v>
      </c>
      <c r="AD647" s="214">
        <v>1.2622610000000001</v>
      </c>
      <c r="AE647" s="214">
        <v>140</v>
      </c>
      <c r="AF647" s="214">
        <v>0.5827</v>
      </c>
      <c r="AG647" s="214">
        <v>-99</v>
      </c>
      <c r="AH647" s="212" t="s">
        <v>224</v>
      </c>
      <c r="AI647" s="212" t="s">
        <v>449</v>
      </c>
      <c r="AJ647" s="212" t="s">
        <v>307</v>
      </c>
      <c r="AK647" s="212" t="s">
        <v>531</v>
      </c>
      <c r="AL647" s="212" t="s">
        <v>385</v>
      </c>
      <c r="AM647" s="214" t="b">
        <v>1</v>
      </c>
      <c r="AN647" s="214" t="b">
        <v>0</v>
      </c>
      <c r="AO647" s="212" t="s">
        <v>308</v>
      </c>
      <c r="AP647" s="212" t="s">
        <v>309</v>
      </c>
      <c r="AQ647" s="214">
        <v>100.20194000000001</v>
      </c>
      <c r="AR647" s="214" t="b">
        <v>0</v>
      </c>
      <c r="AS647" s="212" t="s">
        <v>534</v>
      </c>
      <c r="AU647" s="222" t="s">
        <v>819</v>
      </c>
    </row>
    <row r="648" spans="1:47" x14ac:dyDescent="0.25">
      <c r="A648" s="245">
        <f t="shared" si="86"/>
        <v>648</v>
      </c>
      <c r="B648" s="246" t="str">
        <f t="shared" si="84"/>
        <v>Oil Field - Tank</v>
      </c>
      <c r="C648" s="246" t="str">
        <f ca="1">IF(B648="","",VLOOKUP(D648,'Species Data'!B:E,4,FALSE))</f>
        <v>dimethhex24</v>
      </c>
      <c r="D648" s="246">
        <f t="shared" ca="1" si="87"/>
        <v>149</v>
      </c>
      <c r="E648" s="246">
        <f t="shared" ca="1" si="88"/>
        <v>9.6299999999999997E-2</v>
      </c>
      <c r="F648" s="246" t="str">
        <f t="shared" ca="1" si="89"/>
        <v>2,4-dimethylhexane</v>
      </c>
      <c r="G648" s="246">
        <f t="shared" ca="1" si="90"/>
        <v>114.22852</v>
      </c>
      <c r="H648" s="204">
        <f ca="1">IF(G648="","",IF(VLOOKUP(Tank!F648,'Species Data'!D:F,3,FALSE)=0,"X",IF(G648&lt;44.1,2,1)))</f>
        <v>1</v>
      </c>
      <c r="I648" s="204">
        <f t="shared" ca="1" si="91"/>
        <v>6.6793974555489091E-2</v>
      </c>
      <c r="J648" s="247">
        <f ca="1">IF(I648="","",IF(COUNTIF($D$12:D648,D648)=1,IF(H648=1,I648*H648,IF(H648="X","X",0)),0))</f>
        <v>0</v>
      </c>
      <c r="K648" s="248">
        <f t="shared" ca="1" si="85"/>
        <v>0</v>
      </c>
      <c r="L648" s="212" t="s">
        <v>679</v>
      </c>
      <c r="M648" s="212" t="s">
        <v>448</v>
      </c>
      <c r="N648" s="212" t="s">
        <v>470</v>
      </c>
      <c r="O648" s="213">
        <v>41419</v>
      </c>
      <c r="P648" s="212" t="s">
        <v>531</v>
      </c>
      <c r="Q648" s="214">
        <v>100</v>
      </c>
      <c r="R648" s="212" t="s">
        <v>445</v>
      </c>
      <c r="S648" s="212" t="s">
        <v>532</v>
      </c>
      <c r="T648" s="212" t="s">
        <v>445</v>
      </c>
      <c r="U648" s="212" t="s">
        <v>446</v>
      </c>
      <c r="V648" s="214" t="b">
        <v>1</v>
      </c>
      <c r="W648" s="214">
        <v>1989</v>
      </c>
      <c r="X648" s="214">
        <v>5</v>
      </c>
      <c r="Y648" s="214">
        <v>2</v>
      </c>
      <c r="Z648" s="214">
        <v>4</v>
      </c>
      <c r="AA648" s="212" t="s">
        <v>447</v>
      </c>
      <c r="AB648" s="212" t="s">
        <v>531</v>
      </c>
      <c r="AC648" s="212" t="s">
        <v>533</v>
      </c>
      <c r="AD648" s="214">
        <v>1.2622610000000001</v>
      </c>
      <c r="AE648" s="214">
        <v>149</v>
      </c>
      <c r="AF648" s="214">
        <v>9.6299999999999997E-2</v>
      </c>
      <c r="AG648" s="214">
        <v>-99</v>
      </c>
      <c r="AH648" s="212" t="s">
        <v>224</v>
      </c>
      <c r="AI648" s="212" t="s">
        <v>449</v>
      </c>
      <c r="AJ648" s="212" t="s">
        <v>427</v>
      </c>
      <c r="AK648" s="212" t="s">
        <v>531</v>
      </c>
      <c r="AL648" s="212" t="s">
        <v>457</v>
      </c>
      <c r="AM648" s="214" t="b">
        <v>0</v>
      </c>
      <c r="AN648" s="214" t="b">
        <v>0</v>
      </c>
      <c r="AO648" s="212" t="s">
        <v>428</v>
      </c>
      <c r="AP648" s="212" t="s">
        <v>429</v>
      </c>
      <c r="AQ648" s="214">
        <v>114.22852</v>
      </c>
      <c r="AR648" s="214" t="b">
        <v>0</v>
      </c>
      <c r="AS648" s="212" t="s">
        <v>534</v>
      </c>
      <c r="AU648" s="222" t="s">
        <v>819</v>
      </c>
    </row>
    <row r="649" spans="1:47" x14ac:dyDescent="0.25">
      <c r="A649" s="245">
        <f t="shared" si="86"/>
        <v>649</v>
      </c>
      <c r="B649" s="246" t="str">
        <f t="shared" si="84"/>
        <v>Oil Field - Tank</v>
      </c>
      <c r="C649" s="246" t="str">
        <f ca="1">IF(B649="","",VLOOKUP(D649,'Species Data'!B:E,4,FALSE))</f>
        <v>dimetpen4</v>
      </c>
      <c r="D649" s="246">
        <f t="shared" ca="1" si="87"/>
        <v>152</v>
      </c>
      <c r="E649" s="246">
        <f t="shared" ca="1" si="88"/>
        <v>0.1842</v>
      </c>
      <c r="F649" s="246" t="str">
        <f t="shared" ca="1" si="89"/>
        <v>2,4-dimethylpentane</v>
      </c>
      <c r="G649" s="246">
        <f t="shared" ca="1" si="90"/>
        <v>100.20194000000001</v>
      </c>
      <c r="H649" s="204">
        <f ca="1">IF(G649="","",IF(VLOOKUP(Tank!F649,'Species Data'!D:F,3,FALSE)=0,"X",IF(G649&lt;44.1,2,1)))</f>
        <v>1</v>
      </c>
      <c r="I649" s="204">
        <f t="shared" ca="1" si="91"/>
        <v>7.947409628465768E-2</v>
      </c>
      <c r="J649" s="247">
        <f ca="1">IF(I649="","",IF(COUNTIF($D$12:D649,D649)=1,IF(H649=1,I649*H649,IF(H649="X","X",0)),0))</f>
        <v>0</v>
      </c>
      <c r="K649" s="248">
        <f t="shared" ca="1" si="85"/>
        <v>0</v>
      </c>
      <c r="L649" s="212" t="s">
        <v>679</v>
      </c>
      <c r="M649" s="212" t="s">
        <v>448</v>
      </c>
      <c r="N649" s="212" t="s">
        <v>470</v>
      </c>
      <c r="O649" s="213">
        <v>41419</v>
      </c>
      <c r="P649" s="212" t="s">
        <v>531</v>
      </c>
      <c r="Q649" s="214">
        <v>100</v>
      </c>
      <c r="R649" s="212" t="s">
        <v>445</v>
      </c>
      <c r="S649" s="212" t="s">
        <v>532</v>
      </c>
      <c r="T649" s="212" t="s">
        <v>445</v>
      </c>
      <c r="U649" s="212" t="s">
        <v>446</v>
      </c>
      <c r="V649" s="214" t="b">
        <v>1</v>
      </c>
      <c r="W649" s="214">
        <v>1989</v>
      </c>
      <c r="X649" s="214">
        <v>5</v>
      </c>
      <c r="Y649" s="214">
        <v>2</v>
      </c>
      <c r="Z649" s="214">
        <v>4</v>
      </c>
      <c r="AA649" s="212" t="s">
        <v>447</v>
      </c>
      <c r="AB649" s="212" t="s">
        <v>531</v>
      </c>
      <c r="AC649" s="212" t="s">
        <v>533</v>
      </c>
      <c r="AD649" s="214">
        <v>1.2622610000000001</v>
      </c>
      <c r="AE649" s="214">
        <v>152</v>
      </c>
      <c r="AF649" s="214">
        <v>0.1842</v>
      </c>
      <c r="AG649" s="214">
        <v>-99</v>
      </c>
      <c r="AH649" s="212" t="s">
        <v>224</v>
      </c>
      <c r="AI649" s="212" t="s">
        <v>449</v>
      </c>
      <c r="AJ649" s="212" t="s">
        <v>310</v>
      </c>
      <c r="AK649" s="212" t="s">
        <v>531</v>
      </c>
      <c r="AL649" s="212" t="s">
        <v>386</v>
      </c>
      <c r="AM649" s="214" t="b">
        <v>1</v>
      </c>
      <c r="AN649" s="214" t="b">
        <v>0</v>
      </c>
      <c r="AO649" s="212" t="s">
        <v>311</v>
      </c>
      <c r="AP649" s="212" t="s">
        <v>312</v>
      </c>
      <c r="AQ649" s="214">
        <v>100.20194000000001</v>
      </c>
      <c r="AR649" s="214" t="b">
        <v>0</v>
      </c>
      <c r="AS649" s="212" t="s">
        <v>534</v>
      </c>
      <c r="AU649" s="222" t="s">
        <v>819</v>
      </c>
    </row>
    <row r="650" spans="1:47" x14ac:dyDescent="0.25">
      <c r="A650" s="245">
        <f t="shared" si="86"/>
        <v>650</v>
      </c>
      <c r="B650" s="246" t="str">
        <f t="shared" si="84"/>
        <v>Oil Field - Tank</v>
      </c>
      <c r="C650" s="246" t="str">
        <f ca="1">IF(B650="","",VLOOKUP(D650,'Species Data'!B:E,4,FALSE))</f>
        <v>methep2</v>
      </c>
      <c r="D650" s="246">
        <f t="shared" ca="1" si="87"/>
        <v>193</v>
      </c>
      <c r="E650" s="246">
        <f t="shared" ca="1" si="88"/>
        <v>0.45419999999999999</v>
      </c>
      <c r="F650" s="246" t="str">
        <f t="shared" ca="1" si="89"/>
        <v>2-methylheptane</v>
      </c>
      <c r="G650" s="246">
        <f t="shared" ca="1" si="90"/>
        <v>114.22852</v>
      </c>
      <c r="H650" s="204">
        <f ca="1">IF(G650="","",IF(VLOOKUP(Tank!F650,'Species Data'!D:F,3,FALSE)=0,"X",IF(G650&lt;44.1,2,1)))</f>
        <v>1</v>
      </c>
      <c r="I650" s="204">
        <f t="shared" ca="1" si="91"/>
        <v>0.11845447049625013</v>
      </c>
      <c r="J650" s="247">
        <f ca="1">IF(I650="","",IF(COUNTIF($D$12:D650,D650)=1,IF(H650=1,I650*H650,IF(H650="X","X",0)),0))</f>
        <v>0</v>
      </c>
      <c r="K650" s="248">
        <f t="shared" ca="1" si="85"/>
        <v>0</v>
      </c>
      <c r="L650" s="212" t="s">
        <v>679</v>
      </c>
      <c r="M650" s="212" t="s">
        <v>448</v>
      </c>
      <c r="N650" s="212" t="s">
        <v>470</v>
      </c>
      <c r="O650" s="213">
        <v>41419</v>
      </c>
      <c r="P650" s="212" t="s">
        <v>531</v>
      </c>
      <c r="Q650" s="214">
        <v>100</v>
      </c>
      <c r="R650" s="212" t="s">
        <v>445</v>
      </c>
      <c r="S650" s="212" t="s">
        <v>532</v>
      </c>
      <c r="T650" s="212" t="s">
        <v>445</v>
      </c>
      <c r="U650" s="212" t="s">
        <v>446</v>
      </c>
      <c r="V650" s="214" t="b">
        <v>1</v>
      </c>
      <c r="W650" s="214">
        <v>1989</v>
      </c>
      <c r="X650" s="214">
        <v>5</v>
      </c>
      <c r="Y650" s="214">
        <v>2</v>
      </c>
      <c r="Z650" s="214">
        <v>4</v>
      </c>
      <c r="AA650" s="212" t="s">
        <v>447</v>
      </c>
      <c r="AB650" s="212" t="s">
        <v>531</v>
      </c>
      <c r="AC650" s="212" t="s">
        <v>533</v>
      </c>
      <c r="AD650" s="214">
        <v>1.2622610000000001</v>
      </c>
      <c r="AE650" s="214">
        <v>193</v>
      </c>
      <c r="AF650" s="214">
        <v>0.45419999999999999</v>
      </c>
      <c r="AG650" s="214">
        <v>-99</v>
      </c>
      <c r="AH650" s="212" t="s">
        <v>224</v>
      </c>
      <c r="AI650" s="212" t="s">
        <v>449</v>
      </c>
      <c r="AJ650" s="212" t="s">
        <v>313</v>
      </c>
      <c r="AK650" s="212" t="s">
        <v>531</v>
      </c>
      <c r="AL650" s="212" t="s">
        <v>387</v>
      </c>
      <c r="AM650" s="214" t="b">
        <v>1</v>
      </c>
      <c r="AN650" s="214" t="b">
        <v>0</v>
      </c>
      <c r="AO650" s="212" t="s">
        <v>314</v>
      </c>
      <c r="AP650" s="212" t="s">
        <v>315</v>
      </c>
      <c r="AQ650" s="214">
        <v>114.22852</v>
      </c>
      <c r="AR650" s="214" t="b">
        <v>0</v>
      </c>
      <c r="AS650" s="212" t="s">
        <v>534</v>
      </c>
      <c r="AU650" s="222" t="s">
        <v>819</v>
      </c>
    </row>
    <row r="651" spans="1:47" x14ac:dyDescent="0.25">
      <c r="A651" s="245">
        <f t="shared" si="86"/>
        <v>651</v>
      </c>
      <c r="B651" s="246" t="str">
        <f t="shared" si="84"/>
        <v>Oil Field - Tank</v>
      </c>
      <c r="C651" s="246" t="str">
        <f ca="1">IF(B651="","",VLOOKUP(D651,'Species Data'!B:E,4,FALSE))</f>
        <v>twomethex</v>
      </c>
      <c r="D651" s="246">
        <f t="shared" ca="1" si="87"/>
        <v>194</v>
      </c>
      <c r="E651" s="246">
        <f t="shared" ca="1" si="88"/>
        <v>0.58030000000000004</v>
      </c>
      <c r="F651" s="246" t="str">
        <f t="shared" ca="1" si="89"/>
        <v>2-methylhexane</v>
      </c>
      <c r="G651" s="246">
        <f t="shared" ca="1" si="90"/>
        <v>100.20194000000001</v>
      </c>
      <c r="H651" s="204">
        <f ca="1">IF(G651="","",IF(VLOOKUP(Tank!F651,'Species Data'!D:F,3,FALSE)=0,"X",IF(G651&lt;44.1,2,1)))</f>
        <v>1</v>
      </c>
      <c r="I651" s="204">
        <f t="shared" ca="1" si="91"/>
        <v>0.30248957056654424</v>
      </c>
      <c r="J651" s="247">
        <f ca="1">IF(I651="","",IF(COUNTIF($D$12:D651,D651)=1,IF(H651=1,I651*H651,IF(H651="X","X",0)),0))</f>
        <v>0</v>
      </c>
      <c r="K651" s="248">
        <f t="shared" ca="1" si="85"/>
        <v>0</v>
      </c>
      <c r="L651" s="212" t="s">
        <v>679</v>
      </c>
      <c r="M651" s="212" t="s">
        <v>448</v>
      </c>
      <c r="N651" s="212" t="s">
        <v>470</v>
      </c>
      <c r="O651" s="213">
        <v>41419</v>
      </c>
      <c r="P651" s="212" t="s">
        <v>531</v>
      </c>
      <c r="Q651" s="214">
        <v>100</v>
      </c>
      <c r="R651" s="212" t="s">
        <v>445</v>
      </c>
      <c r="S651" s="212" t="s">
        <v>532</v>
      </c>
      <c r="T651" s="212" t="s">
        <v>445</v>
      </c>
      <c r="U651" s="212" t="s">
        <v>446</v>
      </c>
      <c r="V651" s="214" t="b">
        <v>1</v>
      </c>
      <c r="W651" s="214">
        <v>1989</v>
      </c>
      <c r="X651" s="214">
        <v>5</v>
      </c>
      <c r="Y651" s="214">
        <v>2</v>
      </c>
      <c r="Z651" s="214">
        <v>4</v>
      </c>
      <c r="AA651" s="212" t="s">
        <v>447</v>
      </c>
      <c r="AB651" s="212" t="s">
        <v>531</v>
      </c>
      <c r="AC651" s="212" t="s">
        <v>533</v>
      </c>
      <c r="AD651" s="214">
        <v>1.2622610000000001</v>
      </c>
      <c r="AE651" s="214">
        <v>194</v>
      </c>
      <c r="AF651" s="214">
        <v>0.58030000000000004</v>
      </c>
      <c r="AG651" s="214">
        <v>-99</v>
      </c>
      <c r="AH651" s="212" t="s">
        <v>224</v>
      </c>
      <c r="AI651" s="212" t="s">
        <v>449</v>
      </c>
      <c r="AJ651" s="212" t="s">
        <v>316</v>
      </c>
      <c r="AK651" s="212" t="s">
        <v>531</v>
      </c>
      <c r="AL651" s="212" t="s">
        <v>388</v>
      </c>
      <c r="AM651" s="214" t="b">
        <v>1</v>
      </c>
      <c r="AN651" s="214" t="b">
        <v>0</v>
      </c>
      <c r="AO651" s="212" t="s">
        <v>317</v>
      </c>
      <c r="AP651" s="212" t="s">
        <v>318</v>
      </c>
      <c r="AQ651" s="214">
        <v>100.20194000000001</v>
      </c>
      <c r="AR651" s="214" t="b">
        <v>0</v>
      </c>
      <c r="AS651" s="212" t="s">
        <v>534</v>
      </c>
      <c r="AU651" s="222" t="s">
        <v>819</v>
      </c>
    </row>
    <row r="652" spans="1:47" x14ac:dyDescent="0.25">
      <c r="A652" s="245">
        <f t="shared" si="86"/>
        <v>652</v>
      </c>
      <c r="B652" s="246" t="str">
        <f t="shared" ref="B652:B682" si="92">IF(ROW(A652)-(ROW($A$12))&lt;$B$10,$B$9,"")</f>
        <v>Oil Field - Tank</v>
      </c>
      <c r="C652" s="246" t="str">
        <f ca="1">IF(B652="","",VLOOKUP(D652,'Species Data'!B:E,4,FALSE))</f>
        <v>twometpen</v>
      </c>
      <c r="D652" s="246">
        <f t="shared" ca="1" si="87"/>
        <v>199</v>
      </c>
      <c r="E652" s="246">
        <f t="shared" ca="1" si="88"/>
        <v>2.6274999999999999</v>
      </c>
      <c r="F652" s="246" t="str">
        <f t="shared" ca="1" si="89"/>
        <v>2-methylpentane (isohexane)</v>
      </c>
      <c r="G652" s="246">
        <f t="shared" ca="1" si="90"/>
        <v>86.175359999999998</v>
      </c>
      <c r="H652" s="204">
        <f ca="1">IF(G652="","",IF(VLOOKUP(Tank!F652,'Species Data'!D:F,3,FALSE)=0,"X",IF(G652&lt;44.1,2,1)))</f>
        <v>1</v>
      </c>
      <c r="I652" s="204">
        <f t="shared" ca="1" si="91"/>
        <v>0.93120227287515311</v>
      </c>
      <c r="J652" s="247">
        <f ca="1">IF(I652="","",IF(COUNTIF($D$12:D652,D652)=1,IF(H652=1,I652*H652,IF(H652="X","X",0)),0))</f>
        <v>0</v>
      </c>
      <c r="K652" s="248">
        <f t="shared" ca="1" si="85"/>
        <v>0</v>
      </c>
      <c r="L652" s="212" t="s">
        <v>679</v>
      </c>
      <c r="M652" s="212" t="s">
        <v>448</v>
      </c>
      <c r="N652" s="212" t="s">
        <v>470</v>
      </c>
      <c r="O652" s="213">
        <v>41419</v>
      </c>
      <c r="P652" s="212" t="s">
        <v>531</v>
      </c>
      <c r="Q652" s="214">
        <v>100</v>
      </c>
      <c r="R652" s="212" t="s">
        <v>445</v>
      </c>
      <c r="S652" s="212" t="s">
        <v>532</v>
      </c>
      <c r="T652" s="212" t="s">
        <v>445</v>
      </c>
      <c r="U652" s="212" t="s">
        <v>446</v>
      </c>
      <c r="V652" s="214" t="b">
        <v>1</v>
      </c>
      <c r="W652" s="214">
        <v>1989</v>
      </c>
      <c r="X652" s="214">
        <v>5</v>
      </c>
      <c r="Y652" s="214">
        <v>2</v>
      </c>
      <c r="Z652" s="214">
        <v>4</v>
      </c>
      <c r="AA652" s="212" t="s">
        <v>447</v>
      </c>
      <c r="AB652" s="212" t="s">
        <v>531</v>
      </c>
      <c r="AC652" s="212" t="s">
        <v>533</v>
      </c>
      <c r="AD652" s="214">
        <v>1.2622610000000001</v>
      </c>
      <c r="AE652" s="214">
        <v>199</v>
      </c>
      <c r="AF652" s="214">
        <v>2.6274999999999999</v>
      </c>
      <c r="AG652" s="214">
        <v>-99</v>
      </c>
      <c r="AH652" s="212" t="s">
        <v>224</v>
      </c>
      <c r="AI652" s="212" t="s">
        <v>449</v>
      </c>
      <c r="AJ652" s="212" t="s">
        <v>319</v>
      </c>
      <c r="AK652" s="212" t="s">
        <v>531</v>
      </c>
      <c r="AL652" s="212" t="s">
        <v>389</v>
      </c>
      <c r="AM652" s="214" t="b">
        <v>1</v>
      </c>
      <c r="AN652" s="214" t="b">
        <v>0</v>
      </c>
      <c r="AO652" s="212" t="s">
        <v>320</v>
      </c>
      <c r="AP652" s="212" t="s">
        <v>321</v>
      </c>
      <c r="AQ652" s="214">
        <v>86.175359999999998</v>
      </c>
      <c r="AR652" s="214" t="b">
        <v>0</v>
      </c>
      <c r="AS652" s="212" t="s">
        <v>534</v>
      </c>
      <c r="AU652" s="222" t="s">
        <v>819</v>
      </c>
    </row>
    <row r="653" spans="1:47" x14ac:dyDescent="0.25">
      <c r="A653" s="245">
        <f t="shared" si="86"/>
        <v>653</v>
      </c>
      <c r="B653" s="246" t="str">
        <f t="shared" si="92"/>
        <v>Oil Field - Tank</v>
      </c>
      <c r="C653" s="246" t="str">
        <f ca="1">IF(B653="","",VLOOKUP(D653,'Species Data'!B:E,4,FALSE))</f>
        <v>ethylhexane</v>
      </c>
      <c r="D653" s="246">
        <f t="shared" ca="1" si="87"/>
        <v>226</v>
      </c>
      <c r="E653" s="246">
        <f t="shared" ca="1" si="88"/>
        <v>0.23280000000000001</v>
      </c>
      <c r="F653" s="246" t="str">
        <f t="shared" ca="1" si="89"/>
        <v>3-ethylhexane</v>
      </c>
      <c r="G653" s="246">
        <f t="shared" ca="1" si="90"/>
        <v>114.22852</v>
      </c>
      <c r="H653" s="204" t="str">
        <f ca="1">IF(G653="","",IF(VLOOKUP(Tank!F653,'Species Data'!D:F,3,FALSE)=0,"X",IF(G653&lt;44.1,2,1)))</f>
        <v>X</v>
      </c>
      <c r="I653" s="204">
        <f t="shared" ca="1" si="91"/>
        <v>9.0107531698970997E-2</v>
      </c>
      <c r="J653" s="247">
        <f ca="1">IF(I653="","",IF(COUNTIF($D$12:D653,D653)=1,IF(H653=1,I653*H653,IF(H653="X","X",0)),0))</f>
        <v>0</v>
      </c>
      <c r="K653" s="248">
        <f t="shared" ref="K653:K682" ca="1" si="93">IF(J653="","",IF(J653="X",0,J653/$J$9*100))</f>
        <v>0</v>
      </c>
      <c r="L653" s="212" t="s">
        <v>679</v>
      </c>
      <c r="M653" s="212" t="s">
        <v>448</v>
      </c>
      <c r="N653" s="212" t="s">
        <v>470</v>
      </c>
      <c r="O653" s="213">
        <v>41419</v>
      </c>
      <c r="P653" s="212" t="s">
        <v>531</v>
      </c>
      <c r="Q653" s="214">
        <v>100</v>
      </c>
      <c r="R653" s="212" t="s">
        <v>445</v>
      </c>
      <c r="S653" s="212" t="s">
        <v>532</v>
      </c>
      <c r="T653" s="212" t="s">
        <v>445</v>
      </c>
      <c r="U653" s="212" t="s">
        <v>446</v>
      </c>
      <c r="V653" s="214" t="b">
        <v>1</v>
      </c>
      <c r="W653" s="214">
        <v>1989</v>
      </c>
      <c r="X653" s="214">
        <v>5</v>
      </c>
      <c r="Y653" s="214">
        <v>2</v>
      </c>
      <c r="Z653" s="214">
        <v>4</v>
      </c>
      <c r="AA653" s="212" t="s">
        <v>447</v>
      </c>
      <c r="AB653" s="212" t="s">
        <v>531</v>
      </c>
      <c r="AC653" s="212" t="s">
        <v>533</v>
      </c>
      <c r="AD653" s="214">
        <v>1.2622610000000001</v>
      </c>
      <c r="AE653" s="214">
        <v>226</v>
      </c>
      <c r="AF653" s="214">
        <v>0.23280000000000001</v>
      </c>
      <c r="AG653" s="214">
        <v>-99</v>
      </c>
      <c r="AH653" s="212" t="s">
        <v>224</v>
      </c>
      <c r="AI653" s="212" t="s">
        <v>449</v>
      </c>
      <c r="AJ653" s="212" t="s">
        <v>439</v>
      </c>
      <c r="AK653" s="212" t="s">
        <v>531</v>
      </c>
      <c r="AL653" s="212" t="s">
        <v>461</v>
      </c>
      <c r="AM653" s="214" t="b">
        <v>0</v>
      </c>
      <c r="AN653" s="214" t="b">
        <v>0</v>
      </c>
      <c r="AO653" s="212" t="s">
        <v>440</v>
      </c>
      <c r="AP653" s="212" t="s">
        <v>531</v>
      </c>
      <c r="AQ653" s="214">
        <v>114.22852</v>
      </c>
      <c r="AR653" s="214" t="b">
        <v>0</v>
      </c>
      <c r="AS653" s="212" t="s">
        <v>534</v>
      </c>
      <c r="AU653" s="222" t="s">
        <v>819</v>
      </c>
    </row>
    <row r="654" spans="1:47" x14ac:dyDescent="0.25">
      <c r="A654" s="245">
        <f t="shared" si="86"/>
        <v>654</v>
      </c>
      <c r="B654" s="246" t="str">
        <f t="shared" si="92"/>
        <v>Oil Field - Tank</v>
      </c>
      <c r="C654" s="246" t="str">
        <f ca="1">IF(B654="","",VLOOKUP(D654,'Species Data'!B:E,4,FALSE))</f>
        <v>threemethex</v>
      </c>
      <c r="D654" s="246">
        <f t="shared" ca="1" si="87"/>
        <v>245</v>
      </c>
      <c r="E654" s="246">
        <f t="shared" ca="1" si="88"/>
        <v>0.83699999999999997</v>
      </c>
      <c r="F654" s="246" t="str">
        <f t="shared" ca="1" si="89"/>
        <v>3-methylhexane</v>
      </c>
      <c r="G654" s="246">
        <f t="shared" ca="1" si="90"/>
        <v>100.20194000000001</v>
      </c>
      <c r="H654" s="204">
        <f ca="1">IF(G654="","",IF(VLOOKUP(Tank!F654,'Species Data'!D:F,3,FALSE)=0,"X",IF(G654&lt;44.1,2,1)))</f>
        <v>1</v>
      </c>
      <c r="I654" s="204">
        <f t="shared" ca="1" si="91"/>
        <v>0.33724323753508045</v>
      </c>
      <c r="J654" s="247">
        <f ca="1">IF(I654="","",IF(COUNTIF($D$12:D654,D654)=1,IF(H654=1,I654*H654,IF(H654="X","X",0)),0))</f>
        <v>0</v>
      </c>
      <c r="K654" s="248">
        <f t="shared" ca="1" si="93"/>
        <v>0</v>
      </c>
      <c r="L654" s="212" t="s">
        <v>679</v>
      </c>
      <c r="M654" s="212" t="s">
        <v>448</v>
      </c>
      <c r="N654" s="212" t="s">
        <v>470</v>
      </c>
      <c r="O654" s="213">
        <v>41419</v>
      </c>
      <c r="P654" s="212" t="s">
        <v>531</v>
      </c>
      <c r="Q654" s="214">
        <v>100</v>
      </c>
      <c r="R654" s="212" t="s">
        <v>445</v>
      </c>
      <c r="S654" s="212" t="s">
        <v>532</v>
      </c>
      <c r="T654" s="212" t="s">
        <v>445</v>
      </c>
      <c r="U654" s="212" t="s">
        <v>446</v>
      </c>
      <c r="V654" s="214" t="b">
        <v>1</v>
      </c>
      <c r="W654" s="214">
        <v>1989</v>
      </c>
      <c r="X654" s="214">
        <v>5</v>
      </c>
      <c r="Y654" s="214">
        <v>2</v>
      </c>
      <c r="Z654" s="214">
        <v>4</v>
      </c>
      <c r="AA654" s="212" t="s">
        <v>447</v>
      </c>
      <c r="AB654" s="212" t="s">
        <v>531</v>
      </c>
      <c r="AC654" s="212" t="s">
        <v>533</v>
      </c>
      <c r="AD654" s="214">
        <v>1.2622610000000001</v>
      </c>
      <c r="AE654" s="214">
        <v>245</v>
      </c>
      <c r="AF654" s="214">
        <v>0.83699999999999997</v>
      </c>
      <c r="AG654" s="214">
        <v>-99</v>
      </c>
      <c r="AH654" s="212" t="s">
        <v>224</v>
      </c>
      <c r="AI654" s="212" t="s">
        <v>449</v>
      </c>
      <c r="AJ654" s="212" t="s">
        <v>325</v>
      </c>
      <c r="AK654" s="212" t="s">
        <v>531</v>
      </c>
      <c r="AL654" s="212" t="s">
        <v>390</v>
      </c>
      <c r="AM654" s="214" t="b">
        <v>1</v>
      </c>
      <c r="AN654" s="214" t="b">
        <v>0</v>
      </c>
      <c r="AO654" s="212" t="s">
        <v>326</v>
      </c>
      <c r="AP654" s="212" t="s">
        <v>327</v>
      </c>
      <c r="AQ654" s="214">
        <v>100.20194000000001</v>
      </c>
      <c r="AR654" s="214" t="b">
        <v>0</v>
      </c>
      <c r="AS654" s="212" t="s">
        <v>534</v>
      </c>
      <c r="AU654" s="222" t="s">
        <v>819</v>
      </c>
    </row>
    <row r="655" spans="1:47" x14ac:dyDescent="0.25">
      <c r="A655" s="245">
        <f t="shared" si="86"/>
        <v>655</v>
      </c>
      <c r="B655" s="246" t="str">
        <f t="shared" si="92"/>
        <v>Oil Field - Tank</v>
      </c>
      <c r="C655" s="246" t="str">
        <f ca="1">IF(B655="","",VLOOKUP(D655,'Species Data'!B:E,4,FALSE))</f>
        <v>threemetpen</v>
      </c>
      <c r="D655" s="246">
        <f t="shared" ca="1" si="87"/>
        <v>248</v>
      </c>
      <c r="E655" s="246">
        <f t="shared" ca="1" si="88"/>
        <v>1.9876</v>
      </c>
      <c r="F655" s="246" t="str">
        <f t="shared" ca="1" si="89"/>
        <v>3-methylpentane</v>
      </c>
      <c r="G655" s="246">
        <f t="shared" ca="1" si="90"/>
        <v>86.175359999999998</v>
      </c>
      <c r="H655" s="204">
        <f ca="1">IF(G655="","",IF(VLOOKUP(Tank!F655,'Species Data'!D:F,3,FALSE)=0,"X",IF(G655&lt;44.1,2,1)))</f>
        <v>1</v>
      </c>
      <c r="I655" s="204">
        <f t="shared" ca="1" si="91"/>
        <v>0.72479362468546382</v>
      </c>
      <c r="J655" s="247">
        <f ca="1">IF(I655="","",IF(COUNTIF($D$12:D655,D655)=1,IF(H655=1,I655*H655,IF(H655="X","X",0)),0))</f>
        <v>0</v>
      </c>
      <c r="K655" s="248">
        <f t="shared" ca="1" si="93"/>
        <v>0</v>
      </c>
      <c r="L655" s="212" t="s">
        <v>679</v>
      </c>
      <c r="M655" s="212" t="s">
        <v>448</v>
      </c>
      <c r="N655" s="212" t="s">
        <v>470</v>
      </c>
      <c r="O655" s="213">
        <v>41419</v>
      </c>
      <c r="P655" s="212" t="s">
        <v>531</v>
      </c>
      <c r="Q655" s="214">
        <v>100</v>
      </c>
      <c r="R655" s="212" t="s">
        <v>445</v>
      </c>
      <c r="S655" s="212" t="s">
        <v>532</v>
      </c>
      <c r="T655" s="212" t="s">
        <v>445</v>
      </c>
      <c r="U655" s="212" t="s">
        <v>446</v>
      </c>
      <c r="V655" s="214" t="b">
        <v>1</v>
      </c>
      <c r="W655" s="214">
        <v>1989</v>
      </c>
      <c r="X655" s="214">
        <v>5</v>
      </c>
      <c r="Y655" s="214">
        <v>2</v>
      </c>
      <c r="Z655" s="214">
        <v>4</v>
      </c>
      <c r="AA655" s="212" t="s">
        <v>447</v>
      </c>
      <c r="AB655" s="212" t="s">
        <v>531</v>
      </c>
      <c r="AC655" s="212" t="s">
        <v>533</v>
      </c>
      <c r="AD655" s="214">
        <v>1.2622610000000001</v>
      </c>
      <c r="AE655" s="214">
        <v>248</v>
      </c>
      <c r="AF655" s="214">
        <v>1.9876</v>
      </c>
      <c r="AG655" s="214">
        <v>-99</v>
      </c>
      <c r="AH655" s="212" t="s">
        <v>224</v>
      </c>
      <c r="AI655" s="212" t="s">
        <v>449</v>
      </c>
      <c r="AJ655" s="212" t="s">
        <v>328</v>
      </c>
      <c r="AK655" s="212" t="s">
        <v>531</v>
      </c>
      <c r="AL655" s="212" t="s">
        <v>391</v>
      </c>
      <c r="AM655" s="214" t="b">
        <v>1</v>
      </c>
      <c r="AN655" s="214" t="b">
        <v>0</v>
      </c>
      <c r="AO655" s="212" t="s">
        <v>329</v>
      </c>
      <c r="AP655" s="212" t="s">
        <v>330</v>
      </c>
      <c r="AQ655" s="214">
        <v>86.175359999999998</v>
      </c>
      <c r="AR655" s="214" t="b">
        <v>0</v>
      </c>
      <c r="AS655" s="212" t="s">
        <v>534</v>
      </c>
      <c r="AU655" s="222" t="s">
        <v>819</v>
      </c>
    </row>
    <row r="656" spans="1:47" x14ac:dyDescent="0.25">
      <c r="A656" s="245">
        <f t="shared" si="86"/>
        <v>656</v>
      </c>
      <c r="B656" s="246" t="str">
        <f t="shared" si="92"/>
        <v>Oil Field - Tank</v>
      </c>
      <c r="C656" s="246" t="str">
        <f ca="1">IF(B656="","",VLOOKUP(D656,'Species Data'!B:E,4,FALSE))</f>
        <v>benzene</v>
      </c>
      <c r="D656" s="246">
        <f t="shared" ca="1" si="87"/>
        <v>302</v>
      </c>
      <c r="E656" s="246">
        <f t="shared" ca="1" si="88"/>
        <v>0.50609999999999999</v>
      </c>
      <c r="F656" s="246" t="str">
        <f t="shared" ca="1" si="89"/>
        <v>Benzene</v>
      </c>
      <c r="G656" s="246">
        <f t="shared" ca="1" si="90"/>
        <v>78.111840000000001</v>
      </c>
      <c r="H656" s="204">
        <f ca="1">IF(G656="","",IF(VLOOKUP(Tank!F656,'Species Data'!D:F,3,FALSE)=0,"X",IF(G656&lt;44.1,2,1)))</f>
        <v>1</v>
      </c>
      <c r="I656" s="204">
        <f t="shared" ca="1" si="91"/>
        <v>0.24518902048126334</v>
      </c>
      <c r="J656" s="247">
        <f ca="1">IF(I656="","",IF(COUNTIF($D$12:D656,D656)=1,IF(H656=1,I656*H656,IF(H656="X","X",0)),0))</f>
        <v>0</v>
      </c>
      <c r="K656" s="248">
        <f t="shared" ca="1" si="93"/>
        <v>0</v>
      </c>
      <c r="L656" s="212" t="s">
        <v>679</v>
      </c>
      <c r="M656" s="212" t="s">
        <v>448</v>
      </c>
      <c r="N656" s="212" t="s">
        <v>470</v>
      </c>
      <c r="O656" s="213">
        <v>41419</v>
      </c>
      <c r="P656" s="212" t="s">
        <v>531</v>
      </c>
      <c r="Q656" s="214">
        <v>100</v>
      </c>
      <c r="R656" s="212" t="s">
        <v>445</v>
      </c>
      <c r="S656" s="212" t="s">
        <v>532</v>
      </c>
      <c r="T656" s="212" t="s">
        <v>445</v>
      </c>
      <c r="U656" s="212" t="s">
        <v>446</v>
      </c>
      <c r="V656" s="214" t="b">
        <v>1</v>
      </c>
      <c r="W656" s="214">
        <v>1989</v>
      </c>
      <c r="X656" s="214">
        <v>5</v>
      </c>
      <c r="Y656" s="214">
        <v>2</v>
      </c>
      <c r="Z656" s="214">
        <v>4</v>
      </c>
      <c r="AA656" s="212" t="s">
        <v>447</v>
      </c>
      <c r="AB656" s="212" t="s">
        <v>531</v>
      </c>
      <c r="AC656" s="212" t="s">
        <v>533</v>
      </c>
      <c r="AD656" s="214">
        <v>1.2622610000000001</v>
      </c>
      <c r="AE656" s="214">
        <v>302</v>
      </c>
      <c r="AF656" s="214">
        <v>0.50609999999999999</v>
      </c>
      <c r="AG656" s="214">
        <v>-99</v>
      </c>
      <c r="AH656" s="212" t="s">
        <v>224</v>
      </c>
      <c r="AI656" s="212" t="s">
        <v>449</v>
      </c>
      <c r="AJ656" s="212" t="s">
        <v>262</v>
      </c>
      <c r="AK656" s="212" t="s">
        <v>531</v>
      </c>
      <c r="AL656" s="212" t="s">
        <v>373</v>
      </c>
      <c r="AM656" s="214" t="b">
        <v>1</v>
      </c>
      <c r="AN656" s="214" t="b">
        <v>1</v>
      </c>
      <c r="AO656" s="212" t="s">
        <v>263</v>
      </c>
      <c r="AP656" s="212" t="s">
        <v>264</v>
      </c>
      <c r="AQ656" s="214">
        <v>78.111840000000001</v>
      </c>
      <c r="AR656" s="214" t="b">
        <v>0</v>
      </c>
      <c r="AS656" s="212" t="s">
        <v>534</v>
      </c>
      <c r="AU656" s="222" t="s">
        <v>819</v>
      </c>
    </row>
    <row r="657" spans="1:47" x14ac:dyDescent="0.25">
      <c r="A657" s="245">
        <f t="shared" si="86"/>
        <v>657</v>
      </c>
      <c r="B657" s="246" t="str">
        <f t="shared" si="92"/>
        <v>Oil Field - Tank</v>
      </c>
      <c r="C657" s="246" t="str">
        <f ca="1">IF(B657="","",VLOOKUP(D657,'Species Data'!B:E,4,FALSE))</f>
        <v>cyclohexane</v>
      </c>
      <c r="D657" s="246">
        <f t="shared" ca="1" si="87"/>
        <v>385</v>
      </c>
      <c r="E657" s="246">
        <f t="shared" ca="1" si="88"/>
        <v>4.2999999999999997E-2</v>
      </c>
      <c r="F657" s="246" t="str">
        <f t="shared" ca="1" si="89"/>
        <v>Cyclohexane</v>
      </c>
      <c r="G657" s="246">
        <f t="shared" ca="1" si="90"/>
        <v>84.159480000000002</v>
      </c>
      <c r="H657" s="204">
        <f ca="1">IF(G657="","",IF(VLOOKUP(Tank!F657,'Species Data'!D:F,3,FALSE)=0,"X",IF(G657&lt;44.1,2,1)))</f>
        <v>1</v>
      </c>
      <c r="I657" s="204">
        <f t="shared" ca="1" si="91"/>
        <v>1.8406843372363042E-2</v>
      </c>
      <c r="J657" s="247">
        <f ca="1">IF(I657="","",IF(COUNTIF($D$12:D657,D657)=1,IF(H657=1,I657*H657,IF(H657="X","X",0)),0))</f>
        <v>0</v>
      </c>
      <c r="K657" s="248">
        <f t="shared" ca="1" si="93"/>
        <v>0</v>
      </c>
      <c r="L657" s="212" t="s">
        <v>679</v>
      </c>
      <c r="M657" s="212" t="s">
        <v>448</v>
      </c>
      <c r="N657" s="212" t="s">
        <v>470</v>
      </c>
      <c r="O657" s="213">
        <v>41419</v>
      </c>
      <c r="P657" s="212" t="s">
        <v>531</v>
      </c>
      <c r="Q657" s="214">
        <v>100</v>
      </c>
      <c r="R657" s="212" t="s">
        <v>445</v>
      </c>
      <c r="S657" s="212" t="s">
        <v>532</v>
      </c>
      <c r="T657" s="212" t="s">
        <v>445</v>
      </c>
      <c r="U657" s="212" t="s">
        <v>446</v>
      </c>
      <c r="V657" s="214" t="b">
        <v>1</v>
      </c>
      <c r="W657" s="214">
        <v>1989</v>
      </c>
      <c r="X657" s="214">
        <v>5</v>
      </c>
      <c r="Y657" s="214">
        <v>2</v>
      </c>
      <c r="Z657" s="214">
        <v>4</v>
      </c>
      <c r="AA657" s="212" t="s">
        <v>447</v>
      </c>
      <c r="AB657" s="212" t="s">
        <v>531</v>
      </c>
      <c r="AC657" s="212" t="s">
        <v>533</v>
      </c>
      <c r="AD657" s="214">
        <v>1.2622610000000001</v>
      </c>
      <c r="AE657" s="214">
        <v>385</v>
      </c>
      <c r="AF657" s="214">
        <v>4.2999999999999997E-2</v>
      </c>
      <c r="AG657" s="214">
        <v>-99</v>
      </c>
      <c r="AH657" s="212" t="s">
        <v>224</v>
      </c>
      <c r="AI657" s="212" t="s">
        <v>449</v>
      </c>
      <c r="AJ657" s="212" t="s">
        <v>331</v>
      </c>
      <c r="AK657" s="212" t="s">
        <v>531</v>
      </c>
      <c r="AL657" s="212" t="s">
        <v>392</v>
      </c>
      <c r="AM657" s="214" t="b">
        <v>1</v>
      </c>
      <c r="AN657" s="214" t="b">
        <v>0</v>
      </c>
      <c r="AO657" s="212" t="s">
        <v>332</v>
      </c>
      <c r="AP657" s="212" t="s">
        <v>333</v>
      </c>
      <c r="AQ657" s="214">
        <v>84.159480000000002</v>
      </c>
      <c r="AR657" s="214" t="b">
        <v>0</v>
      </c>
      <c r="AS657" s="212" t="s">
        <v>534</v>
      </c>
      <c r="AU657" s="222" t="s">
        <v>819</v>
      </c>
    </row>
    <row r="658" spans="1:47" x14ac:dyDescent="0.25">
      <c r="A658" s="245">
        <f t="shared" si="86"/>
        <v>658</v>
      </c>
      <c r="B658" s="246" t="str">
        <f t="shared" si="92"/>
        <v>Oil Field - Tank</v>
      </c>
      <c r="C658" s="246" t="str">
        <f ca="1">IF(B658="","",VLOOKUP(D658,'Species Data'!B:E,4,FALSE))</f>
        <v>ethane</v>
      </c>
      <c r="D658" s="246">
        <f t="shared" ca="1" si="87"/>
        <v>438</v>
      </c>
      <c r="E658" s="246">
        <f t="shared" ca="1" si="88"/>
        <v>5.6014999999999997</v>
      </c>
      <c r="F658" s="246" t="str">
        <f t="shared" ca="1" si="89"/>
        <v>Ethane</v>
      </c>
      <c r="G658" s="246">
        <f t="shared" ca="1" si="90"/>
        <v>30.069040000000005</v>
      </c>
      <c r="H658" s="204">
        <f ca="1">IF(G658="","",IF(VLOOKUP(Tank!F658,'Species Data'!D:F,3,FALSE)=0,"X",IF(G658&lt;44.1,2,1)))</f>
        <v>2</v>
      </c>
      <c r="I658" s="204">
        <f t="shared" ca="1" si="91"/>
        <v>5.717421553913586</v>
      </c>
      <c r="J658" s="247">
        <f ca="1">IF(I658="","",IF(COUNTIF($D$12:D658,D658)=1,IF(H658=1,I658*H658,IF(H658="X","X",0)),0))</f>
        <v>0</v>
      </c>
      <c r="K658" s="248">
        <f t="shared" ca="1" si="93"/>
        <v>0</v>
      </c>
      <c r="L658" s="212" t="s">
        <v>679</v>
      </c>
      <c r="M658" s="212" t="s">
        <v>448</v>
      </c>
      <c r="N658" s="212" t="s">
        <v>470</v>
      </c>
      <c r="O658" s="213">
        <v>41419</v>
      </c>
      <c r="P658" s="212" t="s">
        <v>531</v>
      </c>
      <c r="Q658" s="214">
        <v>100</v>
      </c>
      <c r="R658" s="212" t="s">
        <v>445</v>
      </c>
      <c r="S658" s="212" t="s">
        <v>532</v>
      </c>
      <c r="T658" s="212" t="s">
        <v>445</v>
      </c>
      <c r="U658" s="212" t="s">
        <v>446</v>
      </c>
      <c r="V658" s="214" t="b">
        <v>1</v>
      </c>
      <c r="W658" s="214">
        <v>1989</v>
      </c>
      <c r="X658" s="214">
        <v>5</v>
      </c>
      <c r="Y658" s="214">
        <v>2</v>
      </c>
      <c r="Z658" s="214">
        <v>4</v>
      </c>
      <c r="AA658" s="212" t="s">
        <v>447</v>
      </c>
      <c r="AB658" s="212" t="s">
        <v>531</v>
      </c>
      <c r="AC658" s="212" t="s">
        <v>533</v>
      </c>
      <c r="AD658" s="214">
        <v>1.2622610000000001</v>
      </c>
      <c r="AE658" s="214">
        <v>438</v>
      </c>
      <c r="AF658" s="214">
        <v>5.6014999999999997</v>
      </c>
      <c r="AG658" s="214">
        <v>-99</v>
      </c>
      <c r="AH658" s="212" t="s">
        <v>224</v>
      </c>
      <c r="AI658" s="212" t="s">
        <v>449</v>
      </c>
      <c r="AJ658" s="212" t="s">
        <v>265</v>
      </c>
      <c r="AK658" s="212" t="s">
        <v>531</v>
      </c>
      <c r="AL658" s="212" t="s">
        <v>374</v>
      </c>
      <c r="AM658" s="214" t="b">
        <v>1</v>
      </c>
      <c r="AN658" s="214" t="b">
        <v>0</v>
      </c>
      <c r="AO658" s="212" t="s">
        <v>266</v>
      </c>
      <c r="AP658" s="212" t="s">
        <v>267</v>
      </c>
      <c r="AQ658" s="214">
        <v>30.069040000000005</v>
      </c>
      <c r="AR658" s="214" t="b">
        <v>1</v>
      </c>
      <c r="AS658" s="212" t="s">
        <v>534</v>
      </c>
      <c r="AU658" s="222" t="s">
        <v>819</v>
      </c>
    </row>
    <row r="659" spans="1:47" x14ac:dyDescent="0.25">
      <c r="A659" s="245">
        <f t="shared" si="86"/>
        <v>659</v>
      </c>
      <c r="B659" s="246" t="str">
        <f t="shared" si="92"/>
        <v>Oil Field - Tank</v>
      </c>
      <c r="C659" s="246" t="str">
        <f ca="1">IF(B659="","",VLOOKUP(D659,'Species Data'!B:E,4,FALSE))</f>
        <v>ethyl_benz</v>
      </c>
      <c r="D659" s="246">
        <f t="shared" ca="1" si="87"/>
        <v>449</v>
      </c>
      <c r="E659" s="246">
        <f t="shared" ca="1" si="88"/>
        <v>0.24390000000000001</v>
      </c>
      <c r="F659" s="246" t="str">
        <f t="shared" ca="1" si="89"/>
        <v>Ethylbenzene</v>
      </c>
      <c r="G659" s="246">
        <f t="shared" ca="1" si="90"/>
        <v>106.16500000000001</v>
      </c>
      <c r="H659" s="204">
        <f ca="1">IF(G659="","",IF(VLOOKUP(Tank!F659,'Species Data'!D:F,3,FALSE)=0,"X",IF(G659&lt;44.1,2,1)))</f>
        <v>1</v>
      </c>
      <c r="I659" s="204">
        <f t="shared" ca="1" si="91"/>
        <v>0.12062115796311647</v>
      </c>
      <c r="J659" s="247">
        <f ca="1">IF(I659="","",IF(COUNTIF($D$12:D659,D659)=1,IF(H659=1,I659*H659,IF(H659="X","X",0)),0))</f>
        <v>0</v>
      </c>
      <c r="K659" s="248">
        <f t="shared" ca="1" si="93"/>
        <v>0</v>
      </c>
      <c r="L659" s="212" t="s">
        <v>679</v>
      </c>
      <c r="M659" s="212" t="s">
        <v>448</v>
      </c>
      <c r="N659" s="212" t="s">
        <v>470</v>
      </c>
      <c r="O659" s="213">
        <v>41419</v>
      </c>
      <c r="P659" s="212" t="s">
        <v>531</v>
      </c>
      <c r="Q659" s="214">
        <v>100</v>
      </c>
      <c r="R659" s="212" t="s">
        <v>445</v>
      </c>
      <c r="S659" s="212" t="s">
        <v>532</v>
      </c>
      <c r="T659" s="212" t="s">
        <v>445</v>
      </c>
      <c r="U659" s="212" t="s">
        <v>446</v>
      </c>
      <c r="V659" s="214" t="b">
        <v>1</v>
      </c>
      <c r="W659" s="214">
        <v>1989</v>
      </c>
      <c r="X659" s="214">
        <v>5</v>
      </c>
      <c r="Y659" s="214">
        <v>2</v>
      </c>
      <c r="Z659" s="214">
        <v>4</v>
      </c>
      <c r="AA659" s="212" t="s">
        <v>447</v>
      </c>
      <c r="AB659" s="212" t="s">
        <v>531</v>
      </c>
      <c r="AC659" s="212" t="s">
        <v>533</v>
      </c>
      <c r="AD659" s="214">
        <v>1.2622610000000001</v>
      </c>
      <c r="AE659" s="214">
        <v>449</v>
      </c>
      <c r="AF659" s="214">
        <v>0.24390000000000001</v>
      </c>
      <c r="AG659" s="214">
        <v>-99</v>
      </c>
      <c r="AH659" s="212" t="s">
        <v>224</v>
      </c>
      <c r="AI659" s="212" t="s">
        <v>449</v>
      </c>
      <c r="AJ659" s="212" t="s">
        <v>337</v>
      </c>
      <c r="AK659" s="212" t="s">
        <v>531</v>
      </c>
      <c r="AL659" s="212" t="s">
        <v>394</v>
      </c>
      <c r="AM659" s="214" t="b">
        <v>1</v>
      </c>
      <c r="AN659" s="214" t="b">
        <v>1</v>
      </c>
      <c r="AO659" s="212" t="s">
        <v>338</v>
      </c>
      <c r="AP659" s="212" t="s">
        <v>339</v>
      </c>
      <c r="AQ659" s="214">
        <v>106.16500000000001</v>
      </c>
      <c r="AR659" s="214" t="b">
        <v>0</v>
      </c>
      <c r="AS659" s="212" t="s">
        <v>534</v>
      </c>
      <c r="AU659" s="222" t="s">
        <v>819</v>
      </c>
    </row>
    <row r="660" spans="1:47" x14ac:dyDescent="0.25">
      <c r="A660" s="245">
        <f t="shared" si="86"/>
        <v>660</v>
      </c>
      <c r="B660" s="246" t="str">
        <f t="shared" si="92"/>
        <v>Oil Field - Tank</v>
      </c>
      <c r="C660" s="246" t="str">
        <f ca="1">IF(B660="","",VLOOKUP(D660,'Species Data'!B:E,4,FALSE))</f>
        <v>isobut</v>
      </c>
      <c r="D660" s="246">
        <f t="shared" ca="1" si="87"/>
        <v>491</v>
      </c>
      <c r="E660" s="246">
        <f t="shared" ca="1" si="88"/>
        <v>6.7594000000000003</v>
      </c>
      <c r="F660" s="246" t="str">
        <f t="shared" ca="1" si="89"/>
        <v>Isobutane</v>
      </c>
      <c r="G660" s="246">
        <f t="shared" ca="1" si="90"/>
        <v>58.122199999999992</v>
      </c>
      <c r="H660" s="204">
        <f ca="1">IF(G660="","",IF(VLOOKUP(Tank!F660,'Species Data'!D:F,3,FALSE)=0,"X",IF(G660&lt;44.1,2,1)))</f>
        <v>1</v>
      </c>
      <c r="I660" s="204">
        <f t="shared" ca="1" si="91"/>
        <v>3.2562712602040991</v>
      </c>
      <c r="J660" s="247">
        <f ca="1">IF(I660="","",IF(COUNTIF($D$12:D660,D660)=1,IF(H660=1,I660*H660,IF(H660="X","X",0)),0))</f>
        <v>0</v>
      </c>
      <c r="K660" s="248">
        <f t="shared" ca="1" si="93"/>
        <v>0</v>
      </c>
      <c r="L660" s="212" t="s">
        <v>679</v>
      </c>
      <c r="M660" s="212" t="s">
        <v>448</v>
      </c>
      <c r="N660" s="212" t="s">
        <v>470</v>
      </c>
      <c r="O660" s="213">
        <v>41419</v>
      </c>
      <c r="P660" s="212" t="s">
        <v>531</v>
      </c>
      <c r="Q660" s="214">
        <v>100</v>
      </c>
      <c r="R660" s="212" t="s">
        <v>445</v>
      </c>
      <c r="S660" s="212" t="s">
        <v>532</v>
      </c>
      <c r="T660" s="212" t="s">
        <v>445</v>
      </c>
      <c r="U660" s="212" t="s">
        <v>446</v>
      </c>
      <c r="V660" s="214" t="b">
        <v>1</v>
      </c>
      <c r="W660" s="214">
        <v>1989</v>
      </c>
      <c r="X660" s="214">
        <v>5</v>
      </c>
      <c r="Y660" s="214">
        <v>2</v>
      </c>
      <c r="Z660" s="214">
        <v>4</v>
      </c>
      <c r="AA660" s="212" t="s">
        <v>447</v>
      </c>
      <c r="AB660" s="212" t="s">
        <v>531</v>
      </c>
      <c r="AC660" s="212" t="s">
        <v>533</v>
      </c>
      <c r="AD660" s="214">
        <v>1.2622610000000001</v>
      </c>
      <c r="AE660" s="214">
        <v>491</v>
      </c>
      <c r="AF660" s="214">
        <v>6.7594000000000003</v>
      </c>
      <c r="AG660" s="214">
        <v>-99</v>
      </c>
      <c r="AH660" s="212" t="s">
        <v>224</v>
      </c>
      <c r="AI660" s="212" t="s">
        <v>449</v>
      </c>
      <c r="AJ660" s="212" t="s">
        <v>268</v>
      </c>
      <c r="AK660" s="212" t="s">
        <v>531</v>
      </c>
      <c r="AL660" s="212" t="s">
        <v>375</v>
      </c>
      <c r="AM660" s="214" t="b">
        <v>1</v>
      </c>
      <c r="AN660" s="214" t="b">
        <v>0</v>
      </c>
      <c r="AO660" s="212" t="s">
        <v>269</v>
      </c>
      <c r="AP660" s="212" t="s">
        <v>270</v>
      </c>
      <c r="AQ660" s="214">
        <v>58.122199999999992</v>
      </c>
      <c r="AR660" s="214" t="b">
        <v>0</v>
      </c>
      <c r="AS660" s="212" t="s">
        <v>534</v>
      </c>
      <c r="AU660" s="222" t="s">
        <v>819</v>
      </c>
    </row>
    <row r="661" spans="1:47" x14ac:dyDescent="0.25">
      <c r="A661" s="245">
        <f t="shared" si="86"/>
        <v>661</v>
      </c>
      <c r="B661" s="246" t="str">
        <f t="shared" si="92"/>
        <v>Oil Field - Tank</v>
      </c>
      <c r="C661" s="246" t="str">
        <f ca="1">IF(B661="","",VLOOKUP(D661,'Species Data'!B:E,4,FALSE))</f>
        <v>isopentane</v>
      </c>
      <c r="D661" s="246">
        <f t="shared" ca="1" si="87"/>
        <v>508</v>
      </c>
      <c r="E661" s="246">
        <f t="shared" ca="1" si="88"/>
        <v>8.4747000000000003</v>
      </c>
      <c r="F661" s="246" t="str">
        <f t="shared" ca="1" si="89"/>
        <v>Isopentane (2-Methylbutane)</v>
      </c>
      <c r="G661" s="246">
        <f t="shared" ca="1" si="90"/>
        <v>72.148780000000002</v>
      </c>
      <c r="H661" s="204">
        <f ca="1">IF(G661="","",IF(VLOOKUP(Tank!F661,'Species Data'!D:F,3,FALSE)=0,"X",IF(G661&lt;44.1,2,1)))</f>
        <v>1</v>
      </c>
      <c r="I661" s="204">
        <f t="shared" ca="1" si="91"/>
        <v>3.397999287459827</v>
      </c>
      <c r="J661" s="247">
        <f ca="1">IF(I661="","",IF(COUNTIF($D$12:D661,D661)=1,IF(H661=1,I661*H661,IF(H661="X","X",0)),0))</f>
        <v>0</v>
      </c>
      <c r="K661" s="248">
        <f t="shared" ca="1" si="93"/>
        <v>0</v>
      </c>
      <c r="L661" s="212" t="s">
        <v>679</v>
      </c>
      <c r="M661" s="212" t="s">
        <v>448</v>
      </c>
      <c r="N661" s="212" t="s">
        <v>470</v>
      </c>
      <c r="O661" s="213">
        <v>41419</v>
      </c>
      <c r="P661" s="212" t="s">
        <v>531</v>
      </c>
      <c r="Q661" s="214">
        <v>100</v>
      </c>
      <c r="R661" s="212" t="s">
        <v>445</v>
      </c>
      <c r="S661" s="212" t="s">
        <v>532</v>
      </c>
      <c r="T661" s="212" t="s">
        <v>445</v>
      </c>
      <c r="U661" s="212" t="s">
        <v>446</v>
      </c>
      <c r="V661" s="214" t="b">
        <v>1</v>
      </c>
      <c r="W661" s="214">
        <v>1989</v>
      </c>
      <c r="X661" s="214">
        <v>5</v>
      </c>
      <c r="Y661" s="214">
        <v>2</v>
      </c>
      <c r="Z661" s="214">
        <v>4</v>
      </c>
      <c r="AA661" s="212" t="s">
        <v>447</v>
      </c>
      <c r="AB661" s="212" t="s">
        <v>531</v>
      </c>
      <c r="AC661" s="212" t="s">
        <v>533</v>
      </c>
      <c r="AD661" s="214">
        <v>1.2622610000000001</v>
      </c>
      <c r="AE661" s="214">
        <v>508</v>
      </c>
      <c r="AF661" s="214">
        <v>8.4747000000000003</v>
      </c>
      <c r="AG661" s="214">
        <v>-99</v>
      </c>
      <c r="AH661" s="212" t="s">
        <v>224</v>
      </c>
      <c r="AI661" s="212" t="s">
        <v>449</v>
      </c>
      <c r="AJ661" s="212" t="s">
        <v>342</v>
      </c>
      <c r="AK661" s="212" t="s">
        <v>531</v>
      </c>
      <c r="AL661" s="212" t="s">
        <v>395</v>
      </c>
      <c r="AM661" s="214" t="b">
        <v>1</v>
      </c>
      <c r="AN661" s="214" t="b">
        <v>0</v>
      </c>
      <c r="AO661" s="212" t="s">
        <v>343</v>
      </c>
      <c r="AP661" s="212" t="s">
        <v>344</v>
      </c>
      <c r="AQ661" s="214">
        <v>72.148780000000002</v>
      </c>
      <c r="AR661" s="214" t="b">
        <v>0</v>
      </c>
      <c r="AS661" s="212" t="s">
        <v>534</v>
      </c>
      <c r="AU661" s="222" t="s">
        <v>819</v>
      </c>
    </row>
    <row r="662" spans="1:47" x14ac:dyDescent="0.25">
      <c r="A662" s="245">
        <f t="shared" si="86"/>
        <v>662</v>
      </c>
      <c r="B662" s="246" t="str">
        <f t="shared" si="92"/>
        <v>Oil Field - Tank</v>
      </c>
      <c r="C662" s="246" t="str">
        <f ca="1">IF(B662="","",VLOOKUP(D662,'Species Data'!B:E,4,FALSE))</f>
        <v>isopben</v>
      </c>
      <c r="D662" s="246">
        <f t="shared" ca="1" si="87"/>
        <v>514</v>
      </c>
      <c r="E662" s="246">
        <f t="shared" ca="1" si="88"/>
        <v>9.2999999999999992E-3</v>
      </c>
      <c r="F662" s="246" t="str">
        <f t="shared" ca="1" si="89"/>
        <v>Isopropylbenzene (cumene)</v>
      </c>
      <c r="G662" s="246">
        <f t="shared" ca="1" si="90"/>
        <v>120.19158</v>
      </c>
      <c r="H662" s="204">
        <f ca="1">IF(G662="","",IF(VLOOKUP(Tank!F662,'Species Data'!D:F,3,FALSE)=0,"X",IF(G662&lt;44.1,2,1)))</f>
        <v>1</v>
      </c>
      <c r="I662" s="204">
        <f t="shared" ca="1" si="91"/>
        <v>4.0067051310359253E-3</v>
      </c>
      <c r="J662" s="247">
        <f ca="1">IF(I662="","",IF(COUNTIF($D$12:D662,D662)=1,IF(H662=1,I662*H662,IF(H662="X","X",0)),0))</f>
        <v>0</v>
      </c>
      <c r="K662" s="248">
        <f t="shared" ca="1" si="93"/>
        <v>0</v>
      </c>
      <c r="L662" s="212" t="s">
        <v>679</v>
      </c>
      <c r="M662" s="212" t="s">
        <v>448</v>
      </c>
      <c r="N662" s="212" t="s">
        <v>470</v>
      </c>
      <c r="O662" s="213">
        <v>41419</v>
      </c>
      <c r="P662" s="212" t="s">
        <v>531</v>
      </c>
      <c r="Q662" s="214">
        <v>100</v>
      </c>
      <c r="R662" s="212" t="s">
        <v>445</v>
      </c>
      <c r="S662" s="212" t="s">
        <v>532</v>
      </c>
      <c r="T662" s="212" t="s">
        <v>445</v>
      </c>
      <c r="U662" s="212" t="s">
        <v>446</v>
      </c>
      <c r="V662" s="214" t="b">
        <v>1</v>
      </c>
      <c r="W662" s="214">
        <v>1989</v>
      </c>
      <c r="X662" s="214">
        <v>5</v>
      </c>
      <c r="Y662" s="214">
        <v>2</v>
      </c>
      <c r="Z662" s="214">
        <v>4</v>
      </c>
      <c r="AA662" s="212" t="s">
        <v>447</v>
      </c>
      <c r="AB662" s="212" t="s">
        <v>531</v>
      </c>
      <c r="AC662" s="212" t="s">
        <v>533</v>
      </c>
      <c r="AD662" s="214">
        <v>1.2622610000000001</v>
      </c>
      <c r="AE662" s="214">
        <v>514</v>
      </c>
      <c r="AF662" s="214">
        <v>9.2999999999999992E-3</v>
      </c>
      <c r="AG662" s="214">
        <v>-99</v>
      </c>
      <c r="AH662" s="212" t="s">
        <v>224</v>
      </c>
      <c r="AI662" s="212" t="s">
        <v>449</v>
      </c>
      <c r="AJ662" s="212" t="s">
        <v>362</v>
      </c>
      <c r="AK662" s="212" t="s">
        <v>531</v>
      </c>
      <c r="AL662" s="212" t="s">
        <v>399</v>
      </c>
      <c r="AM662" s="214" t="b">
        <v>1</v>
      </c>
      <c r="AN662" s="214" t="b">
        <v>1</v>
      </c>
      <c r="AO662" s="212" t="s">
        <v>363</v>
      </c>
      <c r="AP662" s="212" t="s">
        <v>364</v>
      </c>
      <c r="AQ662" s="214">
        <v>120.19158</v>
      </c>
      <c r="AR662" s="214" t="b">
        <v>0</v>
      </c>
      <c r="AS662" s="212" t="s">
        <v>534</v>
      </c>
      <c r="AU662" s="222" t="s">
        <v>819</v>
      </c>
    </row>
    <row r="663" spans="1:47" x14ac:dyDescent="0.25">
      <c r="A663" s="245">
        <f t="shared" si="86"/>
        <v>663</v>
      </c>
      <c r="B663" s="246" t="str">
        <f t="shared" si="92"/>
        <v>Oil Field - Tank</v>
      </c>
      <c r="C663" s="246" t="str">
        <f ca="1">IF(B663="","",VLOOKUP(D663,'Species Data'!B:E,4,FALSE))</f>
        <v>M_xylene</v>
      </c>
      <c r="D663" s="246">
        <f t="shared" ca="1" si="87"/>
        <v>524</v>
      </c>
      <c r="E663" s="246">
        <f t="shared" ca="1" si="88"/>
        <v>0.13289999999999999</v>
      </c>
      <c r="F663" s="246" t="str">
        <f t="shared" ca="1" si="89"/>
        <v>M-xylene</v>
      </c>
      <c r="G663" s="246">
        <f t="shared" ca="1" si="90"/>
        <v>106.16500000000001</v>
      </c>
      <c r="H663" s="204">
        <f ca="1">IF(G663="","",IF(VLOOKUP(Tank!F663,'Species Data'!D:F,3,FALSE)=0,"X",IF(G663&lt;44.1,2,1)))</f>
        <v>1</v>
      </c>
      <c r="I663" s="204">
        <f t="shared" ca="1" si="91"/>
        <v>7.6727403249737883E-2</v>
      </c>
      <c r="J663" s="247">
        <f ca="1">IF(I663="","",IF(COUNTIF($D$12:D663,D663)=1,IF(H663=1,I663*H663,IF(H663="X","X",0)),0))</f>
        <v>0</v>
      </c>
      <c r="K663" s="248">
        <f t="shared" ca="1" si="93"/>
        <v>0</v>
      </c>
      <c r="L663" s="212" t="s">
        <v>679</v>
      </c>
      <c r="M663" s="212" t="s">
        <v>448</v>
      </c>
      <c r="N663" s="212" t="s">
        <v>470</v>
      </c>
      <c r="O663" s="213">
        <v>41419</v>
      </c>
      <c r="P663" s="212" t="s">
        <v>531</v>
      </c>
      <c r="Q663" s="214">
        <v>100</v>
      </c>
      <c r="R663" s="212" t="s">
        <v>445</v>
      </c>
      <c r="S663" s="212" t="s">
        <v>532</v>
      </c>
      <c r="T663" s="212" t="s">
        <v>445</v>
      </c>
      <c r="U663" s="212" t="s">
        <v>446</v>
      </c>
      <c r="V663" s="214" t="b">
        <v>1</v>
      </c>
      <c r="W663" s="214">
        <v>1989</v>
      </c>
      <c r="X663" s="214">
        <v>5</v>
      </c>
      <c r="Y663" s="214">
        <v>2</v>
      </c>
      <c r="Z663" s="214">
        <v>4</v>
      </c>
      <c r="AA663" s="212" t="s">
        <v>447</v>
      </c>
      <c r="AB663" s="212" t="s">
        <v>531</v>
      </c>
      <c r="AC663" s="212" t="s">
        <v>533</v>
      </c>
      <c r="AD663" s="214">
        <v>1.2622610000000001</v>
      </c>
      <c r="AE663" s="214">
        <v>524</v>
      </c>
      <c r="AF663" s="214">
        <v>0.13289999999999999</v>
      </c>
      <c r="AG663" s="214">
        <v>-99</v>
      </c>
      <c r="AH663" s="212" t="s">
        <v>224</v>
      </c>
      <c r="AI663" s="212" t="s">
        <v>449</v>
      </c>
      <c r="AJ663" s="212" t="s">
        <v>436</v>
      </c>
      <c r="AK663" s="212" t="s">
        <v>531</v>
      </c>
      <c r="AL663" s="212" t="s">
        <v>460</v>
      </c>
      <c r="AM663" s="214" t="b">
        <v>0</v>
      </c>
      <c r="AN663" s="214" t="b">
        <v>1</v>
      </c>
      <c r="AO663" s="212" t="s">
        <v>437</v>
      </c>
      <c r="AP663" s="212" t="s">
        <v>438</v>
      </c>
      <c r="AQ663" s="214">
        <v>106.16500000000001</v>
      </c>
      <c r="AR663" s="214" t="b">
        <v>0</v>
      </c>
      <c r="AS663" s="212" t="s">
        <v>534</v>
      </c>
      <c r="AU663" s="222" t="s">
        <v>819</v>
      </c>
    </row>
    <row r="664" spans="1:47" x14ac:dyDescent="0.25">
      <c r="A664" s="245">
        <f t="shared" si="86"/>
        <v>664</v>
      </c>
      <c r="B664" s="246" t="str">
        <f t="shared" si="92"/>
        <v>Oil Field - Tank</v>
      </c>
      <c r="C664" s="246" t="str">
        <f ca="1">IF(B664="","",VLOOKUP(D664,'Species Data'!B:E,4,FALSE))</f>
        <v>methane</v>
      </c>
      <c r="D664" s="246">
        <f t="shared" ca="1" si="87"/>
        <v>529</v>
      </c>
      <c r="E664" s="246">
        <f t="shared" ca="1" si="88"/>
        <v>15.175599999999999</v>
      </c>
      <c r="F664" s="246" t="str">
        <f t="shared" ca="1" si="89"/>
        <v>Methane</v>
      </c>
      <c r="G664" s="246">
        <f t="shared" ca="1" si="90"/>
        <v>16.042459999999998</v>
      </c>
      <c r="H664" s="204">
        <f ca="1">IF(G664="","",IF(VLOOKUP(Tank!F664,'Species Data'!D:F,3,FALSE)=0,"X",IF(G664&lt;44.1,2,1)))</f>
        <v>2</v>
      </c>
      <c r="I664" s="204">
        <f t="shared" ca="1" si="91"/>
        <v>44.518760713436194</v>
      </c>
      <c r="J664" s="247">
        <f ca="1">IF(I664="","",IF(COUNTIF($D$12:D664,D664)=1,IF(H664=1,I664*H664,IF(H664="X","X",0)),0))</f>
        <v>0</v>
      </c>
      <c r="K664" s="248">
        <f t="shared" ca="1" si="93"/>
        <v>0</v>
      </c>
      <c r="L664" s="212" t="s">
        <v>679</v>
      </c>
      <c r="M664" s="212" t="s">
        <v>448</v>
      </c>
      <c r="N664" s="212" t="s">
        <v>470</v>
      </c>
      <c r="O664" s="213">
        <v>41419</v>
      </c>
      <c r="P664" s="212" t="s">
        <v>531</v>
      </c>
      <c r="Q664" s="214">
        <v>100</v>
      </c>
      <c r="R664" s="212" t="s">
        <v>445</v>
      </c>
      <c r="S664" s="212" t="s">
        <v>532</v>
      </c>
      <c r="T664" s="212" t="s">
        <v>445</v>
      </c>
      <c r="U664" s="212" t="s">
        <v>446</v>
      </c>
      <c r="V664" s="214" t="b">
        <v>1</v>
      </c>
      <c r="W664" s="214">
        <v>1989</v>
      </c>
      <c r="X664" s="214">
        <v>5</v>
      </c>
      <c r="Y664" s="214">
        <v>2</v>
      </c>
      <c r="Z664" s="214">
        <v>4</v>
      </c>
      <c r="AA664" s="212" t="s">
        <v>447</v>
      </c>
      <c r="AB664" s="212" t="s">
        <v>531</v>
      </c>
      <c r="AC664" s="212" t="s">
        <v>533</v>
      </c>
      <c r="AD664" s="214">
        <v>1.2622610000000001</v>
      </c>
      <c r="AE664" s="214">
        <v>529</v>
      </c>
      <c r="AF664" s="214">
        <v>15.175599999999999</v>
      </c>
      <c r="AG664" s="214">
        <v>-99</v>
      </c>
      <c r="AH664" s="212" t="s">
        <v>224</v>
      </c>
      <c r="AI664" s="212" t="s">
        <v>449</v>
      </c>
      <c r="AJ664" s="212" t="s">
        <v>271</v>
      </c>
      <c r="AK664" s="212" t="s">
        <v>531</v>
      </c>
      <c r="AL664" s="212" t="s">
        <v>376</v>
      </c>
      <c r="AM664" s="214" t="b">
        <v>0</v>
      </c>
      <c r="AN664" s="214" t="b">
        <v>0</v>
      </c>
      <c r="AO664" s="212" t="s">
        <v>272</v>
      </c>
      <c r="AP664" s="212" t="s">
        <v>531</v>
      </c>
      <c r="AQ664" s="214">
        <v>16.042459999999998</v>
      </c>
      <c r="AR664" s="214" t="b">
        <v>1</v>
      </c>
      <c r="AS664" s="212" t="s">
        <v>534</v>
      </c>
      <c r="AU664" s="222" t="s">
        <v>819</v>
      </c>
    </row>
    <row r="665" spans="1:47" x14ac:dyDescent="0.25">
      <c r="A665" s="245">
        <f t="shared" si="86"/>
        <v>665</v>
      </c>
      <c r="B665" s="246" t="str">
        <f t="shared" si="92"/>
        <v>Oil Field - Tank</v>
      </c>
      <c r="C665" s="246" t="str">
        <f ca="1">IF(B665="","",VLOOKUP(D665,'Species Data'!B:E,4,FALSE))</f>
        <v>N_but</v>
      </c>
      <c r="D665" s="246">
        <f t="shared" ca="1" si="87"/>
        <v>592</v>
      </c>
      <c r="E665" s="246">
        <f t="shared" ca="1" si="88"/>
        <v>12.7356</v>
      </c>
      <c r="F665" s="246" t="str">
        <f t="shared" ca="1" si="89"/>
        <v>N-butane</v>
      </c>
      <c r="G665" s="246">
        <f t="shared" ca="1" si="90"/>
        <v>58.122199999999992</v>
      </c>
      <c r="H665" s="204">
        <f ca="1">IF(G665="","",IF(VLOOKUP(Tank!F665,'Species Data'!D:F,3,FALSE)=0,"X",IF(G665&lt;44.1,2,1)))</f>
        <v>1</v>
      </c>
      <c r="I665" s="204">
        <f t="shared" ca="1" si="91"/>
        <v>8.8589583793337763</v>
      </c>
      <c r="J665" s="247">
        <f ca="1">IF(I665="","",IF(COUNTIF($D$12:D665,D665)=1,IF(H665=1,I665*H665,IF(H665="X","X",0)),0))</f>
        <v>0</v>
      </c>
      <c r="K665" s="248">
        <f t="shared" ca="1" si="93"/>
        <v>0</v>
      </c>
      <c r="L665" s="212" t="s">
        <v>679</v>
      </c>
      <c r="M665" s="212" t="s">
        <v>448</v>
      </c>
      <c r="N665" s="212" t="s">
        <v>470</v>
      </c>
      <c r="O665" s="213">
        <v>41419</v>
      </c>
      <c r="P665" s="212" t="s">
        <v>531</v>
      </c>
      <c r="Q665" s="214">
        <v>100</v>
      </c>
      <c r="R665" s="212" t="s">
        <v>445</v>
      </c>
      <c r="S665" s="212" t="s">
        <v>532</v>
      </c>
      <c r="T665" s="212" t="s">
        <v>445</v>
      </c>
      <c r="U665" s="212" t="s">
        <v>446</v>
      </c>
      <c r="V665" s="214" t="b">
        <v>1</v>
      </c>
      <c r="W665" s="214">
        <v>1989</v>
      </c>
      <c r="X665" s="214">
        <v>5</v>
      </c>
      <c r="Y665" s="214">
        <v>2</v>
      </c>
      <c r="Z665" s="214">
        <v>4</v>
      </c>
      <c r="AA665" s="212" t="s">
        <v>447</v>
      </c>
      <c r="AB665" s="212" t="s">
        <v>531</v>
      </c>
      <c r="AC665" s="212" t="s">
        <v>533</v>
      </c>
      <c r="AD665" s="214">
        <v>1.2622610000000001</v>
      </c>
      <c r="AE665" s="214">
        <v>592</v>
      </c>
      <c r="AF665" s="214">
        <v>12.7356</v>
      </c>
      <c r="AG665" s="214">
        <v>-99</v>
      </c>
      <c r="AH665" s="212" t="s">
        <v>224</v>
      </c>
      <c r="AI665" s="212" t="s">
        <v>449</v>
      </c>
      <c r="AJ665" s="212" t="s">
        <v>273</v>
      </c>
      <c r="AK665" s="212" t="s">
        <v>531</v>
      </c>
      <c r="AL665" s="212" t="s">
        <v>377</v>
      </c>
      <c r="AM665" s="214" t="b">
        <v>1</v>
      </c>
      <c r="AN665" s="214" t="b">
        <v>0</v>
      </c>
      <c r="AO665" s="212" t="s">
        <v>274</v>
      </c>
      <c r="AP665" s="212" t="s">
        <v>275</v>
      </c>
      <c r="AQ665" s="214">
        <v>58.122199999999992</v>
      </c>
      <c r="AR665" s="214" t="b">
        <v>0</v>
      </c>
      <c r="AS665" s="212" t="s">
        <v>534</v>
      </c>
      <c r="AU665" s="222" t="s">
        <v>819</v>
      </c>
    </row>
    <row r="666" spans="1:47" x14ac:dyDescent="0.25">
      <c r="A666" s="245">
        <f t="shared" si="86"/>
        <v>666</v>
      </c>
      <c r="B666" s="246" t="str">
        <f t="shared" si="92"/>
        <v>Oil Field - Tank</v>
      </c>
      <c r="C666" s="246" t="str">
        <f ca="1">IF(B666="","",VLOOKUP(D666,'Species Data'!B:E,4,FALSE))</f>
        <v>N_dec</v>
      </c>
      <c r="D666" s="246">
        <f t="shared" ca="1" si="87"/>
        <v>598</v>
      </c>
      <c r="E666" s="246">
        <f t="shared" ca="1" si="88"/>
        <v>9.3299999999999994E-2</v>
      </c>
      <c r="F666" s="246" t="str">
        <f t="shared" ca="1" si="89"/>
        <v>N-decane</v>
      </c>
      <c r="G666" s="246">
        <f t="shared" ca="1" si="90"/>
        <v>142.28167999999999</v>
      </c>
      <c r="H666" s="204">
        <f ca="1">IF(G666="","",IF(VLOOKUP(Tank!F666,'Species Data'!D:F,3,FALSE)=0,"X",IF(G666&lt;44.1,2,1)))</f>
        <v>1</v>
      </c>
      <c r="I666" s="204">
        <f t="shared" ca="1" si="91"/>
        <v>1.7526834924281948E-2</v>
      </c>
      <c r="J666" s="247">
        <f ca="1">IF(I666="","",IF(COUNTIF($D$12:D666,D666)=1,IF(H666=1,I666*H666,IF(H666="X","X",0)),0))</f>
        <v>0</v>
      </c>
      <c r="K666" s="248">
        <f t="shared" ca="1" si="93"/>
        <v>0</v>
      </c>
      <c r="L666" s="212" t="s">
        <v>679</v>
      </c>
      <c r="M666" s="212" t="s">
        <v>448</v>
      </c>
      <c r="N666" s="212" t="s">
        <v>470</v>
      </c>
      <c r="O666" s="213">
        <v>41419</v>
      </c>
      <c r="P666" s="212" t="s">
        <v>531</v>
      </c>
      <c r="Q666" s="214">
        <v>100</v>
      </c>
      <c r="R666" s="212" t="s">
        <v>445</v>
      </c>
      <c r="S666" s="212" t="s">
        <v>532</v>
      </c>
      <c r="T666" s="212" t="s">
        <v>445</v>
      </c>
      <c r="U666" s="212" t="s">
        <v>446</v>
      </c>
      <c r="V666" s="214" t="b">
        <v>1</v>
      </c>
      <c r="W666" s="214">
        <v>1989</v>
      </c>
      <c r="X666" s="214">
        <v>5</v>
      </c>
      <c r="Y666" s="214">
        <v>2</v>
      </c>
      <c r="Z666" s="214">
        <v>4</v>
      </c>
      <c r="AA666" s="212" t="s">
        <v>447</v>
      </c>
      <c r="AB666" s="212" t="s">
        <v>531</v>
      </c>
      <c r="AC666" s="212" t="s">
        <v>533</v>
      </c>
      <c r="AD666" s="214">
        <v>1.2622610000000001</v>
      </c>
      <c r="AE666" s="214">
        <v>598</v>
      </c>
      <c r="AF666" s="214">
        <v>9.3299999999999994E-2</v>
      </c>
      <c r="AG666" s="214">
        <v>-99</v>
      </c>
      <c r="AH666" s="212" t="s">
        <v>224</v>
      </c>
      <c r="AI666" s="212" t="s">
        <v>449</v>
      </c>
      <c r="AJ666" s="212" t="s">
        <v>414</v>
      </c>
      <c r="AK666" s="212" t="s">
        <v>531</v>
      </c>
      <c r="AL666" s="212" t="s">
        <v>452</v>
      </c>
      <c r="AM666" s="214" t="b">
        <v>1</v>
      </c>
      <c r="AN666" s="214" t="b">
        <v>0</v>
      </c>
      <c r="AO666" s="212" t="s">
        <v>415</v>
      </c>
      <c r="AP666" s="212" t="s">
        <v>416</v>
      </c>
      <c r="AQ666" s="214">
        <v>142.28167999999999</v>
      </c>
      <c r="AR666" s="214" t="b">
        <v>0</v>
      </c>
      <c r="AS666" s="212" t="s">
        <v>534</v>
      </c>
      <c r="AU666" s="222" t="s">
        <v>819</v>
      </c>
    </row>
    <row r="667" spans="1:47" x14ac:dyDescent="0.25">
      <c r="A667" s="245">
        <f t="shared" si="86"/>
        <v>667</v>
      </c>
      <c r="B667" s="246" t="str">
        <f t="shared" si="92"/>
        <v>Oil Field - Tank</v>
      </c>
      <c r="C667" s="246" t="str">
        <f ca="1">IF(B667="","",VLOOKUP(D667,'Species Data'!B:E,4,FALSE))</f>
        <v>N_hep</v>
      </c>
      <c r="D667" s="246">
        <f t="shared" ca="1" si="87"/>
        <v>600</v>
      </c>
      <c r="E667" s="246">
        <f t="shared" ca="1" si="88"/>
        <v>0.91190000000000004</v>
      </c>
      <c r="F667" s="246" t="str">
        <f t="shared" ca="1" si="89"/>
        <v>N-heptane</v>
      </c>
      <c r="G667" s="246">
        <f t="shared" ca="1" si="90"/>
        <v>100.20194000000001</v>
      </c>
      <c r="H667" s="204">
        <f ca="1">IF(G667="","",IF(VLOOKUP(Tank!F667,'Species Data'!D:F,3,FALSE)=0,"X",IF(G667&lt;44.1,2,1)))</f>
        <v>1</v>
      </c>
      <c r="I667" s="204">
        <f t="shared" ca="1" si="91"/>
        <v>0.55093195561344066</v>
      </c>
      <c r="J667" s="247">
        <f ca="1">IF(I667="","",IF(COUNTIF($D$12:D667,D667)=1,IF(H667=1,I667*H667,IF(H667="X","X",0)),0))</f>
        <v>0</v>
      </c>
      <c r="K667" s="248">
        <f t="shared" ca="1" si="93"/>
        <v>0</v>
      </c>
      <c r="L667" s="212" t="s">
        <v>679</v>
      </c>
      <c r="M667" s="212" t="s">
        <v>448</v>
      </c>
      <c r="N667" s="212" t="s">
        <v>470</v>
      </c>
      <c r="O667" s="213">
        <v>41419</v>
      </c>
      <c r="P667" s="212" t="s">
        <v>531</v>
      </c>
      <c r="Q667" s="214">
        <v>100</v>
      </c>
      <c r="R667" s="212" t="s">
        <v>445</v>
      </c>
      <c r="S667" s="212" t="s">
        <v>532</v>
      </c>
      <c r="T667" s="212" t="s">
        <v>445</v>
      </c>
      <c r="U667" s="212" t="s">
        <v>446</v>
      </c>
      <c r="V667" s="214" t="b">
        <v>1</v>
      </c>
      <c r="W667" s="214">
        <v>1989</v>
      </c>
      <c r="X667" s="214">
        <v>5</v>
      </c>
      <c r="Y667" s="214">
        <v>2</v>
      </c>
      <c r="Z667" s="214">
        <v>4</v>
      </c>
      <c r="AA667" s="212" t="s">
        <v>447</v>
      </c>
      <c r="AB667" s="212" t="s">
        <v>531</v>
      </c>
      <c r="AC667" s="212" t="s">
        <v>533</v>
      </c>
      <c r="AD667" s="214">
        <v>1.2622610000000001</v>
      </c>
      <c r="AE667" s="214">
        <v>600</v>
      </c>
      <c r="AF667" s="214">
        <v>0.91190000000000004</v>
      </c>
      <c r="AG667" s="214">
        <v>-99</v>
      </c>
      <c r="AH667" s="212" t="s">
        <v>224</v>
      </c>
      <c r="AI667" s="212" t="s">
        <v>449</v>
      </c>
      <c r="AJ667" s="212" t="s">
        <v>276</v>
      </c>
      <c r="AK667" s="212" t="s">
        <v>531</v>
      </c>
      <c r="AL667" s="212" t="s">
        <v>378</v>
      </c>
      <c r="AM667" s="214" t="b">
        <v>1</v>
      </c>
      <c r="AN667" s="214" t="b">
        <v>0</v>
      </c>
      <c r="AO667" s="212" t="s">
        <v>277</v>
      </c>
      <c r="AP667" s="212" t="s">
        <v>278</v>
      </c>
      <c r="AQ667" s="214">
        <v>100.20194000000001</v>
      </c>
      <c r="AR667" s="214" t="b">
        <v>0</v>
      </c>
      <c r="AS667" s="212" t="s">
        <v>534</v>
      </c>
      <c r="AU667" s="222" t="s">
        <v>819</v>
      </c>
    </row>
    <row r="668" spans="1:47" x14ac:dyDescent="0.25">
      <c r="A668" s="245">
        <f t="shared" si="86"/>
        <v>668</v>
      </c>
      <c r="B668" s="246" t="str">
        <f t="shared" si="92"/>
        <v>Oil Field - Tank</v>
      </c>
      <c r="C668" s="246" t="str">
        <f ca="1">IF(B668="","",VLOOKUP(D668,'Species Data'!B:E,4,FALSE))</f>
        <v>N_hex</v>
      </c>
      <c r="D668" s="246">
        <f t="shared" ca="1" si="87"/>
        <v>601</v>
      </c>
      <c r="E668" s="246">
        <f t="shared" ca="1" si="88"/>
        <v>1.9239999999999999</v>
      </c>
      <c r="F668" s="246" t="str">
        <f t="shared" ca="1" si="89"/>
        <v>N-hexane</v>
      </c>
      <c r="G668" s="246">
        <f t="shared" ca="1" si="90"/>
        <v>86.175359999999998</v>
      </c>
      <c r="H668" s="204">
        <f ca="1">IF(G668="","",IF(VLOOKUP(Tank!F668,'Species Data'!D:F,3,FALSE)=0,"X",IF(G668&lt;44.1,2,1)))</f>
        <v>1</v>
      </c>
      <c r="I668" s="204">
        <f t="shared" ca="1" si="91"/>
        <v>1.4244870084086145</v>
      </c>
      <c r="J668" s="247">
        <f ca="1">IF(I668="","",IF(COUNTIF($D$12:D668,D668)=1,IF(H668=1,I668*H668,IF(H668="X","X",0)),0))</f>
        <v>0</v>
      </c>
      <c r="K668" s="248">
        <f t="shared" ca="1" si="93"/>
        <v>0</v>
      </c>
      <c r="L668" s="212" t="s">
        <v>679</v>
      </c>
      <c r="M668" s="212" t="s">
        <v>448</v>
      </c>
      <c r="N668" s="212" t="s">
        <v>470</v>
      </c>
      <c r="O668" s="213">
        <v>41419</v>
      </c>
      <c r="P668" s="212" t="s">
        <v>531</v>
      </c>
      <c r="Q668" s="214">
        <v>100</v>
      </c>
      <c r="R668" s="212" t="s">
        <v>445</v>
      </c>
      <c r="S668" s="212" t="s">
        <v>532</v>
      </c>
      <c r="T668" s="212" t="s">
        <v>445</v>
      </c>
      <c r="U668" s="212" t="s">
        <v>446</v>
      </c>
      <c r="V668" s="214" t="b">
        <v>1</v>
      </c>
      <c r="W668" s="214">
        <v>1989</v>
      </c>
      <c r="X668" s="214">
        <v>5</v>
      </c>
      <c r="Y668" s="214">
        <v>2</v>
      </c>
      <c r="Z668" s="214">
        <v>4</v>
      </c>
      <c r="AA668" s="212" t="s">
        <v>447</v>
      </c>
      <c r="AB668" s="212" t="s">
        <v>531</v>
      </c>
      <c r="AC668" s="212" t="s">
        <v>533</v>
      </c>
      <c r="AD668" s="214">
        <v>1.2622610000000001</v>
      </c>
      <c r="AE668" s="214">
        <v>601</v>
      </c>
      <c r="AF668" s="214">
        <v>1.9239999999999999</v>
      </c>
      <c r="AG668" s="214">
        <v>-99</v>
      </c>
      <c r="AH668" s="212" t="s">
        <v>224</v>
      </c>
      <c r="AI668" s="212" t="s">
        <v>449</v>
      </c>
      <c r="AJ668" s="212" t="s">
        <v>279</v>
      </c>
      <c r="AK668" s="212" t="s">
        <v>531</v>
      </c>
      <c r="AL668" s="212" t="s">
        <v>379</v>
      </c>
      <c r="AM668" s="214" t="b">
        <v>1</v>
      </c>
      <c r="AN668" s="214" t="b">
        <v>1</v>
      </c>
      <c r="AO668" s="212" t="s">
        <v>280</v>
      </c>
      <c r="AP668" s="212" t="s">
        <v>281</v>
      </c>
      <c r="AQ668" s="214">
        <v>86.175359999999998</v>
      </c>
      <c r="AR668" s="214" t="b">
        <v>0</v>
      </c>
      <c r="AS668" s="212" t="s">
        <v>534</v>
      </c>
      <c r="AU668" s="222" t="s">
        <v>819</v>
      </c>
    </row>
    <row r="669" spans="1:47" x14ac:dyDescent="0.25">
      <c r="A669" s="245">
        <f t="shared" si="86"/>
        <v>669</v>
      </c>
      <c r="B669" s="246" t="str">
        <f t="shared" si="92"/>
        <v>Oil Field - Tank</v>
      </c>
      <c r="C669" s="246" t="str">
        <f ca="1">IF(B669="","",VLOOKUP(D669,'Species Data'!B:E,4,FALSE))</f>
        <v>N_nonane</v>
      </c>
      <c r="D669" s="246">
        <f t="shared" ca="1" si="87"/>
        <v>603</v>
      </c>
      <c r="E669" s="246">
        <f t="shared" ca="1" si="88"/>
        <v>0.16869999999999999</v>
      </c>
      <c r="F669" s="246" t="str">
        <f t="shared" ca="1" si="89"/>
        <v>N-nonane</v>
      </c>
      <c r="G669" s="246">
        <f t="shared" ca="1" si="90"/>
        <v>128.2551</v>
      </c>
      <c r="H669" s="204">
        <f ca="1">IF(G669="","",IF(VLOOKUP(Tank!F669,'Species Data'!D:F,3,FALSE)=0,"X",IF(G669&lt;44.1,2,1)))</f>
        <v>1</v>
      </c>
      <c r="I669" s="204">
        <f t="shared" ca="1" si="91"/>
        <v>6.0467247152239355E-2</v>
      </c>
      <c r="J669" s="247">
        <f ca="1">IF(I669="","",IF(COUNTIF($D$12:D669,D669)=1,IF(H669=1,I669*H669,IF(H669="X","X",0)),0))</f>
        <v>0</v>
      </c>
      <c r="K669" s="248">
        <f t="shared" ca="1" si="93"/>
        <v>0</v>
      </c>
      <c r="L669" s="212" t="s">
        <v>679</v>
      </c>
      <c r="M669" s="212" t="s">
        <v>448</v>
      </c>
      <c r="N669" s="212" t="s">
        <v>470</v>
      </c>
      <c r="O669" s="213">
        <v>41419</v>
      </c>
      <c r="P669" s="212" t="s">
        <v>531</v>
      </c>
      <c r="Q669" s="214">
        <v>100</v>
      </c>
      <c r="R669" s="212" t="s">
        <v>445</v>
      </c>
      <c r="S669" s="212" t="s">
        <v>532</v>
      </c>
      <c r="T669" s="212" t="s">
        <v>445</v>
      </c>
      <c r="U669" s="212" t="s">
        <v>446</v>
      </c>
      <c r="V669" s="214" t="b">
        <v>1</v>
      </c>
      <c r="W669" s="214">
        <v>1989</v>
      </c>
      <c r="X669" s="214">
        <v>5</v>
      </c>
      <c r="Y669" s="214">
        <v>2</v>
      </c>
      <c r="Z669" s="214">
        <v>4</v>
      </c>
      <c r="AA669" s="212" t="s">
        <v>447</v>
      </c>
      <c r="AB669" s="212" t="s">
        <v>531</v>
      </c>
      <c r="AC669" s="212" t="s">
        <v>533</v>
      </c>
      <c r="AD669" s="214">
        <v>1.2622610000000001</v>
      </c>
      <c r="AE669" s="214">
        <v>603</v>
      </c>
      <c r="AF669" s="214">
        <v>0.16869999999999999</v>
      </c>
      <c r="AG669" s="214">
        <v>-99</v>
      </c>
      <c r="AH669" s="212" t="s">
        <v>224</v>
      </c>
      <c r="AI669" s="212" t="s">
        <v>449</v>
      </c>
      <c r="AJ669" s="212" t="s">
        <v>417</v>
      </c>
      <c r="AK669" s="212" t="s">
        <v>531</v>
      </c>
      <c r="AL669" s="212" t="s">
        <v>453</v>
      </c>
      <c r="AM669" s="214" t="b">
        <v>1</v>
      </c>
      <c r="AN669" s="214" t="b">
        <v>0</v>
      </c>
      <c r="AO669" s="212" t="s">
        <v>418</v>
      </c>
      <c r="AP669" s="212" t="s">
        <v>419</v>
      </c>
      <c r="AQ669" s="214">
        <v>128.2551</v>
      </c>
      <c r="AR669" s="214" t="b">
        <v>0</v>
      </c>
      <c r="AS669" s="212" t="s">
        <v>534</v>
      </c>
      <c r="AU669" s="222" t="s">
        <v>819</v>
      </c>
    </row>
    <row r="670" spans="1:47" x14ac:dyDescent="0.25">
      <c r="A670" s="245">
        <f t="shared" si="86"/>
        <v>670</v>
      </c>
      <c r="B670" s="246" t="str">
        <f t="shared" si="92"/>
        <v>Oil Field - Tank</v>
      </c>
      <c r="C670" s="246" t="str">
        <f ca="1">IF(B670="","",VLOOKUP(D670,'Species Data'!B:E,4,FALSE))</f>
        <v>N_octane</v>
      </c>
      <c r="D670" s="246">
        <f t="shared" ca="1" si="87"/>
        <v>604</v>
      </c>
      <c r="E670" s="246">
        <f t="shared" ca="1" si="88"/>
        <v>0.29120000000000001</v>
      </c>
      <c r="F670" s="246" t="str">
        <f t="shared" ca="1" si="89"/>
        <v>N-octane</v>
      </c>
      <c r="G670" s="246">
        <f t="shared" ca="1" si="90"/>
        <v>114.22852</v>
      </c>
      <c r="H670" s="204">
        <f ca="1">IF(G670="","",IF(VLOOKUP(Tank!F670,'Species Data'!D:F,3,FALSE)=0,"X",IF(G670&lt;44.1,2,1)))</f>
        <v>1</v>
      </c>
      <c r="I670" s="204">
        <f t="shared" ca="1" si="91"/>
        <v>0.21590207265989761</v>
      </c>
      <c r="J670" s="247">
        <f ca="1">IF(I670="","",IF(COUNTIF($D$12:D670,D670)=1,IF(H670=1,I670*H670,IF(H670="X","X",0)),0))</f>
        <v>0</v>
      </c>
      <c r="K670" s="248">
        <f t="shared" ca="1" si="93"/>
        <v>0</v>
      </c>
      <c r="L670" s="212" t="s">
        <v>679</v>
      </c>
      <c r="M670" s="212" t="s">
        <v>448</v>
      </c>
      <c r="N670" s="212" t="s">
        <v>470</v>
      </c>
      <c r="O670" s="213">
        <v>41419</v>
      </c>
      <c r="P670" s="212" t="s">
        <v>531</v>
      </c>
      <c r="Q670" s="214">
        <v>100</v>
      </c>
      <c r="R670" s="212" t="s">
        <v>445</v>
      </c>
      <c r="S670" s="212" t="s">
        <v>532</v>
      </c>
      <c r="T670" s="212" t="s">
        <v>445</v>
      </c>
      <c r="U670" s="212" t="s">
        <v>446</v>
      </c>
      <c r="V670" s="214" t="b">
        <v>1</v>
      </c>
      <c r="W670" s="214">
        <v>1989</v>
      </c>
      <c r="X670" s="214">
        <v>5</v>
      </c>
      <c r="Y670" s="214">
        <v>2</v>
      </c>
      <c r="Z670" s="214">
        <v>4</v>
      </c>
      <c r="AA670" s="212" t="s">
        <v>447</v>
      </c>
      <c r="AB670" s="212" t="s">
        <v>531</v>
      </c>
      <c r="AC670" s="212" t="s">
        <v>533</v>
      </c>
      <c r="AD670" s="214">
        <v>1.2622610000000001</v>
      </c>
      <c r="AE670" s="214">
        <v>604</v>
      </c>
      <c r="AF670" s="214">
        <v>0.29120000000000001</v>
      </c>
      <c r="AG670" s="214">
        <v>-99</v>
      </c>
      <c r="AH670" s="212" t="s">
        <v>224</v>
      </c>
      <c r="AI670" s="212" t="s">
        <v>449</v>
      </c>
      <c r="AJ670" s="212" t="s">
        <v>282</v>
      </c>
      <c r="AK670" s="212" t="s">
        <v>531</v>
      </c>
      <c r="AL670" s="212" t="s">
        <v>380</v>
      </c>
      <c r="AM670" s="214" t="b">
        <v>1</v>
      </c>
      <c r="AN670" s="214" t="b">
        <v>0</v>
      </c>
      <c r="AO670" s="212" t="s">
        <v>283</v>
      </c>
      <c r="AP670" s="212" t="s">
        <v>284</v>
      </c>
      <c r="AQ670" s="214">
        <v>114.22852</v>
      </c>
      <c r="AR670" s="214" t="b">
        <v>0</v>
      </c>
      <c r="AS670" s="212" t="s">
        <v>534</v>
      </c>
      <c r="AU670" s="222" t="s">
        <v>819</v>
      </c>
    </row>
    <row r="671" spans="1:47" x14ac:dyDescent="0.25">
      <c r="A671" s="245">
        <f t="shared" si="86"/>
        <v>671</v>
      </c>
      <c r="B671" s="246" t="str">
        <f t="shared" si="92"/>
        <v>Oil Field - Tank</v>
      </c>
      <c r="C671" s="246" t="str">
        <f ca="1">IF(B671="","",VLOOKUP(D671,'Species Data'!B:E,4,FALSE))</f>
        <v>N_pentane</v>
      </c>
      <c r="D671" s="246">
        <f t="shared" ca="1" si="87"/>
        <v>605</v>
      </c>
      <c r="E671" s="246">
        <f t="shared" ca="1" si="88"/>
        <v>5.4917999999999996</v>
      </c>
      <c r="F671" s="246" t="str">
        <f t="shared" ca="1" si="89"/>
        <v>N-pentane</v>
      </c>
      <c r="G671" s="246">
        <f t="shared" ca="1" si="90"/>
        <v>72.148780000000002</v>
      </c>
      <c r="H671" s="204">
        <f ca="1">IF(G671="","",IF(VLOOKUP(Tank!F671,'Species Data'!D:F,3,FALSE)=0,"X",IF(G671&lt;44.1,2,1)))</f>
        <v>1</v>
      </c>
      <c r="I671" s="204">
        <f t="shared" ca="1" si="91"/>
        <v>3.2465311666992012</v>
      </c>
      <c r="J671" s="247">
        <f ca="1">IF(I671="","",IF(COUNTIF($D$12:D671,D671)=1,IF(H671=1,I671*H671,IF(H671="X","X",0)),0))</f>
        <v>0</v>
      </c>
      <c r="K671" s="248">
        <f t="shared" ca="1" si="93"/>
        <v>0</v>
      </c>
      <c r="L671" s="212" t="s">
        <v>679</v>
      </c>
      <c r="M671" s="212" t="s">
        <v>448</v>
      </c>
      <c r="N671" s="212" t="s">
        <v>470</v>
      </c>
      <c r="O671" s="213">
        <v>41419</v>
      </c>
      <c r="P671" s="212" t="s">
        <v>531</v>
      </c>
      <c r="Q671" s="214">
        <v>100</v>
      </c>
      <c r="R671" s="212" t="s">
        <v>445</v>
      </c>
      <c r="S671" s="212" t="s">
        <v>532</v>
      </c>
      <c r="T671" s="212" t="s">
        <v>445</v>
      </c>
      <c r="U671" s="212" t="s">
        <v>446</v>
      </c>
      <c r="V671" s="214" t="b">
        <v>1</v>
      </c>
      <c r="W671" s="214">
        <v>1989</v>
      </c>
      <c r="X671" s="214">
        <v>5</v>
      </c>
      <c r="Y671" s="214">
        <v>2</v>
      </c>
      <c r="Z671" s="214">
        <v>4</v>
      </c>
      <c r="AA671" s="212" t="s">
        <v>447</v>
      </c>
      <c r="AB671" s="212" t="s">
        <v>531</v>
      </c>
      <c r="AC671" s="212" t="s">
        <v>533</v>
      </c>
      <c r="AD671" s="214">
        <v>1.2622610000000001</v>
      </c>
      <c r="AE671" s="214">
        <v>605</v>
      </c>
      <c r="AF671" s="214">
        <v>5.4917999999999996</v>
      </c>
      <c r="AG671" s="214">
        <v>-99</v>
      </c>
      <c r="AH671" s="212" t="s">
        <v>224</v>
      </c>
      <c r="AI671" s="212" t="s">
        <v>449</v>
      </c>
      <c r="AJ671" s="212" t="s">
        <v>285</v>
      </c>
      <c r="AK671" s="212" t="s">
        <v>531</v>
      </c>
      <c r="AL671" s="212" t="s">
        <v>381</v>
      </c>
      <c r="AM671" s="214" t="b">
        <v>1</v>
      </c>
      <c r="AN671" s="214" t="b">
        <v>0</v>
      </c>
      <c r="AO671" s="212" t="s">
        <v>286</v>
      </c>
      <c r="AP671" s="212" t="s">
        <v>287</v>
      </c>
      <c r="AQ671" s="214">
        <v>72.148780000000002</v>
      </c>
      <c r="AR671" s="214" t="b">
        <v>0</v>
      </c>
      <c r="AS671" s="212" t="s">
        <v>534</v>
      </c>
      <c r="AU671" s="222" t="s">
        <v>819</v>
      </c>
    </row>
    <row r="672" spans="1:47" x14ac:dyDescent="0.25">
      <c r="A672" s="245">
        <f t="shared" si="86"/>
        <v>672</v>
      </c>
      <c r="B672" s="246" t="str">
        <f t="shared" si="92"/>
        <v>Oil Field - Tank</v>
      </c>
      <c r="C672" s="246" t="str">
        <f ca="1">IF(B672="","",VLOOKUP(D672,'Species Data'!B:E,4,FALSE))</f>
        <v>N_proben</v>
      </c>
      <c r="D672" s="246">
        <f t="shared" ca="1" si="87"/>
        <v>608</v>
      </c>
      <c r="E672" s="246">
        <f t="shared" ca="1" si="88"/>
        <v>4.99E-2</v>
      </c>
      <c r="F672" s="246" t="str">
        <f t="shared" ca="1" si="89"/>
        <v>N-propylbenzene</v>
      </c>
      <c r="G672" s="246">
        <f t="shared" ca="1" si="90"/>
        <v>120.19158</v>
      </c>
      <c r="H672" s="204">
        <f ca="1">IF(G672="","",IF(VLOOKUP(Tank!F672,'Species Data'!D:F,3,FALSE)=0,"X",IF(G672&lt;44.1,2,1)))</f>
        <v>1</v>
      </c>
      <c r="I672" s="204">
        <f t="shared" ca="1" si="91"/>
        <v>2.0193527191194376E-2</v>
      </c>
      <c r="J672" s="247">
        <f ca="1">IF(I672="","",IF(COUNTIF($D$12:D672,D672)=1,IF(H672=1,I672*H672,IF(H672="X","X",0)),0))</f>
        <v>0</v>
      </c>
      <c r="K672" s="248">
        <f t="shared" ca="1" si="93"/>
        <v>0</v>
      </c>
      <c r="L672" s="212" t="s">
        <v>679</v>
      </c>
      <c r="M672" s="212" t="s">
        <v>448</v>
      </c>
      <c r="N672" s="212" t="s">
        <v>470</v>
      </c>
      <c r="O672" s="213">
        <v>41419</v>
      </c>
      <c r="P672" s="212" t="s">
        <v>531</v>
      </c>
      <c r="Q672" s="214">
        <v>100</v>
      </c>
      <c r="R672" s="212" t="s">
        <v>445</v>
      </c>
      <c r="S672" s="212" t="s">
        <v>532</v>
      </c>
      <c r="T672" s="212" t="s">
        <v>445</v>
      </c>
      <c r="U672" s="212" t="s">
        <v>446</v>
      </c>
      <c r="V672" s="214" t="b">
        <v>1</v>
      </c>
      <c r="W672" s="214">
        <v>1989</v>
      </c>
      <c r="X672" s="214">
        <v>5</v>
      </c>
      <c r="Y672" s="214">
        <v>2</v>
      </c>
      <c r="Z672" s="214">
        <v>4</v>
      </c>
      <c r="AA672" s="212" t="s">
        <v>447</v>
      </c>
      <c r="AB672" s="212" t="s">
        <v>531</v>
      </c>
      <c r="AC672" s="212" t="s">
        <v>533</v>
      </c>
      <c r="AD672" s="214">
        <v>1.2622610000000001</v>
      </c>
      <c r="AE672" s="214">
        <v>608</v>
      </c>
      <c r="AF672" s="214">
        <v>4.99E-2</v>
      </c>
      <c r="AG672" s="214">
        <v>-99</v>
      </c>
      <c r="AH672" s="212" t="s">
        <v>224</v>
      </c>
      <c r="AI672" s="212" t="s">
        <v>449</v>
      </c>
      <c r="AJ672" s="212" t="s">
        <v>420</v>
      </c>
      <c r="AK672" s="212" t="s">
        <v>531</v>
      </c>
      <c r="AL672" s="212" t="s">
        <v>454</v>
      </c>
      <c r="AM672" s="214" t="b">
        <v>1</v>
      </c>
      <c r="AN672" s="214" t="b">
        <v>0</v>
      </c>
      <c r="AO672" s="212" t="s">
        <v>421</v>
      </c>
      <c r="AP672" s="212" t="s">
        <v>422</v>
      </c>
      <c r="AQ672" s="214">
        <v>120.19158</v>
      </c>
      <c r="AR672" s="214" t="b">
        <v>0</v>
      </c>
      <c r="AS672" s="212" t="s">
        <v>534</v>
      </c>
      <c r="AU672" s="222" t="s">
        <v>819</v>
      </c>
    </row>
    <row r="673" spans="1:47" x14ac:dyDescent="0.25">
      <c r="A673" s="245">
        <f t="shared" si="86"/>
        <v>673</v>
      </c>
      <c r="B673" s="246" t="str">
        <f t="shared" si="92"/>
        <v>Oil Field - Tank</v>
      </c>
      <c r="C673" s="246" t="str">
        <f ca="1">IF(B673="","",VLOOKUP(D673,'Species Data'!B:E,4,FALSE))</f>
        <v>O_xylene</v>
      </c>
      <c r="D673" s="246">
        <f t="shared" ca="1" si="87"/>
        <v>620</v>
      </c>
      <c r="E673" s="246">
        <f t="shared" ca="1" si="88"/>
        <v>0.1125</v>
      </c>
      <c r="F673" s="246" t="str">
        <f t="shared" ca="1" si="89"/>
        <v>O-xylene</v>
      </c>
      <c r="G673" s="246">
        <f t="shared" ca="1" si="90"/>
        <v>106.16500000000001</v>
      </c>
      <c r="H673" s="204">
        <f ca="1">IF(G673="","",IF(VLOOKUP(Tank!F673,'Species Data'!D:F,3,FALSE)=0,"X",IF(G673&lt;44.1,2,1)))</f>
        <v>1</v>
      </c>
      <c r="I673" s="204">
        <f t="shared" ca="1" si="91"/>
        <v>5.0080480772615434E-2</v>
      </c>
      <c r="J673" s="247">
        <f ca="1">IF(I673="","",IF(COUNTIF($D$12:D673,D673)=1,IF(H673=1,I673*H673,IF(H673="X","X",0)),0))</f>
        <v>0</v>
      </c>
      <c r="K673" s="248">
        <f t="shared" ca="1" si="93"/>
        <v>0</v>
      </c>
      <c r="L673" s="212" t="s">
        <v>679</v>
      </c>
      <c r="M673" s="212" t="s">
        <v>448</v>
      </c>
      <c r="N673" s="212" t="s">
        <v>470</v>
      </c>
      <c r="O673" s="213">
        <v>41419</v>
      </c>
      <c r="P673" s="212" t="s">
        <v>531</v>
      </c>
      <c r="Q673" s="214">
        <v>100</v>
      </c>
      <c r="R673" s="212" t="s">
        <v>445</v>
      </c>
      <c r="S673" s="212" t="s">
        <v>532</v>
      </c>
      <c r="T673" s="212" t="s">
        <v>445</v>
      </c>
      <c r="U673" s="212" t="s">
        <v>446</v>
      </c>
      <c r="V673" s="214" t="b">
        <v>1</v>
      </c>
      <c r="W673" s="214">
        <v>1989</v>
      </c>
      <c r="X673" s="214">
        <v>5</v>
      </c>
      <c r="Y673" s="214">
        <v>2</v>
      </c>
      <c r="Z673" s="214">
        <v>4</v>
      </c>
      <c r="AA673" s="212" t="s">
        <v>447</v>
      </c>
      <c r="AB673" s="212" t="s">
        <v>531</v>
      </c>
      <c r="AC673" s="212" t="s">
        <v>533</v>
      </c>
      <c r="AD673" s="214">
        <v>1.2622610000000001</v>
      </c>
      <c r="AE673" s="214">
        <v>620</v>
      </c>
      <c r="AF673" s="214">
        <v>0.1125</v>
      </c>
      <c r="AG673" s="214">
        <v>-99</v>
      </c>
      <c r="AH673" s="212" t="s">
        <v>224</v>
      </c>
      <c r="AI673" s="212" t="s">
        <v>449</v>
      </c>
      <c r="AJ673" s="212" t="s">
        <v>354</v>
      </c>
      <c r="AK673" s="212" t="s">
        <v>531</v>
      </c>
      <c r="AL673" s="212" t="s">
        <v>398</v>
      </c>
      <c r="AM673" s="214" t="b">
        <v>1</v>
      </c>
      <c r="AN673" s="214" t="b">
        <v>1</v>
      </c>
      <c r="AO673" s="212" t="s">
        <v>355</v>
      </c>
      <c r="AP673" s="212" t="s">
        <v>356</v>
      </c>
      <c r="AQ673" s="214">
        <v>106.16500000000001</v>
      </c>
      <c r="AR673" s="214" t="b">
        <v>0</v>
      </c>
      <c r="AS673" s="212" t="s">
        <v>534</v>
      </c>
      <c r="AU673" s="222" t="s">
        <v>819</v>
      </c>
    </row>
    <row r="674" spans="1:47" x14ac:dyDescent="0.25">
      <c r="A674" s="245">
        <f t="shared" si="86"/>
        <v>674</v>
      </c>
      <c r="B674" s="246" t="str">
        <f t="shared" si="92"/>
        <v>Oil Field - Tank</v>
      </c>
      <c r="C674" s="246" t="str">
        <f ca="1">IF(B674="","",VLOOKUP(D674,'Species Data'!B:E,4,FALSE))</f>
        <v>P_xylene</v>
      </c>
      <c r="D674" s="246">
        <f t="shared" ca="1" si="87"/>
        <v>648</v>
      </c>
      <c r="E674" s="246">
        <f t="shared" ca="1" si="88"/>
        <v>0.27339999999999998</v>
      </c>
      <c r="F674" s="246" t="str">
        <f t="shared" ca="1" si="89"/>
        <v>P-xylene</v>
      </c>
      <c r="G674" s="246">
        <f t="shared" ca="1" si="90"/>
        <v>106.16500000000001</v>
      </c>
      <c r="H674" s="204">
        <f ca="1">IF(G674="","",IF(VLOOKUP(Tank!F674,'Species Data'!D:F,3,FALSE)=0,"X",IF(G674&lt;44.1,2,1)))</f>
        <v>1</v>
      </c>
      <c r="I674" s="204">
        <f t="shared" ca="1" si="91"/>
        <v>8.2000787207557213E-2</v>
      </c>
      <c r="J674" s="247">
        <f ca="1">IF(I674="","",IF(COUNTIF($D$12:D674,D674)=1,IF(H674=1,I674*H674,IF(H674="X","X",0)),0))</f>
        <v>0</v>
      </c>
      <c r="K674" s="248">
        <f t="shared" ca="1" si="93"/>
        <v>0</v>
      </c>
      <c r="L674" s="212" t="s">
        <v>679</v>
      </c>
      <c r="M674" s="212" t="s">
        <v>448</v>
      </c>
      <c r="N674" s="212" t="s">
        <v>470</v>
      </c>
      <c r="O674" s="213">
        <v>41419</v>
      </c>
      <c r="P674" s="212" t="s">
        <v>531</v>
      </c>
      <c r="Q674" s="214">
        <v>100</v>
      </c>
      <c r="R674" s="212" t="s">
        <v>445</v>
      </c>
      <c r="S674" s="212" t="s">
        <v>532</v>
      </c>
      <c r="T674" s="212" t="s">
        <v>445</v>
      </c>
      <c r="U674" s="212" t="s">
        <v>446</v>
      </c>
      <c r="V674" s="214" t="b">
        <v>1</v>
      </c>
      <c r="W674" s="214">
        <v>1989</v>
      </c>
      <c r="X674" s="214">
        <v>5</v>
      </c>
      <c r="Y674" s="214">
        <v>2</v>
      </c>
      <c r="Z674" s="214">
        <v>4</v>
      </c>
      <c r="AA674" s="212" t="s">
        <v>447</v>
      </c>
      <c r="AB674" s="212" t="s">
        <v>531</v>
      </c>
      <c r="AC674" s="212" t="s">
        <v>533</v>
      </c>
      <c r="AD674" s="214">
        <v>1.2622610000000001</v>
      </c>
      <c r="AE674" s="214">
        <v>648</v>
      </c>
      <c r="AF674" s="214">
        <v>0.27339999999999998</v>
      </c>
      <c r="AG674" s="214">
        <v>-99</v>
      </c>
      <c r="AH674" s="212" t="s">
        <v>224</v>
      </c>
      <c r="AI674" s="212" t="s">
        <v>449</v>
      </c>
      <c r="AJ674" s="212" t="s">
        <v>433</v>
      </c>
      <c r="AK674" s="212" t="s">
        <v>531</v>
      </c>
      <c r="AL674" s="212" t="s">
        <v>459</v>
      </c>
      <c r="AM674" s="214" t="b">
        <v>0</v>
      </c>
      <c r="AN674" s="214" t="b">
        <v>1</v>
      </c>
      <c r="AO674" s="212" t="s">
        <v>434</v>
      </c>
      <c r="AP674" s="212" t="s">
        <v>435</v>
      </c>
      <c r="AQ674" s="214">
        <v>106.16500000000001</v>
      </c>
      <c r="AR674" s="214" t="b">
        <v>0</v>
      </c>
      <c r="AS674" s="212" t="s">
        <v>534</v>
      </c>
      <c r="AU674" s="222" t="s">
        <v>819</v>
      </c>
    </row>
    <row r="675" spans="1:47" x14ac:dyDescent="0.25">
      <c r="A675" s="245">
        <f t="shared" si="86"/>
        <v>675</v>
      </c>
      <c r="B675" s="246" t="str">
        <f t="shared" si="92"/>
        <v>Oil Field - Tank</v>
      </c>
      <c r="C675" s="246" t="str">
        <f ca="1">IF(B675="","",VLOOKUP(D675,'Species Data'!B:E,4,FALSE))</f>
        <v>propane</v>
      </c>
      <c r="D675" s="246">
        <f t="shared" ca="1" si="87"/>
        <v>671</v>
      </c>
      <c r="E675" s="246">
        <f t="shared" ca="1" si="88"/>
        <v>10.5062</v>
      </c>
      <c r="F675" s="246" t="str">
        <f t="shared" ca="1" si="89"/>
        <v>Propane</v>
      </c>
      <c r="G675" s="246">
        <f t="shared" ca="1" si="90"/>
        <v>44.095619999999997</v>
      </c>
      <c r="H675" s="204">
        <f ca="1">IF(G675="","",IF(VLOOKUP(Tank!F675,'Species Data'!D:F,3,FALSE)=0,"X",IF(G675&lt;44.1,2,1)))</f>
        <v>2</v>
      </c>
      <c r="I675" s="204">
        <f t="shared" ca="1" si="91"/>
        <v>10.138737331878389</v>
      </c>
      <c r="J675" s="247">
        <f ca="1">IF(I675="","",IF(COUNTIF($D$12:D675,D675)=1,IF(H675=1,I675*H675,IF(H675="X","X",0)),0))</f>
        <v>0</v>
      </c>
      <c r="K675" s="248">
        <f t="shared" ca="1" si="93"/>
        <v>0</v>
      </c>
      <c r="L675" s="212" t="s">
        <v>679</v>
      </c>
      <c r="M675" s="212" t="s">
        <v>448</v>
      </c>
      <c r="N675" s="212" t="s">
        <v>470</v>
      </c>
      <c r="O675" s="213">
        <v>41419</v>
      </c>
      <c r="P675" s="212" t="s">
        <v>531</v>
      </c>
      <c r="Q675" s="214">
        <v>100</v>
      </c>
      <c r="R675" s="212" t="s">
        <v>445</v>
      </c>
      <c r="S675" s="212" t="s">
        <v>532</v>
      </c>
      <c r="T675" s="212" t="s">
        <v>445</v>
      </c>
      <c r="U675" s="212" t="s">
        <v>446</v>
      </c>
      <c r="V675" s="214" t="b">
        <v>1</v>
      </c>
      <c r="W675" s="214">
        <v>1989</v>
      </c>
      <c r="X675" s="214">
        <v>5</v>
      </c>
      <c r="Y675" s="214">
        <v>2</v>
      </c>
      <c r="Z675" s="214">
        <v>4</v>
      </c>
      <c r="AA675" s="212" t="s">
        <v>447</v>
      </c>
      <c r="AB675" s="212" t="s">
        <v>531</v>
      </c>
      <c r="AC675" s="212" t="s">
        <v>533</v>
      </c>
      <c r="AD675" s="214">
        <v>1.2622610000000001</v>
      </c>
      <c r="AE675" s="214">
        <v>671</v>
      </c>
      <c r="AF675" s="214">
        <v>10.5062</v>
      </c>
      <c r="AG675" s="214">
        <v>-99</v>
      </c>
      <c r="AH675" s="212" t="s">
        <v>224</v>
      </c>
      <c r="AI675" s="212" t="s">
        <v>449</v>
      </c>
      <c r="AJ675" s="212" t="s">
        <v>288</v>
      </c>
      <c r="AK675" s="212" t="s">
        <v>531</v>
      </c>
      <c r="AL675" s="212" t="s">
        <v>382</v>
      </c>
      <c r="AM675" s="214" t="b">
        <v>1</v>
      </c>
      <c r="AN675" s="214" t="b">
        <v>0</v>
      </c>
      <c r="AO675" s="212" t="s">
        <v>289</v>
      </c>
      <c r="AP675" s="212" t="s">
        <v>290</v>
      </c>
      <c r="AQ675" s="214">
        <v>44.095619999999997</v>
      </c>
      <c r="AR675" s="214" t="b">
        <v>0</v>
      </c>
      <c r="AS675" s="212" t="s">
        <v>534</v>
      </c>
      <c r="AU675" s="222" t="s">
        <v>819</v>
      </c>
    </row>
    <row r="676" spans="1:47" x14ac:dyDescent="0.25">
      <c r="A676" s="245">
        <f t="shared" si="86"/>
        <v>676</v>
      </c>
      <c r="B676" s="246" t="str">
        <f t="shared" si="92"/>
        <v>Oil Field - Tank</v>
      </c>
      <c r="C676" s="246" t="str">
        <f ca="1">IF(B676="","",VLOOKUP(D676,'Species Data'!B:E,4,FALSE))</f>
        <v>T_butben</v>
      </c>
      <c r="D676" s="246">
        <f t="shared" ca="1" si="87"/>
        <v>703</v>
      </c>
      <c r="E676" s="246">
        <f t="shared" ca="1" si="88"/>
        <v>2.2599999999999999E-2</v>
      </c>
      <c r="F676" s="246" t="str">
        <f t="shared" ca="1" si="89"/>
        <v>T-butylbenzene</v>
      </c>
      <c r="G676" s="246">
        <f t="shared" ca="1" si="90"/>
        <v>134.21816000000001</v>
      </c>
      <c r="H676" s="204" t="str">
        <f ca="1">IF(G676="","",IF(VLOOKUP(Tank!F676,'Species Data'!D:F,3,FALSE)=0,"X",IF(G676&lt;44.1,2,1)))</f>
        <v>X</v>
      </c>
      <c r="I676" s="204">
        <f t="shared" ca="1" si="91"/>
        <v>6.7067310512847599E-3</v>
      </c>
      <c r="J676" s="247">
        <f ca="1">IF(I676="","",IF(COUNTIF($D$12:D676,D676)=1,IF(H676=1,I676*H676,IF(H676="X","X",0)),0))</f>
        <v>0</v>
      </c>
      <c r="K676" s="248">
        <f t="shared" ca="1" si="93"/>
        <v>0</v>
      </c>
      <c r="L676" s="212" t="s">
        <v>679</v>
      </c>
      <c r="M676" s="212" t="s">
        <v>448</v>
      </c>
      <c r="N676" s="212" t="s">
        <v>470</v>
      </c>
      <c r="O676" s="213">
        <v>41419</v>
      </c>
      <c r="P676" s="212" t="s">
        <v>531</v>
      </c>
      <c r="Q676" s="214">
        <v>100</v>
      </c>
      <c r="R676" s="212" t="s">
        <v>445</v>
      </c>
      <c r="S676" s="212" t="s">
        <v>532</v>
      </c>
      <c r="T676" s="212" t="s">
        <v>445</v>
      </c>
      <c r="U676" s="212" t="s">
        <v>446</v>
      </c>
      <c r="V676" s="214" t="b">
        <v>1</v>
      </c>
      <c r="W676" s="214">
        <v>1989</v>
      </c>
      <c r="X676" s="214">
        <v>5</v>
      </c>
      <c r="Y676" s="214">
        <v>2</v>
      </c>
      <c r="Z676" s="214">
        <v>4</v>
      </c>
      <c r="AA676" s="212" t="s">
        <v>447</v>
      </c>
      <c r="AB676" s="212" t="s">
        <v>531</v>
      </c>
      <c r="AC676" s="212" t="s">
        <v>533</v>
      </c>
      <c r="AD676" s="214">
        <v>1.2622610000000001</v>
      </c>
      <c r="AE676" s="214">
        <v>703</v>
      </c>
      <c r="AF676" s="214">
        <v>2.2599999999999999E-2</v>
      </c>
      <c r="AG676" s="214">
        <v>-99</v>
      </c>
      <c r="AH676" s="212" t="s">
        <v>224</v>
      </c>
      <c r="AI676" s="212" t="s">
        <v>449</v>
      </c>
      <c r="AJ676" s="212" t="s">
        <v>423</v>
      </c>
      <c r="AK676" s="212" t="s">
        <v>531</v>
      </c>
      <c r="AL676" s="212" t="s">
        <v>455</v>
      </c>
      <c r="AM676" s="214" t="b">
        <v>0</v>
      </c>
      <c r="AN676" s="214" t="b">
        <v>0</v>
      </c>
      <c r="AO676" s="212" t="s">
        <v>424</v>
      </c>
      <c r="AP676" s="212" t="s">
        <v>531</v>
      </c>
      <c r="AQ676" s="214">
        <v>134.21816000000001</v>
      </c>
      <c r="AR676" s="214" t="b">
        <v>0</v>
      </c>
      <c r="AS676" s="212" t="s">
        <v>534</v>
      </c>
      <c r="AU676" s="222" t="s">
        <v>819</v>
      </c>
    </row>
    <row r="677" spans="1:47" x14ac:dyDescent="0.25">
      <c r="A677" s="245">
        <f t="shared" ref="A677:A682" si="94">IF(B677="","",A676+1)</f>
        <v>677</v>
      </c>
      <c r="B677" s="246" t="str">
        <f t="shared" si="92"/>
        <v>Oil Field - Tank</v>
      </c>
      <c r="C677" s="246" t="str">
        <f ca="1">IF(B677="","",VLOOKUP(D677,'Species Data'!B:E,4,FALSE))</f>
        <v>toluene</v>
      </c>
      <c r="D677" s="246">
        <f t="shared" ref="D677:D682" ca="1" si="95">IF(B677="","",INDIRECT("AE"&amp;$A677))</f>
        <v>717</v>
      </c>
      <c r="E677" s="246">
        <f t="shared" ref="E677:E682" ca="1" si="96">IF(D677="","",INDIRECT("AF"&amp;$A677))</f>
        <v>0.2392</v>
      </c>
      <c r="F677" s="246" t="str">
        <f t="shared" ref="F677:F682" ca="1" si="97">IF(E677="","",INDIRECT("AO"&amp;$A677))</f>
        <v>Toluene</v>
      </c>
      <c r="G677" s="246">
        <f t="shared" ref="G677:G682" ca="1" si="98">IF(F677="","",INDIRECT("AQ"&amp;$A677))</f>
        <v>92.138419999999996</v>
      </c>
      <c r="H677" s="204">
        <f ca="1">IF(G677="","",IF(VLOOKUP(Tank!F677,'Species Data'!D:F,3,FALSE)=0,"X",IF(G677&lt;44.1,2,1)))</f>
        <v>1</v>
      </c>
      <c r="I677" s="204">
        <f t="shared" ref="I677:I682" ca="1" si="99">IF(H677="","",SUMIF(D:D,D677,E:E)/($E$9/100))</f>
        <v>0.21631540996126902</v>
      </c>
      <c r="J677" s="247">
        <f ca="1">IF(I677="","",IF(COUNTIF($D$12:D677,D677)=1,IF(H677=1,I677*H677,IF(H677="X","X",0)),0))</f>
        <v>0</v>
      </c>
      <c r="K677" s="248">
        <f t="shared" ca="1" si="93"/>
        <v>0</v>
      </c>
      <c r="L677" s="212" t="s">
        <v>679</v>
      </c>
      <c r="M677" s="212" t="s">
        <v>448</v>
      </c>
      <c r="N677" s="212" t="s">
        <v>470</v>
      </c>
      <c r="O677" s="213">
        <v>41419</v>
      </c>
      <c r="P677" s="212" t="s">
        <v>531</v>
      </c>
      <c r="Q677" s="214">
        <v>100</v>
      </c>
      <c r="R677" s="212" t="s">
        <v>445</v>
      </c>
      <c r="S677" s="212" t="s">
        <v>532</v>
      </c>
      <c r="T677" s="212" t="s">
        <v>445</v>
      </c>
      <c r="U677" s="212" t="s">
        <v>446</v>
      </c>
      <c r="V677" s="214" t="b">
        <v>1</v>
      </c>
      <c r="W677" s="214">
        <v>1989</v>
      </c>
      <c r="X677" s="214">
        <v>5</v>
      </c>
      <c r="Y677" s="214">
        <v>2</v>
      </c>
      <c r="Z677" s="214">
        <v>4</v>
      </c>
      <c r="AA677" s="212" t="s">
        <v>447</v>
      </c>
      <c r="AB677" s="212" t="s">
        <v>531</v>
      </c>
      <c r="AC677" s="212" t="s">
        <v>533</v>
      </c>
      <c r="AD677" s="214">
        <v>1.2622610000000001</v>
      </c>
      <c r="AE677" s="214">
        <v>717</v>
      </c>
      <c r="AF677" s="214">
        <v>0.2392</v>
      </c>
      <c r="AG677" s="214">
        <v>-99</v>
      </c>
      <c r="AH677" s="212" t="s">
        <v>224</v>
      </c>
      <c r="AI677" s="212" t="s">
        <v>449</v>
      </c>
      <c r="AJ677" s="212" t="s">
        <v>294</v>
      </c>
      <c r="AK677" s="212" t="s">
        <v>531</v>
      </c>
      <c r="AL677" s="212" t="s">
        <v>383</v>
      </c>
      <c r="AM677" s="214" t="b">
        <v>1</v>
      </c>
      <c r="AN677" s="214" t="b">
        <v>1</v>
      </c>
      <c r="AO677" s="212" t="s">
        <v>295</v>
      </c>
      <c r="AP677" s="212" t="s">
        <v>296</v>
      </c>
      <c r="AQ677" s="214">
        <v>92.138419999999996</v>
      </c>
      <c r="AR677" s="214" t="b">
        <v>0</v>
      </c>
      <c r="AS677" s="212" t="s">
        <v>534</v>
      </c>
      <c r="AU677" s="222" t="s">
        <v>819</v>
      </c>
    </row>
    <row r="678" spans="1:47" x14ac:dyDescent="0.25">
      <c r="A678" s="245">
        <f t="shared" si="94"/>
        <v>678</v>
      </c>
      <c r="B678" s="246" t="str">
        <f t="shared" si="92"/>
        <v>Oil Field - Tank</v>
      </c>
      <c r="C678" s="246" t="str">
        <f ca="1">IF(B678="","",VLOOKUP(D678,'Species Data'!B:E,4,FALSE))</f>
        <v>betben</v>
      </c>
      <c r="D678" s="246">
        <f t="shared" ca="1" si="95"/>
        <v>981</v>
      </c>
      <c r="E678" s="246">
        <f t="shared" ca="1" si="96"/>
        <v>1.4999999999999999E-2</v>
      </c>
      <c r="F678" s="246" t="str">
        <f t="shared" ca="1" si="97"/>
        <v>Butylbenzene</v>
      </c>
      <c r="G678" s="246">
        <f t="shared" ca="1" si="98"/>
        <v>134.21816000000001</v>
      </c>
      <c r="H678" s="204">
        <f ca="1">IF(G678="","",IF(VLOOKUP(Tank!F678,'Species Data'!D:F,3,FALSE)=0,"X",IF(G678&lt;44.1,2,1)))</f>
        <v>1</v>
      </c>
      <c r="I678" s="204">
        <f t="shared" ca="1" si="99"/>
        <v>4.2533741657253248E-3</v>
      </c>
      <c r="J678" s="247">
        <f ca="1">IF(I678="","",IF(COUNTIF($D$12:D678,D678)=1,IF(H678=1,I678*H678,IF(H678="X","X",0)),0))</f>
        <v>0</v>
      </c>
      <c r="K678" s="248">
        <f t="shared" ca="1" si="93"/>
        <v>0</v>
      </c>
      <c r="L678" s="212" t="s">
        <v>679</v>
      </c>
      <c r="M678" s="212" t="s">
        <v>448</v>
      </c>
      <c r="N678" s="212" t="s">
        <v>470</v>
      </c>
      <c r="O678" s="213">
        <v>41419</v>
      </c>
      <c r="P678" s="212" t="s">
        <v>531</v>
      </c>
      <c r="Q678" s="214">
        <v>100</v>
      </c>
      <c r="R678" s="212" t="s">
        <v>445</v>
      </c>
      <c r="S678" s="212" t="s">
        <v>532</v>
      </c>
      <c r="T678" s="212" t="s">
        <v>445</v>
      </c>
      <c r="U678" s="212" t="s">
        <v>446</v>
      </c>
      <c r="V678" s="214" t="b">
        <v>1</v>
      </c>
      <c r="W678" s="214">
        <v>1989</v>
      </c>
      <c r="X678" s="214">
        <v>5</v>
      </c>
      <c r="Y678" s="214">
        <v>2</v>
      </c>
      <c r="Z678" s="214">
        <v>4</v>
      </c>
      <c r="AA678" s="212" t="s">
        <v>447</v>
      </c>
      <c r="AB678" s="212" t="s">
        <v>531</v>
      </c>
      <c r="AC678" s="212" t="s">
        <v>533</v>
      </c>
      <c r="AD678" s="214">
        <v>1.2622610000000001</v>
      </c>
      <c r="AE678" s="214">
        <v>981</v>
      </c>
      <c r="AF678" s="214">
        <v>1.4999999999999999E-2</v>
      </c>
      <c r="AG678" s="214">
        <v>-99</v>
      </c>
      <c r="AH678" s="212" t="s">
        <v>224</v>
      </c>
      <c r="AI678" s="212" t="s">
        <v>449</v>
      </c>
      <c r="AJ678" s="212" t="s">
        <v>645</v>
      </c>
      <c r="AK678" s="212" t="s">
        <v>531</v>
      </c>
      <c r="AL678" s="212" t="s">
        <v>531</v>
      </c>
      <c r="AM678" s="214" t="b">
        <v>0</v>
      </c>
      <c r="AN678" s="214" t="b">
        <v>0</v>
      </c>
      <c r="AO678" s="212" t="s">
        <v>646</v>
      </c>
      <c r="AP678" s="212" t="s">
        <v>647</v>
      </c>
      <c r="AQ678" s="214">
        <v>134.21816000000001</v>
      </c>
      <c r="AR678" s="214" t="b">
        <v>0</v>
      </c>
      <c r="AS678" s="212" t="s">
        <v>534</v>
      </c>
      <c r="AU678" s="222" t="s">
        <v>819</v>
      </c>
    </row>
    <row r="679" spans="1:47" x14ac:dyDescent="0.25">
      <c r="A679" s="245">
        <f t="shared" si="94"/>
        <v>679</v>
      </c>
      <c r="B679" s="246" t="str">
        <f t="shared" si="92"/>
        <v>Oil Field - Tank</v>
      </c>
      <c r="C679" s="246" t="str">
        <f ca="1">IF(B679="","",VLOOKUP(D679,'Species Data'!B:E,4,FALSE))</f>
        <v>c10_comp</v>
      </c>
      <c r="D679" s="246">
        <f t="shared" ca="1" si="95"/>
        <v>1924</v>
      </c>
      <c r="E679" s="246">
        <f t="shared" ca="1" si="96"/>
        <v>0.45579999999999998</v>
      </c>
      <c r="F679" s="246" t="str">
        <f t="shared" ca="1" si="97"/>
        <v>C-10 Compounds</v>
      </c>
      <c r="G679" s="246">
        <f t="shared" ca="1" si="98"/>
        <v>142.28167999999999</v>
      </c>
      <c r="H679" s="204" t="str">
        <f ca="1">IF(G679="","",IF(VLOOKUP(Tank!F679,'Species Data'!D:F,3,FALSE)=0,"X",IF(G679&lt;44.1,2,1)))</f>
        <v>X</v>
      </c>
      <c r="I679" s="204">
        <f t="shared" ca="1" si="99"/>
        <v>0.15904819352932459</v>
      </c>
      <c r="J679" s="247">
        <f ca="1">IF(I679="","",IF(COUNTIF($D$12:D679,D679)=1,IF(H679=1,I679*H679,IF(H679="X","X",0)),0))</f>
        <v>0</v>
      </c>
      <c r="K679" s="248">
        <f t="shared" ca="1" si="93"/>
        <v>0</v>
      </c>
      <c r="L679" s="212" t="s">
        <v>679</v>
      </c>
      <c r="M679" s="212" t="s">
        <v>448</v>
      </c>
      <c r="N679" s="212" t="s">
        <v>470</v>
      </c>
      <c r="O679" s="213">
        <v>41419</v>
      </c>
      <c r="P679" s="212" t="s">
        <v>531</v>
      </c>
      <c r="Q679" s="214">
        <v>100</v>
      </c>
      <c r="R679" s="212" t="s">
        <v>445</v>
      </c>
      <c r="S679" s="212" t="s">
        <v>532</v>
      </c>
      <c r="T679" s="212" t="s">
        <v>445</v>
      </c>
      <c r="U679" s="212" t="s">
        <v>446</v>
      </c>
      <c r="V679" s="214" t="b">
        <v>1</v>
      </c>
      <c r="W679" s="214">
        <v>1989</v>
      </c>
      <c r="X679" s="214">
        <v>5</v>
      </c>
      <c r="Y679" s="214">
        <v>2</v>
      </c>
      <c r="Z679" s="214">
        <v>4</v>
      </c>
      <c r="AA679" s="212" t="s">
        <v>447</v>
      </c>
      <c r="AB679" s="212" t="s">
        <v>531</v>
      </c>
      <c r="AC679" s="212" t="s">
        <v>533</v>
      </c>
      <c r="AD679" s="214">
        <v>1.2622610000000001</v>
      </c>
      <c r="AE679" s="214">
        <v>1924</v>
      </c>
      <c r="AF679" s="214">
        <v>0.45579999999999998</v>
      </c>
      <c r="AG679" s="214">
        <v>-99</v>
      </c>
      <c r="AH679" s="212" t="s">
        <v>224</v>
      </c>
      <c r="AI679" s="212" t="s">
        <v>449</v>
      </c>
      <c r="AJ679" s="212" t="s">
        <v>224</v>
      </c>
      <c r="AK679" s="212" t="s">
        <v>531</v>
      </c>
      <c r="AL679" s="212" t="s">
        <v>466</v>
      </c>
      <c r="AM679" s="214" t="b">
        <v>0</v>
      </c>
      <c r="AN679" s="214" t="b">
        <v>0</v>
      </c>
      <c r="AO679" s="212" t="s">
        <v>535</v>
      </c>
      <c r="AP679" s="212" t="s">
        <v>536</v>
      </c>
      <c r="AQ679" s="214">
        <v>142.28167999999999</v>
      </c>
      <c r="AR679" s="214" t="b">
        <v>0</v>
      </c>
      <c r="AS679" s="212" t="s">
        <v>534</v>
      </c>
      <c r="AU679" s="222" t="s">
        <v>819</v>
      </c>
    </row>
    <row r="680" spans="1:47" x14ac:dyDescent="0.25">
      <c r="A680" s="245">
        <f t="shared" si="94"/>
        <v>680</v>
      </c>
      <c r="B680" s="246" t="str">
        <f t="shared" si="92"/>
        <v>Oil Field - Tank</v>
      </c>
      <c r="C680" s="246" t="str">
        <f ca="1">IF(B680="","",VLOOKUP(D680,'Species Data'!B:E,4,FALSE))</f>
        <v>c11_comp</v>
      </c>
      <c r="D680" s="246">
        <f t="shared" ca="1" si="95"/>
        <v>1929</v>
      </c>
      <c r="E680" s="246">
        <f t="shared" ca="1" si="96"/>
        <v>6.9599999999999995E-2</v>
      </c>
      <c r="F680" s="246" t="str">
        <f t="shared" ca="1" si="97"/>
        <v>C-11 Compounds</v>
      </c>
      <c r="G680" s="246">
        <f t="shared" ca="1" si="98"/>
        <v>156.30826000000002</v>
      </c>
      <c r="H680" s="204" t="str">
        <f ca="1">IF(G680="","",IF(VLOOKUP(Tank!F680,'Species Data'!D:F,3,FALSE)=0,"X",IF(G680&lt;44.1,2,1)))</f>
        <v>X</v>
      </c>
      <c r="I680" s="204">
        <f t="shared" ca="1" si="99"/>
        <v>2.464690327693813E-2</v>
      </c>
      <c r="J680" s="247">
        <f ca="1">IF(I680="","",IF(COUNTIF($D$12:D680,D680)=1,IF(H680=1,I680*H680,IF(H680="X","X",0)),0))</f>
        <v>0</v>
      </c>
      <c r="K680" s="248">
        <f t="shared" ca="1" si="93"/>
        <v>0</v>
      </c>
      <c r="L680" s="212" t="s">
        <v>679</v>
      </c>
      <c r="M680" s="212" t="s">
        <v>448</v>
      </c>
      <c r="N680" s="212" t="s">
        <v>470</v>
      </c>
      <c r="O680" s="213">
        <v>41419</v>
      </c>
      <c r="P680" s="212" t="s">
        <v>531</v>
      </c>
      <c r="Q680" s="214">
        <v>100</v>
      </c>
      <c r="R680" s="212" t="s">
        <v>445</v>
      </c>
      <c r="S680" s="212" t="s">
        <v>532</v>
      </c>
      <c r="T680" s="212" t="s">
        <v>445</v>
      </c>
      <c r="U680" s="212" t="s">
        <v>446</v>
      </c>
      <c r="V680" s="214" t="b">
        <v>1</v>
      </c>
      <c r="W680" s="214">
        <v>1989</v>
      </c>
      <c r="X680" s="214">
        <v>5</v>
      </c>
      <c r="Y680" s="214">
        <v>2</v>
      </c>
      <c r="Z680" s="214">
        <v>4</v>
      </c>
      <c r="AA680" s="212" t="s">
        <v>447</v>
      </c>
      <c r="AB680" s="212" t="s">
        <v>531</v>
      </c>
      <c r="AC680" s="212" t="s">
        <v>533</v>
      </c>
      <c r="AD680" s="214">
        <v>1.2622610000000001</v>
      </c>
      <c r="AE680" s="214">
        <v>1929</v>
      </c>
      <c r="AF680" s="214">
        <v>6.9599999999999995E-2</v>
      </c>
      <c r="AG680" s="214">
        <v>-99</v>
      </c>
      <c r="AH680" s="212" t="s">
        <v>224</v>
      </c>
      <c r="AI680" s="212" t="s">
        <v>449</v>
      </c>
      <c r="AJ680" s="212" t="s">
        <v>224</v>
      </c>
      <c r="AK680" s="212" t="s">
        <v>531</v>
      </c>
      <c r="AL680" s="212" t="s">
        <v>467</v>
      </c>
      <c r="AM680" s="214" t="b">
        <v>0</v>
      </c>
      <c r="AN680" s="214" t="b">
        <v>0</v>
      </c>
      <c r="AO680" s="212" t="s">
        <v>468</v>
      </c>
      <c r="AP680" s="212" t="s">
        <v>469</v>
      </c>
      <c r="AQ680" s="214">
        <v>156.30826000000002</v>
      </c>
      <c r="AR680" s="214" t="b">
        <v>0</v>
      </c>
      <c r="AS680" s="212" t="s">
        <v>534</v>
      </c>
      <c r="AU680" s="222" t="s">
        <v>819</v>
      </c>
    </row>
    <row r="681" spans="1:47" x14ac:dyDescent="0.25">
      <c r="A681" s="245">
        <f t="shared" si="94"/>
        <v>681</v>
      </c>
      <c r="B681" s="246" t="str">
        <f t="shared" si="92"/>
        <v>Oil Field - Tank</v>
      </c>
      <c r="C681" s="246" t="str">
        <f ca="1">IF(B681="","",VLOOKUP(D681,'Species Data'!B:E,4,FALSE))</f>
        <v>c5_comp</v>
      </c>
      <c r="D681" s="246">
        <f t="shared" ca="1" si="95"/>
        <v>1986</v>
      </c>
      <c r="E681" s="246">
        <f t="shared" ca="1" si="96"/>
        <v>1.0699000000000001</v>
      </c>
      <c r="F681" s="246" t="str">
        <f t="shared" ca="1" si="97"/>
        <v>C-5 Compounds</v>
      </c>
      <c r="G681" s="246">
        <f t="shared" ca="1" si="98"/>
        <v>72.148780000000002</v>
      </c>
      <c r="H681" s="204" t="str">
        <f ca="1">IF(G681="","",IF(VLOOKUP(Tank!F681,'Species Data'!D:F,3,FALSE)=0,"X",IF(G681&lt;44.1,2,1)))</f>
        <v>X</v>
      </c>
      <c r="I681" s="204">
        <f t="shared" ca="1" si="99"/>
        <v>2.1162936497523712</v>
      </c>
      <c r="J681" s="247">
        <f ca="1">IF(I681="","",IF(COUNTIF($D$12:D681,D681)=1,IF(H681=1,I681*H681,IF(H681="X","X",0)),0))</f>
        <v>0</v>
      </c>
      <c r="K681" s="248">
        <f t="shared" ca="1" si="93"/>
        <v>0</v>
      </c>
      <c r="L681" s="212" t="s">
        <v>679</v>
      </c>
      <c r="M681" s="212" t="s">
        <v>448</v>
      </c>
      <c r="N681" s="212" t="s">
        <v>470</v>
      </c>
      <c r="O681" s="213">
        <v>41419</v>
      </c>
      <c r="P681" s="212" t="s">
        <v>531</v>
      </c>
      <c r="Q681" s="214">
        <v>100</v>
      </c>
      <c r="R681" s="212" t="s">
        <v>445</v>
      </c>
      <c r="S681" s="212" t="s">
        <v>532</v>
      </c>
      <c r="T681" s="212" t="s">
        <v>445</v>
      </c>
      <c r="U681" s="212" t="s">
        <v>446</v>
      </c>
      <c r="V681" s="214" t="b">
        <v>1</v>
      </c>
      <c r="W681" s="214">
        <v>1989</v>
      </c>
      <c r="X681" s="214">
        <v>5</v>
      </c>
      <c r="Y681" s="214">
        <v>2</v>
      </c>
      <c r="Z681" s="214">
        <v>4</v>
      </c>
      <c r="AA681" s="212" t="s">
        <v>447</v>
      </c>
      <c r="AB681" s="212" t="s">
        <v>531</v>
      </c>
      <c r="AC681" s="212" t="s">
        <v>533</v>
      </c>
      <c r="AD681" s="214">
        <v>1.2622610000000001</v>
      </c>
      <c r="AE681" s="214">
        <v>1986</v>
      </c>
      <c r="AF681" s="214">
        <v>1.0699000000000001</v>
      </c>
      <c r="AG681" s="214">
        <v>-99</v>
      </c>
      <c r="AH681" s="212" t="s">
        <v>224</v>
      </c>
      <c r="AI681" s="212" t="s">
        <v>449</v>
      </c>
      <c r="AJ681" s="212" t="s">
        <v>224</v>
      </c>
      <c r="AK681" s="212" t="s">
        <v>531</v>
      </c>
      <c r="AL681" s="212" t="s">
        <v>537</v>
      </c>
      <c r="AM681" s="214" t="b">
        <v>0</v>
      </c>
      <c r="AN681" s="214" t="b">
        <v>0</v>
      </c>
      <c r="AO681" s="212" t="s">
        <v>538</v>
      </c>
      <c r="AP681" s="212" t="s">
        <v>539</v>
      </c>
      <c r="AQ681" s="214">
        <v>72.148780000000002</v>
      </c>
      <c r="AR681" s="214" t="b">
        <v>0</v>
      </c>
      <c r="AS681" s="212" t="s">
        <v>534</v>
      </c>
      <c r="AU681" s="222" t="s">
        <v>819</v>
      </c>
    </row>
    <row r="682" spans="1:47" x14ac:dyDescent="0.25">
      <c r="A682" s="245">
        <f t="shared" si="94"/>
        <v>682</v>
      </c>
      <c r="B682" s="246" t="str">
        <f t="shared" si="92"/>
        <v>Oil Field - Tank</v>
      </c>
      <c r="C682" s="246" t="str">
        <f ca="1">IF(B682="","",VLOOKUP(D682,'Species Data'!B:E,4,FALSE))</f>
        <v>c6_comp</v>
      </c>
      <c r="D682" s="246">
        <f t="shared" ca="1" si="95"/>
        <v>1999</v>
      </c>
      <c r="E682" s="246">
        <f t="shared" ca="1" si="96"/>
        <v>9.4644999999999992</v>
      </c>
      <c r="F682" s="246" t="str">
        <f t="shared" ca="1" si="97"/>
        <v>C-6 Compounds</v>
      </c>
      <c r="G682" s="246">
        <f t="shared" ca="1" si="98"/>
        <v>86.175359999999998</v>
      </c>
      <c r="H682" s="204" t="str">
        <f ca="1">IF(G682="","",IF(VLOOKUP(Tank!F682,'Species Data'!D:F,3,FALSE)=0,"X",IF(G682&lt;44.1,2,1)))</f>
        <v>X</v>
      </c>
      <c r="I682" s="204">
        <f t="shared" ca="1" si="99"/>
        <v>3.9709781213899662</v>
      </c>
      <c r="J682" s="247">
        <f ca="1">IF(I682="","",IF(COUNTIF($D$12:D682,D682)=1,IF(H682=1,I682*H682,IF(H682="X","X",0)),0))</f>
        <v>0</v>
      </c>
      <c r="K682" s="248">
        <f t="shared" ca="1" si="93"/>
        <v>0</v>
      </c>
      <c r="L682" s="212" t="s">
        <v>679</v>
      </c>
      <c r="M682" s="212" t="s">
        <v>448</v>
      </c>
      <c r="N682" s="212" t="s">
        <v>470</v>
      </c>
      <c r="O682" s="213">
        <v>41419</v>
      </c>
      <c r="P682" s="212" t="s">
        <v>531</v>
      </c>
      <c r="Q682" s="214">
        <v>100</v>
      </c>
      <c r="R682" s="212" t="s">
        <v>445</v>
      </c>
      <c r="S682" s="212" t="s">
        <v>532</v>
      </c>
      <c r="T682" s="212" t="s">
        <v>445</v>
      </c>
      <c r="U682" s="212" t="s">
        <v>446</v>
      </c>
      <c r="V682" s="214" t="b">
        <v>1</v>
      </c>
      <c r="W682" s="214">
        <v>1989</v>
      </c>
      <c r="X682" s="214">
        <v>5</v>
      </c>
      <c r="Y682" s="214">
        <v>2</v>
      </c>
      <c r="Z682" s="214">
        <v>4</v>
      </c>
      <c r="AA682" s="212" t="s">
        <v>447</v>
      </c>
      <c r="AB682" s="212" t="s">
        <v>531</v>
      </c>
      <c r="AC682" s="212" t="s">
        <v>533</v>
      </c>
      <c r="AD682" s="214">
        <v>1.2622610000000001</v>
      </c>
      <c r="AE682" s="214">
        <v>1999</v>
      </c>
      <c r="AF682" s="214">
        <v>9.4644999999999992</v>
      </c>
      <c r="AG682" s="214">
        <v>-99</v>
      </c>
      <c r="AH682" s="212" t="s">
        <v>224</v>
      </c>
      <c r="AI682" s="212" t="s">
        <v>449</v>
      </c>
      <c r="AJ682" s="212" t="s">
        <v>224</v>
      </c>
      <c r="AK682" s="212" t="s">
        <v>531</v>
      </c>
      <c r="AL682" s="212" t="s">
        <v>540</v>
      </c>
      <c r="AM682" s="214" t="b">
        <v>0</v>
      </c>
      <c r="AN682" s="214" t="b">
        <v>0</v>
      </c>
      <c r="AO682" s="212" t="s">
        <v>541</v>
      </c>
      <c r="AP682" s="212" t="s">
        <v>542</v>
      </c>
      <c r="AQ682" s="214">
        <v>86.175359999999998</v>
      </c>
      <c r="AR682" s="214" t="b">
        <v>0</v>
      </c>
      <c r="AS682" s="212" t="s">
        <v>534</v>
      </c>
      <c r="AU682" s="222" t="s">
        <v>819</v>
      </c>
    </row>
    <row r="683" spans="1:47" x14ac:dyDescent="0.25">
      <c r="A683" s="245">
        <f t="shared" ref="A683:A712" si="100">IF(B683="","",A682+1)</f>
        <v>683</v>
      </c>
      <c r="B683" s="246" t="str">
        <f t="shared" ref="B683:B712" si="101">IF(ROW(A683)-(ROW($A$12))&lt;$B$10,$B$9,"")</f>
        <v>Oil Field - Tank</v>
      </c>
      <c r="C683" s="246" t="str">
        <f ca="1">IF(B683="","",VLOOKUP(D683,'Species Data'!B:E,4,FALSE))</f>
        <v>c7_comp</v>
      </c>
      <c r="D683" s="246">
        <f t="shared" ref="D683:D712" ca="1" si="102">IF(B683="","",INDIRECT("AE"&amp;$A683))</f>
        <v>2005</v>
      </c>
      <c r="E683" s="246">
        <f t="shared" ref="E683:E712" ca="1" si="103">IF(D683="","",INDIRECT("AF"&amp;$A683))</f>
        <v>5.3236999999999997</v>
      </c>
      <c r="F683" s="246" t="str">
        <f t="shared" ref="F683:F712" ca="1" si="104">IF(E683="","",INDIRECT("AO"&amp;$A683))</f>
        <v>C-7 Compounds</v>
      </c>
      <c r="G683" s="246">
        <f t="shared" ref="G683:G712" ca="1" si="105">IF(F683="","",INDIRECT("AQ"&amp;$A683))</f>
        <v>100.20194000000001</v>
      </c>
      <c r="H683" s="204" t="str">
        <f ca="1">IF(G683="","",IF(VLOOKUP(Tank!F683,'Species Data'!D:F,3,FALSE)=0,"X",IF(G683&lt;44.1,2,1)))</f>
        <v>X</v>
      </c>
      <c r="I683" s="204">
        <f t="shared" ref="I683:I712" ca="1" si="106">IF(H683="","",SUMIF(D:D,D683,E:E)/($E$9/100))</f>
        <v>2.5253842436887401</v>
      </c>
      <c r="J683" s="247">
        <f ca="1">IF(I683="","",IF(COUNTIF($D$12:D683,D683)=1,IF(H683=1,I683*H683,IF(H683="X","X",0)),0))</f>
        <v>0</v>
      </c>
      <c r="K683" s="248">
        <f t="shared" ref="K683:K712" ca="1" si="107">IF(J683="","",IF(J683="X",0,J683/$J$9*100))</f>
        <v>0</v>
      </c>
      <c r="L683" s="212" t="s">
        <v>679</v>
      </c>
      <c r="M683" s="212" t="s">
        <v>448</v>
      </c>
      <c r="N683" s="212" t="s">
        <v>470</v>
      </c>
      <c r="O683" s="213">
        <v>41419</v>
      </c>
      <c r="P683" s="212" t="s">
        <v>531</v>
      </c>
      <c r="Q683" s="214">
        <v>100</v>
      </c>
      <c r="R683" s="212" t="s">
        <v>445</v>
      </c>
      <c r="S683" s="212" t="s">
        <v>532</v>
      </c>
      <c r="T683" s="212" t="s">
        <v>445</v>
      </c>
      <c r="U683" s="212" t="s">
        <v>446</v>
      </c>
      <c r="V683" s="214" t="b">
        <v>1</v>
      </c>
      <c r="W683" s="214">
        <v>1989</v>
      </c>
      <c r="X683" s="214">
        <v>5</v>
      </c>
      <c r="Y683" s="214">
        <v>2</v>
      </c>
      <c r="Z683" s="214">
        <v>4</v>
      </c>
      <c r="AA683" s="212" t="s">
        <v>447</v>
      </c>
      <c r="AB683" s="212" t="s">
        <v>531</v>
      </c>
      <c r="AC683" s="212" t="s">
        <v>533</v>
      </c>
      <c r="AD683" s="214">
        <v>1.2622610000000001</v>
      </c>
      <c r="AE683" s="214">
        <v>2005</v>
      </c>
      <c r="AF683" s="214">
        <v>5.3236999999999997</v>
      </c>
      <c r="AG683" s="214">
        <v>-99</v>
      </c>
      <c r="AH683" s="212" t="s">
        <v>224</v>
      </c>
      <c r="AI683" s="212" t="s">
        <v>449</v>
      </c>
      <c r="AJ683" s="212" t="s">
        <v>224</v>
      </c>
      <c r="AK683" s="212" t="s">
        <v>531</v>
      </c>
      <c r="AL683" s="212" t="s">
        <v>543</v>
      </c>
      <c r="AM683" s="214" t="b">
        <v>0</v>
      </c>
      <c r="AN683" s="214" t="b">
        <v>0</v>
      </c>
      <c r="AO683" s="212" t="s">
        <v>544</v>
      </c>
      <c r="AP683" s="212" t="s">
        <v>545</v>
      </c>
      <c r="AQ683" s="214">
        <v>100.20194000000001</v>
      </c>
      <c r="AR683" s="214" t="b">
        <v>0</v>
      </c>
      <c r="AS683" s="212" t="s">
        <v>534</v>
      </c>
      <c r="AU683" s="222" t="s">
        <v>819</v>
      </c>
    </row>
    <row r="684" spans="1:47" x14ac:dyDescent="0.25">
      <c r="A684" s="245">
        <f t="shared" si="100"/>
        <v>684</v>
      </c>
      <c r="B684" s="246" t="str">
        <f t="shared" si="101"/>
        <v>Oil Field - Tank</v>
      </c>
      <c r="C684" s="246" t="str">
        <f ca="1">IF(B684="","",VLOOKUP(D684,'Species Data'!B:E,4,FALSE))</f>
        <v>c8_comp</v>
      </c>
      <c r="D684" s="246">
        <f t="shared" ca="1" si="102"/>
        <v>2011</v>
      </c>
      <c r="E684" s="246">
        <f t="shared" ca="1" si="103"/>
        <v>2.8910999999999998</v>
      </c>
      <c r="F684" s="246" t="str">
        <f t="shared" ca="1" si="104"/>
        <v>C-8 Compounds</v>
      </c>
      <c r="G684" s="246">
        <f t="shared" ca="1" si="105"/>
        <v>113.21160686946486</v>
      </c>
      <c r="H684" s="204" t="str">
        <f ca="1">IF(G684="","",IF(VLOOKUP(Tank!F684,'Species Data'!D:F,3,FALSE)=0,"X",IF(G684&lt;44.1,2,1)))</f>
        <v>X</v>
      </c>
      <c r="I684" s="204">
        <f t="shared" ca="1" si="106"/>
        <v>1.3164259710226556</v>
      </c>
      <c r="J684" s="247">
        <f ca="1">IF(I684="","",IF(COUNTIF($D$12:D684,D684)=1,IF(H684=1,I684*H684,IF(H684="X","X",0)),0))</f>
        <v>0</v>
      </c>
      <c r="K684" s="248">
        <f t="shared" ca="1" si="107"/>
        <v>0</v>
      </c>
      <c r="L684" s="212" t="s">
        <v>679</v>
      </c>
      <c r="M684" s="212" t="s">
        <v>448</v>
      </c>
      <c r="N684" s="212" t="s">
        <v>470</v>
      </c>
      <c r="O684" s="213">
        <v>41419</v>
      </c>
      <c r="P684" s="212" t="s">
        <v>531</v>
      </c>
      <c r="Q684" s="214">
        <v>100</v>
      </c>
      <c r="R684" s="212" t="s">
        <v>445</v>
      </c>
      <c r="S684" s="212" t="s">
        <v>532</v>
      </c>
      <c r="T684" s="212" t="s">
        <v>445</v>
      </c>
      <c r="U684" s="212" t="s">
        <v>446</v>
      </c>
      <c r="V684" s="214" t="b">
        <v>1</v>
      </c>
      <c r="W684" s="214">
        <v>1989</v>
      </c>
      <c r="X684" s="214">
        <v>5</v>
      </c>
      <c r="Y684" s="214">
        <v>2</v>
      </c>
      <c r="Z684" s="214">
        <v>4</v>
      </c>
      <c r="AA684" s="212" t="s">
        <v>447</v>
      </c>
      <c r="AB684" s="212" t="s">
        <v>531</v>
      </c>
      <c r="AC684" s="212" t="s">
        <v>533</v>
      </c>
      <c r="AD684" s="214">
        <v>1.2622610000000001</v>
      </c>
      <c r="AE684" s="214">
        <v>2011</v>
      </c>
      <c r="AF684" s="214">
        <v>2.8910999999999998</v>
      </c>
      <c r="AG684" s="214">
        <v>-99</v>
      </c>
      <c r="AH684" s="212" t="s">
        <v>224</v>
      </c>
      <c r="AI684" s="212" t="s">
        <v>449</v>
      </c>
      <c r="AJ684" s="212" t="s">
        <v>224</v>
      </c>
      <c r="AK684" s="212" t="s">
        <v>531</v>
      </c>
      <c r="AL684" s="212" t="s">
        <v>546</v>
      </c>
      <c r="AM684" s="214" t="b">
        <v>0</v>
      </c>
      <c r="AN684" s="214" t="b">
        <v>0</v>
      </c>
      <c r="AO684" s="212" t="s">
        <v>547</v>
      </c>
      <c r="AP684" s="212" t="s">
        <v>548</v>
      </c>
      <c r="AQ684" s="214">
        <v>113.21160686946486</v>
      </c>
      <c r="AR684" s="214" t="b">
        <v>0</v>
      </c>
      <c r="AS684" s="212" t="s">
        <v>534</v>
      </c>
      <c r="AU684" s="222" t="s">
        <v>819</v>
      </c>
    </row>
    <row r="685" spans="1:47" x14ac:dyDescent="0.25">
      <c r="A685" s="245">
        <f t="shared" si="100"/>
        <v>685</v>
      </c>
      <c r="B685" s="246" t="str">
        <f t="shared" si="101"/>
        <v>Oil Field - Tank</v>
      </c>
      <c r="C685" s="246" t="str">
        <f ca="1">IF(B685="","",VLOOKUP(D685,'Species Data'!B:E,4,FALSE))</f>
        <v>c9_comp</v>
      </c>
      <c r="D685" s="246">
        <f t="shared" ca="1" si="102"/>
        <v>2018</v>
      </c>
      <c r="E685" s="246">
        <f t="shared" ca="1" si="103"/>
        <v>1.2675000000000001</v>
      </c>
      <c r="F685" s="246" t="str">
        <f t="shared" ca="1" si="104"/>
        <v>C-9 Compounds</v>
      </c>
      <c r="G685" s="246">
        <f t="shared" ca="1" si="105"/>
        <v>127.23917598649743</v>
      </c>
      <c r="H685" s="204" t="str">
        <f ca="1">IF(G685="","",IF(VLOOKUP(Tank!F685,'Species Data'!D:F,3,FALSE)=0,"X",IF(G685&lt;44.1,2,1)))</f>
        <v>X</v>
      </c>
      <c r="I685" s="204">
        <f t="shared" ca="1" si="106"/>
        <v>0.54975194428533192</v>
      </c>
      <c r="J685" s="247">
        <f ca="1">IF(I685="","",IF(COUNTIF($D$12:D685,D685)=1,IF(H685=1,I685*H685,IF(H685="X","X",0)),0))</f>
        <v>0</v>
      </c>
      <c r="K685" s="248">
        <f t="shared" ca="1" si="107"/>
        <v>0</v>
      </c>
      <c r="L685" s="212" t="s">
        <v>679</v>
      </c>
      <c r="M685" s="212" t="s">
        <v>448</v>
      </c>
      <c r="N685" s="212" t="s">
        <v>470</v>
      </c>
      <c r="O685" s="213">
        <v>41419</v>
      </c>
      <c r="P685" s="212" t="s">
        <v>531</v>
      </c>
      <c r="Q685" s="214">
        <v>100</v>
      </c>
      <c r="R685" s="212" t="s">
        <v>445</v>
      </c>
      <c r="S685" s="212" t="s">
        <v>532</v>
      </c>
      <c r="T685" s="212" t="s">
        <v>445</v>
      </c>
      <c r="U685" s="212" t="s">
        <v>446</v>
      </c>
      <c r="V685" s="214" t="b">
        <v>1</v>
      </c>
      <c r="W685" s="214">
        <v>1989</v>
      </c>
      <c r="X685" s="214">
        <v>5</v>
      </c>
      <c r="Y685" s="214">
        <v>2</v>
      </c>
      <c r="Z685" s="214">
        <v>4</v>
      </c>
      <c r="AA685" s="212" t="s">
        <v>447</v>
      </c>
      <c r="AB685" s="212" t="s">
        <v>531</v>
      </c>
      <c r="AC685" s="212" t="s">
        <v>533</v>
      </c>
      <c r="AD685" s="214">
        <v>1.2622610000000001</v>
      </c>
      <c r="AE685" s="214">
        <v>2018</v>
      </c>
      <c r="AF685" s="214">
        <v>1.2675000000000001</v>
      </c>
      <c r="AG685" s="214">
        <v>-99</v>
      </c>
      <c r="AH685" s="212" t="s">
        <v>224</v>
      </c>
      <c r="AI685" s="212" t="s">
        <v>449</v>
      </c>
      <c r="AJ685" s="212" t="s">
        <v>224</v>
      </c>
      <c r="AK685" s="212" t="s">
        <v>531</v>
      </c>
      <c r="AL685" s="212" t="s">
        <v>464</v>
      </c>
      <c r="AM685" s="214" t="b">
        <v>0</v>
      </c>
      <c r="AN685" s="214" t="b">
        <v>0</v>
      </c>
      <c r="AO685" s="212" t="s">
        <v>549</v>
      </c>
      <c r="AP685" s="212" t="s">
        <v>550</v>
      </c>
      <c r="AQ685" s="214">
        <v>127.23917598649743</v>
      </c>
      <c r="AR685" s="214" t="b">
        <v>0</v>
      </c>
      <c r="AS685" s="212" t="s">
        <v>534</v>
      </c>
      <c r="AU685" s="222" t="s">
        <v>819</v>
      </c>
    </row>
    <row r="686" spans="1:47" x14ac:dyDescent="0.25">
      <c r="A686" s="245" t="str">
        <f t="shared" si="100"/>
        <v/>
      </c>
      <c r="B686" s="246" t="str">
        <f t="shared" si="101"/>
        <v/>
      </c>
      <c r="C686" s="246" t="str">
        <f>IF(B686="","",VLOOKUP(D686,'Species Data'!B:E,4,FALSE))</f>
        <v/>
      </c>
      <c r="D686" s="246" t="str">
        <f t="shared" ca="1" si="102"/>
        <v/>
      </c>
      <c r="E686" s="246" t="str">
        <f t="shared" ca="1" si="103"/>
        <v/>
      </c>
      <c r="F686" s="246" t="str">
        <f t="shared" ca="1" si="104"/>
        <v/>
      </c>
      <c r="G686" s="246" t="str">
        <f t="shared" ca="1" si="105"/>
        <v/>
      </c>
      <c r="H686" s="204" t="str">
        <f ca="1">IF(G686="","",IF(VLOOKUP(Tank!F686,'Species Data'!D:F,3,FALSE)=0,"X",IF(G686&lt;44.1,2,1)))</f>
        <v/>
      </c>
      <c r="I686" s="204" t="str">
        <f t="shared" ca="1" si="106"/>
        <v/>
      </c>
      <c r="J686" s="247" t="str">
        <f ca="1">IF(I686="","",IF(COUNTIF($D$12:D686,D686)=1,IF(H686=1,I686*H686,IF(H686="X","X",0)),0))</f>
        <v/>
      </c>
      <c r="K686" s="248" t="str">
        <f t="shared" ca="1" si="107"/>
        <v/>
      </c>
      <c r="L686" s="280" t="s">
        <v>767</v>
      </c>
      <c r="M686" s="219"/>
      <c r="AE686" s="219" t="s">
        <v>777</v>
      </c>
      <c r="AF686" s="219">
        <v>2.98</v>
      </c>
      <c r="AO686" s="219" t="s">
        <v>577</v>
      </c>
      <c r="AQ686" s="219">
        <v>86.175359999999998</v>
      </c>
      <c r="AU686" s="222" t="s">
        <v>821</v>
      </c>
    </row>
    <row r="687" spans="1:47" x14ac:dyDescent="0.25">
      <c r="A687" s="245" t="str">
        <f t="shared" si="100"/>
        <v/>
      </c>
      <c r="B687" s="246" t="str">
        <f t="shared" si="101"/>
        <v/>
      </c>
      <c r="C687" s="246" t="str">
        <f>IF(B687="","",VLOOKUP(D687,'Species Data'!B:E,4,FALSE))</f>
        <v/>
      </c>
      <c r="D687" s="246" t="str">
        <f t="shared" ca="1" si="102"/>
        <v/>
      </c>
      <c r="E687" s="246" t="str">
        <f t="shared" ca="1" si="103"/>
        <v/>
      </c>
      <c r="F687" s="246" t="str">
        <f t="shared" ca="1" si="104"/>
        <v/>
      </c>
      <c r="G687" s="246" t="str">
        <f t="shared" ca="1" si="105"/>
        <v/>
      </c>
      <c r="H687" s="204" t="str">
        <f ca="1">IF(G687="","",IF(VLOOKUP(Tank!F687,'Species Data'!D:F,3,FALSE)=0,"X",IF(G687&lt;44.1,2,1)))</f>
        <v/>
      </c>
      <c r="I687" s="204" t="str">
        <f t="shared" ca="1" si="106"/>
        <v/>
      </c>
      <c r="J687" s="247" t="str">
        <f ca="1">IF(I687="","",IF(COUNTIF($D$12:D687,D687)=1,IF(H687=1,I687*H687,IF(H687="X","X",0)),0))</f>
        <v/>
      </c>
      <c r="K687" s="248" t="str">
        <f t="shared" ca="1" si="107"/>
        <v/>
      </c>
      <c r="L687" s="280" t="s">
        <v>767</v>
      </c>
      <c r="M687" s="219"/>
      <c r="AE687">
        <v>529</v>
      </c>
      <c r="AF687" s="219">
        <v>33.92</v>
      </c>
      <c r="AO687" s="219" t="s">
        <v>272</v>
      </c>
      <c r="AQ687" s="219">
        <v>16.042459999999998</v>
      </c>
      <c r="AU687" s="222" t="s">
        <v>821</v>
      </c>
    </row>
    <row r="688" spans="1:47" x14ac:dyDescent="0.25">
      <c r="A688" s="245" t="str">
        <f t="shared" si="100"/>
        <v/>
      </c>
      <c r="B688" s="246" t="str">
        <f t="shared" si="101"/>
        <v/>
      </c>
      <c r="C688" s="246" t="str">
        <f>IF(B688="","",VLOOKUP(D688,'Species Data'!B:E,4,FALSE))</f>
        <v/>
      </c>
      <c r="D688" s="246" t="str">
        <f t="shared" ca="1" si="102"/>
        <v/>
      </c>
      <c r="E688" s="246" t="str">
        <f t="shared" ca="1" si="103"/>
        <v/>
      </c>
      <c r="F688" s="246" t="str">
        <f t="shared" ca="1" si="104"/>
        <v/>
      </c>
      <c r="G688" s="246" t="str">
        <f t="shared" ca="1" si="105"/>
        <v/>
      </c>
      <c r="H688" s="204" t="str">
        <f ca="1">IF(G688="","",IF(VLOOKUP(Tank!F688,'Species Data'!D:F,3,FALSE)=0,"X",IF(G688&lt;44.1,2,1)))</f>
        <v/>
      </c>
      <c r="I688" s="204" t="str">
        <f t="shared" ca="1" si="106"/>
        <v/>
      </c>
      <c r="J688" s="247" t="str">
        <f ca="1">IF(I688="","",IF(COUNTIF($D$12:D688,D688)=1,IF(H688=1,I688*H688,IF(H688="X","X",0)),0))</f>
        <v/>
      </c>
      <c r="K688" s="248" t="str">
        <f t="shared" ca="1" si="107"/>
        <v/>
      </c>
      <c r="L688" s="280" t="s">
        <v>767</v>
      </c>
      <c r="M688" s="219"/>
      <c r="AE688">
        <v>1166</v>
      </c>
      <c r="AF688" s="219">
        <v>38.96</v>
      </c>
      <c r="AO688" s="219" t="s">
        <v>578</v>
      </c>
      <c r="AQ688" s="219">
        <v>78.111840000000001</v>
      </c>
      <c r="AU688" s="222" t="s">
        <v>821</v>
      </c>
    </row>
    <row r="689" spans="1:47" x14ac:dyDescent="0.25">
      <c r="A689" s="245" t="str">
        <f t="shared" si="100"/>
        <v/>
      </c>
      <c r="B689" s="246" t="str">
        <f t="shared" si="101"/>
        <v/>
      </c>
      <c r="C689" s="246" t="str">
        <f>IF(B689="","",VLOOKUP(D689,'Species Data'!B:E,4,FALSE))</f>
        <v/>
      </c>
      <c r="D689" s="246" t="str">
        <f t="shared" ca="1" si="102"/>
        <v/>
      </c>
      <c r="E689" s="246" t="str">
        <f t="shared" ca="1" si="103"/>
        <v/>
      </c>
      <c r="F689" s="246" t="str">
        <f t="shared" ca="1" si="104"/>
        <v/>
      </c>
      <c r="G689" s="246" t="str">
        <f t="shared" ca="1" si="105"/>
        <v/>
      </c>
      <c r="H689" s="204" t="str">
        <f ca="1">IF(G689="","",IF(VLOOKUP(Tank!F689,'Species Data'!D:F,3,FALSE)=0,"X",IF(G689&lt;44.1,2,1)))</f>
        <v/>
      </c>
      <c r="I689" s="204" t="str">
        <f t="shared" ca="1" si="106"/>
        <v/>
      </c>
      <c r="J689" s="247" t="str">
        <f ca="1">IF(I689="","",IF(COUNTIF($D$12:D689,D689)=1,IF(H689=1,I689*H689,IF(H689="X","X",0)),0))</f>
        <v/>
      </c>
      <c r="K689" s="248" t="str">
        <f t="shared" ca="1" si="107"/>
        <v/>
      </c>
      <c r="L689" s="280" t="s">
        <v>767</v>
      </c>
      <c r="M689" s="219"/>
      <c r="AE689">
        <v>438</v>
      </c>
      <c r="AF689" s="219">
        <v>8.42</v>
      </c>
      <c r="AO689" s="219" t="s">
        <v>266</v>
      </c>
      <c r="AQ689" s="219">
        <v>30.069040000000001</v>
      </c>
      <c r="AU689" s="222" t="s">
        <v>821</v>
      </c>
    </row>
    <row r="690" spans="1:47" x14ac:dyDescent="0.25">
      <c r="A690" s="245" t="str">
        <f t="shared" si="100"/>
        <v/>
      </c>
      <c r="B690" s="246" t="str">
        <f t="shared" si="101"/>
        <v/>
      </c>
      <c r="C690" s="246" t="str">
        <f>IF(B690="","",VLOOKUP(D690,'Species Data'!B:E,4,FALSE))</f>
        <v/>
      </c>
      <c r="D690" s="246" t="str">
        <f t="shared" ca="1" si="102"/>
        <v/>
      </c>
      <c r="E690" s="246" t="str">
        <f t="shared" ca="1" si="103"/>
        <v/>
      </c>
      <c r="F690" s="246" t="str">
        <f t="shared" ca="1" si="104"/>
        <v/>
      </c>
      <c r="G690" s="246" t="str">
        <f t="shared" ca="1" si="105"/>
        <v/>
      </c>
      <c r="H690" s="204" t="str">
        <f ca="1">IF(G690="","",IF(VLOOKUP(Tank!F690,'Species Data'!D:F,3,FALSE)=0,"X",IF(G690&lt;44.1,2,1)))</f>
        <v/>
      </c>
      <c r="I690" s="204" t="str">
        <f t="shared" ca="1" si="106"/>
        <v/>
      </c>
      <c r="J690" s="247" t="str">
        <f ca="1">IF(I690="","",IF(COUNTIF($D$12:D690,D690)=1,IF(H690=1,I690*H690,IF(H690="X","X",0)),0))</f>
        <v/>
      </c>
      <c r="K690" s="248" t="str">
        <f t="shared" ca="1" si="107"/>
        <v/>
      </c>
      <c r="L690" s="280" t="s">
        <v>767</v>
      </c>
      <c r="M690" s="219"/>
      <c r="AE690">
        <v>671</v>
      </c>
      <c r="AF690" s="219">
        <v>4.5</v>
      </c>
      <c r="AO690" s="219" t="s">
        <v>289</v>
      </c>
      <c r="AQ690" s="219">
        <v>44.09</v>
      </c>
      <c r="AU690" s="222" t="s">
        <v>821</v>
      </c>
    </row>
    <row r="691" spans="1:47" x14ac:dyDescent="0.25">
      <c r="A691" s="245" t="str">
        <f t="shared" si="100"/>
        <v/>
      </c>
      <c r="B691" s="246" t="str">
        <f t="shared" si="101"/>
        <v/>
      </c>
      <c r="C691" s="246" t="str">
        <f>IF(B691="","",VLOOKUP(D691,'Species Data'!B:E,4,FALSE))</f>
        <v/>
      </c>
      <c r="D691" s="246" t="str">
        <f t="shared" ca="1" si="102"/>
        <v/>
      </c>
      <c r="E691" s="246" t="str">
        <f t="shared" ca="1" si="103"/>
        <v/>
      </c>
      <c r="F691" s="246" t="str">
        <f t="shared" ca="1" si="104"/>
        <v/>
      </c>
      <c r="G691" s="246" t="str">
        <f t="shared" ca="1" si="105"/>
        <v/>
      </c>
      <c r="H691" s="204" t="str">
        <f ca="1">IF(G691="","",IF(VLOOKUP(Tank!F691,'Species Data'!D:F,3,FALSE)=0,"X",IF(G691&lt;44.1,2,1)))</f>
        <v/>
      </c>
      <c r="I691" s="204" t="str">
        <f t="shared" ca="1" si="106"/>
        <v/>
      </c>
      <c r="J691" s="247" t="str">
        <f ca="1">IF(I691="","",IF(COUNTIF($D$12:D691,D691)=1,IF(H691=1,I691*H691,IF(H691="X","X",0)),0))</f>
        <v/>
      </c>
      <c r="K691" s="248" t="str">
        <f t="shared" ca="1" si="107"/>
        <v/>
      </c>
      <c r="L691" s="280" t="s">
        <v>767</v>
      </c>
      <c r="M691" s="219"/>
      <c r="AE691" s="219">
        <v>491</v>
      </c>
      <c r="AF691" s="219">
        <v>1.02</v>
      </c>
      <c r="AO691" s="219" t="s">
        <v>269</v>
      </c>
      <c r="AQ691" s="219">
        <v>58.122</v>
      </c>
      <c r="AU691" s="222" t="s">
        <v>821</v>
      </c>
    </row>
    <row r="692" spans="1:47" x14ac:dyDescent="0.25">
      <c r="A692" s="245" t="str">
        <f t="shared" si="100"/>
        <v/>
      </c>
      <c r="B692" s="246" t="str">
        <f t="shared" si="101"/>
        <v/>
      </c>
      <c r="C692" s="246" t="str">
        <f>IF(B692="","",VLOOKUP(D692,'Species Data'!B:E,4,FALSE))</f>
        <v/>
      </c>
      <c r="D692" s="246" t="str">
        <f t="shared" ca="1" si="102"/>
        <v/>
      </c>
      <c r="E692" s="246" t="str">
        <f t="shared" ca="1" si="103"/>
        <v/>
      </c>
      <c r="F692" s="246" t="str">
        <f t="shared" ca="1" si="104"/>
        <v/>
      </c>
      <c r="G692" s="246" t="str">
        <f t="shared" ca="1" si="105"/>
        <v/>
      </c>
      <c r="H692" s="204" t="str">
        <f ca="1">IF(G692="","",IF(VLOOKUP(Tank!F692,'Species Data'!D:F,3,FALSE)=0,"X",IF(G692&lt;44.1,2,1)))</f>
        <v/>
      </c>
      <c r="I692" s="204" t="str">
        <f t="shared" ca="1" si="106"/>
        <v/>
      </c>
      <c r="J692" s="247" t="str">
        <f ca="1">IF(I692="","",IF(COUNTIF($D$12:D692,D692)=1,IF(H692=1,I692*H692,IF(H692="X","X",0)),0))</f>
        <v/>
      </c>
      <c r="K692" s="248" t="str">
        <f t="shared" ca="1" si="107"/>
        <v/>
      </c>
      <c r="L692" s="280" t="s">
        <v>767</v>
      </c>
      <c r="M692" s="219"/>
      <c r="AE692">
        <v>592</v>
      </c>
      <c r="AF692" s="219">
        <v>2.0299999999999998</v>
      </c>
      <c r="AO692" s="219" t="s">
        <v>274</v>
      </c>
      <c r="AQ692" s="219">
        <v>58.122199999999999</v>
      </c>
      <c r="AU692" s="222" t="s">
        <v>821</v>
      </c>
    </row>
    <row r="693" spans="1:47" x14ac:dyDescent="0.25">
      <c r="A693" s="245" t="str">
        <f t="shared" si="100"/>
        <v/>
      </c>
      <c r="B693" s="246" t="str">
        <f t="shared" si="101"/>
        <v/>
      </c>
      <c r="C693" s="246" t="str">
        <f>IF(B693="","",VLOOKUP(D693,'Species Data'!B:E,4,FALSE))</f>
        <v/>
      </c>
      <c r="D693" s="246" t="str">
        <f t="shared" ca="1" si="102"/>
        <v/>
      </c>
      <c r="E693" s="246" t="str">
        <f t="shared" ca="1" si="103"/>
        <v/>
      </c>
      <c r="F693" s="246" t="str">
        <f t="shared" ca="1" si="104"/>
        <v/>
      </c>
      <c r="G693" s="246" t="str">
        <f t="shared" ca="1" si="105"/>
        <v/>
      </c>
      <c r="H693" s="204" t="str">
        <f ca="1">IF(G693="","",IF(VLOOKUP(Tank!F693,'Species Data'!D:F,3,FALSE)=0,"X",IF(G693&lt;44.1,2,1)))</f>
        <v/>
      </c>
      <c r="I693" s="204" t="str">
        <f t="shared" ca="1" si="106"/>
        <v/>
      </c>
      <c r="J693" s="247" t="str">
        <f ca="1">IF(I693="","",IF(COUNTIF($D$12:D693,D693)=1,IF(H693=1,I693*H693,IF(H693="X","X",0)),0))</f>
        <v/>
      </c>
      <c r="K693" s="248" t="str">
        <f t="shared" ca="1" si="107"/>
        <v/>
      </c>
      <c r="L693" s="280" t="s">
        <v>767</v>
      </c>
      <c r="M693" s="219"/>
      <c r="AE693" s="219">
        <v>508</v>
      </c>
      <c r="AF693" s="219">
        <v>2.48</v>
      </c>
      <c r="AO693" s="219" t="s">
        <v>343</v>
      </c>
      <c r="AQ693" s="219">
        <v>170.29508000000001</v>
      </c>
      <c r="AU693" s="222" t="s">
        <v>821</v>
      </c>
    </row>
    <row r="694" spans="1:47" x14ac:dyDescent="0.25">
      <c r="A694" s="245" t="str">
        <f t="shared" si="100"/>
        <v/>
      </c>
      <c r="B694" s="246" t="str">
        <f t="shared" si="101"/>
        <v/>
      </c>
      <c r="C694" s="246" t="str">
        <f>IF(B694="","",VLOOKUP(D694,'Species Data'!B:E,4,FALSE))</f>
        <v/>
      </c>
      <c r="D694" s="246" t="str">
        <f t="shared" ca="1" si="102"/>
        <v/>
      </c>
      <c r="E694" s="246" t="str">
        <f t="shared" ca="1" si="103"/>
        <v/>
      </c>
      <c r="F694" s="246" t="str">
        <f t="shared" ca="1" si="104"/>
        <v/>
      </c>
      <c r="G694" s="246" t="str">
        <f t="shared" ca="1" si="105"/>
        <v/>
      </c>
      <c r="H694" s="204" t="str">
        <f ca="1">IF(G694="","",IF(VLOOKUP(Tank!F694,'Species Data'!D:F,3,FALSE)=0,"X",IF(G694&lt;44.1,2,1)))</f>
        <v/>
      </c>
      <c r="I694" s="204" t="str">
        <f t="shared" ca="1" si="106"/>
        <v/>
      </c>
      <c r="J694" s="247" t="str">
        <f ca="1">IF(I694="","",IF(COUNTIF($D$12:D694,D694)=1,IF(H694=1,I694*H694,IF(H694="X","X",0)),0))</f>
        <v/>
      </c>
      <c r="K694" s="248" t="str">
        <f t="shared" ca="1" si="107"/>
        <v/>
      </c>
      <c r="L694" s="280" t="s">
        <v>767</v>
      </c>
      <c r="M694" s="219"/>
      <c r="AE694">
        <v>605</v>
      </c>
      <c r="AF694" s="219">
        <v>1.96</v>
      </c>
      <c r="AO694" s="219" t="s">
        <v>286</v>
      </c>
      <c r="AQ694" s="219">
        <v>72.148780000000002</v>
      </c>
      <c r="AU694" s="222" t="s">
        <v>821</v>
      </c>
    </row>
    <row r="695" spans="1:47" x14ac:dyDescent="0.25">
      <c r="A695" s="245" t="str">
        <f t="shared" si="100"/>
        <v/>
      </c>
      <c r="B695" s="246" t="str">
        <f t="shared" si="101"/>
        <v/>
      </c>
      <c r="C695" s="246" t="str">
        <f>IF(B695="","",VLOOKUP(D695,'Species Data'!B:E,4,FALSE))</f>
        <v/>
      </c>
      <c r="D695" s="246" t="str">
        <f t="shared" ca="1" si="102"/>
        <v/>
      </c>
      <c r="E695" s="246" t="str">
        <f t="shared" ca="1" si="103"/>
        <v/>
      </c>
      <c r="F695" s="246" t="str">
        <f t="shared" ca="1" si="104"/>
        <v/>
      </c>
      <c r="G695" s="246" t="str">
        <f t="shared" ca="1" si="105"/>
        <v/>
      </c>
      <c r="H695" s="204" t="str">
        <f ca="1">IF(G695="","",IF(VLOOKUP(Tank!F695,'Species Data'!D:F,3,FALSE)=0,"X",IF(G695&lt;44.1,2,1)))</f>
        <v/>
      </c>
      <c r="I695" s="204" t="str">
        <f t="shared" ca="1" si="106"/>
        <v/>
      </c>
      <c r="J695" s="247" t="str">
        <f ca="1">IF(I695="","",IF(COUNTIF($D$12:D695,D695)=1,IF(H695=1,I695*H695,IF(H695="X","X",0)),0))</f>
        <v/>
      </c>
      <c r="K695" s="248" t="str">
        <f t="shared" ca="1" si="107"/>
        <v/>
      </c>
      <c r="L695" s="280" t="s">
        <v>767</v>
      </c>
      <c r="M695" s="219"/>
      <c r="AE695">
        <v>2127</v>
      </c>
      <c r="AF695" s="219">
        <v>0.55000000000000004</v>
      </c>
      <c r="AO695" t="s">
        <v>771</v>
      </c>
      <c r="AQ695" s="219">
        <v>86.175359999999998</v>
      </c>
      <c r="AU695" s="222" t="s">
        <v>821</v>
      </c>
    </row>
    <row r="696" spans="1:47" x14ac:dyDescent="0.25">
      <c r="A696" s="245" t="str">
        <f t="shared" si="100"/>
        <v/>
      </c>
      <c r="B696" s="246" t="str">
        <f t="shared" si="101"/>
        <v/>
      </c>
      <c r="C696" s="246" t="str">
        <f>IF(B696="","",VLOOKUP(D696,'Species Data'!B:E,4,FALSE))</f>
        <v/>
      </c>
      <c r="D696" s="246" t="str">
        <f t="shared" ca="1" si="102"/>
        <v/>
      </c>
      <c r="E696" s="246" t="str">
        <f t="shared" ca="1" si="103"/>
        <v/>
      </c>
      <c r="F696" s="246" t="str">
        <f t="shared" ca="1" si="104"/>
        <v/>
      </c>
      <c r="G696" s="246" t="str">
        <f t="shared" ca="1" si="105"/>
        <v/>
      </c>
      <c r="H696" s="204" t="str">
        <f ca="1">IF(G696="","",IF(VLOOKUP(Tank!F696,'Species Data'!D:F,3,FALSE)=0,"X",IF(G696&lt;44.1,2,1)))</f>
        <v/>
      </c>
      <c r="I696" s="204" t="str">
        <f t="shared" ca="1" si="106"/>
        <v/>
      </c>
      <c r="J696" s="247" t="str">
        <f ca="1">IF(I696="","",IF(COUNTIF($D$12:D696,D696)=1,IF(H696=1,I696*H696,IF(H696="X","X",0)),0))</f>
        <v/>
      </c>
      <c r="K696" s="248" t="str">
        <f t="shared" ca="1" si="107"/>
        <v/>
      </c>
      <c r="L696" s="280" t="s">
        <v>767</v>
      </c>
      <c r="M696" s="219"/>
      <c r="AE696">
        <v>601</v>
      </c>
      <c r="AF696" s="219">
        <v>0.43</v>
      </c>
      <c r="AO696" s="219" t="s">
        <v>280</v>
      </c>
      <c r="AQ696" s="219">
        <v>86.175359999999998</v>
      </c>
      <c r="AU696" s="222" t="s">
        <v>821</v>
      </c>
    </row>
    <row r="697" spans="1:47" x14ac:dyDescent="0.25">
      <c r="A697" s="245" t="str">
        <f t="shared" si="100"/>
        <v/>
      </c>
      <c r="B697" s="246" t="str">
        <f t="shared" si="101"/>
        <v/>
      </c>
      <c r="C697" s="246" t="str">
        <f>IF(B697="","",VLOOKUP(D697,'Species Data'!B:E,4,FALSE))</f>
        <v/>
      </c>
      <c r="D697" s="246" t="str">
        <f t="shared" ca="1" si="102"/>
        <v/>
      </c>
      <c r="E697" s="246" t="str">
        <f t="shared" ca="1" si="103"/>
        <v/>
      </c>
      <c r="F697" s="246" t="str">
        <f t="shared" ca="1" si="104"/>
        <v/>
      </c>
      <c r="G697" s="246" t="str">
        <f t="shared" ca="1" si="105"/>
        <v/>
      </c>
      <c r="H697" s="204" t="str">
        <f ca="1">IF(G697="","",IF(VLOOKUP(Tank!F697,'Species Data'!D:F,3,FALSE)=0,"X",IF(G697&lt;44.1,2,1)))</f>
        <v/>
      </c>
      <c r="I697" s="204" t="str">
        <f t="shared" ca="1" si="106"/>
        <v/>
      </c>
      <c r="J697" s="247" t="str">
        <f ca="1">IF(I697="","",IF(COUNTIF($D$12:D697,D697)=1,IF(H697=1,I697*H697,IF(H697="X","X",0)),0))</f>
        <v/>
      </c>
      <c r="K697" s="248" t="str">
        <f t="shared" ca="1" si="107"/>
        <v/>
      </c>
      <c r="L697" s="280" t="s">
        <v>767</v>
      </c>
      <c r="M697" s="219"/>
      <c r="AE697">
        <v>302</v>
      </c>
      <c r="AF697" s="219">
        <v>0.1</v>
      </c>
      <c r="AO697" s="219" t="s">
        <v>263</v>
      </c>
      <c r="AQ697" s="219">
        <v>78.111840000000001</v>
      </c>
      <c r="AU697" s="222" t="s">
        <v>821</v>
      </c>
    </row>
    <row r="698" spans="1:47" x14ac:dyDescent="0.25">
      <c r="A698" s="245" t="str">
        <f t="shared" si="100"/>
        <v/>
      </c>
      <c r="B698" s="246" t="str">
        <f t="shared" si="101"/>
        <v/>
      </c>
      <c r="C698" s="246" t="str">
        <f>IF(B698="","",VLOOKUP(D698,'Species Data'!B:E,4,FALSE))</f>
        <v/>
      </c>
      <c r="D698" s="246" t="str">
        <f t="shared" ca="1" si="102"/>
        <v/>
      </c>
      <c r="E698" s="246" t="str">
        <f t="shared" ca="1" si="103"/>
        <v/>
      </c>
      <c r="F698" s="246" t="str">
        <f t="shared" ca="1" si="104"/>
        <v/>
      </c>
      <c r="G698" s="246" t="str">
        <f t="shared" ca="1" si="105"/>
        <v/>
      </c>
      <c r="H698" s="204" t="str">
        <f ca="1">IF(G698="","",IF(VLOOKUP(Tank!F698,'Species Data'!D:F,3,FALSE)=0,"X",IF(G698&lt;44.1,2,1)))</f>
        <v/>
      </c>
      <c r="I698" s="204" t="str">
        <f t="shared" ca="1" si="106"/>
        <v/>
      </c>
      <c r="J698" s="247" t="str">
        <f ca="1">IF(I698="","",IF(COUNTIF($D$12:D698,D698)=1,IF(H698=1,I698*H698,IF(H698="X","X",0)),0))</f>
        <v/>
      </c>
      <c r="K698" s="248" t="str">
        <f t="shared" ca="1" si="107"/>
        <v/>
      </c>
      <c r="L698" s="280" t="s">
        <v>767</v>
      </c>
      <c r="M698" s="219"/>
      <c r="AE698">
        <v>385</v>
      </c>
      <c r="AF698" s="219">
        <v>0.15</v>
      </c>
      <c r="AO698" s="219" t="s">
        <v>332</v>
      </c>
      <c r="AQ698" s="219">
        <v>84.159480000000002</v>
      </c>
      <c r="AU698" s="222" t="s">
        <v>821</v>
      </c>
    </row>
    <row r="699" spans="1:47" x14ac:dyDescent="0.25">
      <c r="A699" s="245" t="str">
        <f t="shared" si="100"/>
        <v/>
      </c>
      <c r="B699" s="246" t="str">
        <f t="shared" si="101"/>
        <v/>
      </c>
      <c r="C699" s="246" t="str">
        <f>IF(B699="","",VLOOKUP(D699,'Species Data'!B:E,4,FALSE))</f>
        <v/>
      </c>
      <c r="D699" s="246" t="str">
        <f t="shared" ca="1" si="102"/>
        <v/>
      </c>
      <c r="E699" s="246" t="str">
        <f t="shared" ca="1" si="103"/>
        <v/>
      </c>
      <c r="F699" s="246" t="str">
        <f t="shared" ca="1" si="104"/>
        <v/>
      </c>
      <c r="G699" s="246" t="str">
        <f t="shared" ca="1" si="105"/>
        <v/>
      </c>
      <c r="H699" s="204" t="str">
        <f ca="1">IF(G699="","",IF(VLOOKUP(Tank!F699,'Species Data'!D:F,3,FALSE)=0,"X",IF(G699&lt;44.1,2,1)))</f>
        <v/>
      </c>
      <c r="I699" s="204" t="str">
        <f t="shared" ca="1" si="106"/>
        <v/>
      </c>
      <c r="J699" s="247" t="str">
        <f ca="1">IF(I699="","",IF(COUNTIF($D$12:D699,D699)=1,IF(H699=1,I699*H699,IF(H699="X","X",0)),0))</f>
        <v/>
      </c>
      <c r="K699" s="248" t="str">
        <f t="shared" ca="1" si="107"/>
        <v/>
      </c>
      <c r="L699" s="280" t="s">
        <v>767</v>
      </c>
      <c r="M699" s="219"/>
      <c r="AE699">
        <v>2126</v>
      </c>
      <c r="AF699" s="219">
        <v>0.62</v>
      </c>
      <c r="AO699" t="s">
        <v>772</v>
      </c>
      <c r="AQ699" s="219">
        <v>112.21263999999999</v>
      </c>
      <c r="AU699" s="222" t="s">
        <v>821</v>
      </c>
    </row>
    <row r="700" spans="1:47" x14ac:dyDescent="0.25">
      <c r="A700" s="245" t="str">
        <f t="shared" si="100"/>
        <v/>
      </c>
      <c r="B700" s="246" t="str">
        <f t="shared" si="101"/>
        <v/>
      </c>
      <c r="C700" s="246" t="str">
        <f>IF(B700="","",VLOOKUP(D700,'Species Data'!B:E,4,FALSE))</f>
        <v/>
      </c>
      <c r="D700" s="246" t="str">
        <f t="shared" ca="1" si="102"/>
        <v/>
      </c>
      <c r="E700" s="246" t="str">
        <f t="shared" ca="1" si="103"/>
        <v/>
      </c>
      <c r="F700" s="246" t="str">
        <f t="shared" ca="1" si="104"/>
        <v/>
      </c>
      <c r="G700" s="246" t="str">
        <f t="shared" ca="1" si="105"/>
        <v/>
      </c>
      <c r="H700" s="204" t="str">
        <f ca="1">IF(G700="","",IF(VLOOKUP(Tank!F700,'Species Data'!D:F,3,FALSE)=0,"X",IF(G700&lt;44.1,2,1)))</f>
        <v/>
      </c>
      <c r="I700" s="204" t="str">
        <f t="shared" ca="1" si="106"/>
        <v/>
      </c>
      <c r="J700" s="247" t="str">
        <f ca="1">IF(I700="","",IF(COUNTIF($D$12:D700,D700)=1,IF(H700=1,I700*H700,IF(H700="X","X",0)),0))</f>
        <v/>
      </c>
      <c r="K700" s="248" t="str">
        <f t="shared" ca="1" si="107"/>
        <v/>
      </c>
      <c r="L700" s="280" t="s">
        <v>767</v>
      </c>
      <c r="AE700">
        <v>600</v>
      </c>
      <c r="AF700" s="219">
        <v>0.3</v>
      </c>
      <c r="AO700" s="219" t="s">
        <v>277</v>
      </c>
      <c r="AQ700" s="219">
        <v>100.20193999999999</v>
      </c>
      <c r="AU700" s="222" t="s">
        <v>821</v>
      </c>
    </row>
    <row r="701" spans="1:47" x14ac:dyDescent="0.25">
      <c r="A701" s="245" t="str">
        <f t="shared" si="100"/>
        <v/>
      </c>
      <c r="B701" s="246" t="str">
        <f t="shared" si="101"/>
        <v/>
      </c>
      <c r="C701" s="246" t="str">
        <f>IF(B701="","",VLOOKUP(D701,'Species Data'!B:E,4,FALSE))</f>
        <v/>
      </c>
      <c r="D701" s="246" t="str">
        <f t="shared" ca="1" si="102"/>
        <v/>
      </c>
      <c r="E701" s="246" t="str">
        <f t="shared" ca="1" si="103"/>
        <v/>
      </c>
      <c r="F701" s="246" t="str">
        <f t="shared" ca="1" si="104"/>
        <v/>
      </c>
      <c r="G701" s="246" t="str">
        <f t="shared" ca="1" si="105"/>
        <v/>
      </c>
      <c r="H701" s="204" t="str">
        <f ca="1">IF(G701="","",IF(VLOOKUP(Tank!F701,'Species Data'!D:F,3,FALSE)=0,"X",IF(G701&lt;44.1,2,1)))</f>
        <v/>
      </c>
      <c r="I701" s="204" t="str">
        <f t="shared" ca="1" si="106"/>
        <v/>
      </c>
      <c r="J701" s="247" t="str">
        <f ca="1">IF(I701="","",IF(COUNTIF($D$12:D701,D701)=1,IF(H701=1,I701*H701,IF(H701="X","X",0)),0))</f>
        <v/>
      </c>
      <c r="K701" s="248" t="str">
        <f t="shared" ca="1" si="107"/>
        <v/>
      </c>
      <c r="L701" s="280" t="s">
        <v>767</v>
      </c>
      <c r="AE701">
        <v>717</v>
      </c>
      <c r="AF701" s="219">
        <v>0.31</v>
      </c>
      <c r="AO701" s="219" t="s">
        <v>295</v>
      </c>
      <c r="AQ701" s="219">
        <v>72.148780000000002</v>
      </c>
      <c r="AU701" s="222" t="s">
        <v>821</v>
      </c>
    </row>
    <row r="702" spans="1:47" x14ac:dyDescent="0.25">
      <c r="A702" s="245" t="str">
        <f t="shared" si="100"/>
        <v/>
      </c>
      <c r="B702" s="246" t="str">
        <f t="shared" si="101"/>
        <v/>
      </c>
      <c r="C702" s="246" t="str">
        <f>IF(B702="","",VLOOKUP(D702,'Species Data'!B:E,4,FALSE))</f>
        <v/>
      </c>
      <c r="D702" s="246" t="str">
        <f t="shared" ca="1" si="102"/>
        <v/>
      </c>
      <c r="E702" s="246" t="str">
        <f t="shared" ca="1" si="103"/>
        <v/>
      </c>
      <c r="F702" s="246" t="str">
        <f t="shared" ca="1" si="104"/>
        <v/>
      </c>
      <c r="G702" s="246" t="str">
        <f t="shared" ca="1" si="105"/>
        <v/>
      </c>
      <c r="H702" s="204" t="str">
        <f ca="1">IF(G702="","",IF(VLOOKUP(Tank!F702,'Species Data'!D:F,3,FALSE)=0,"X",IF(G702&lt;44.1,2,1)))</f>
        <v/>
      </c>
      <c r="I702" s="204" t="str">
        <f t="shared" ca="1" si="106"/>
        <v/>
      </c>
      <c r="J702" s="247" t="str">
        <f ca="1">IF(I702="","",IF(COUNTIF($D$12:D702,D702)=1,IF(H702=1,I702*H702,IF(H702="X","X",0)),0))</f>
        <v/>
      </c>
      <c r="K702" s="248" t="str">
        <f t="shared" ca="1" si="107"/>
        <v/>
      </c>
      <c r="L702" s="280" t="s">
        <v>767</v>
      </c>
      <c r="AE702">
        <v>2130</v>
      </c>
      <c r="AF702" s="219">
        <v>0.7</v>
      </c>
      <c r="AO702" s="219" t="s">
        <v>773</v>
      </c>
      <c r="AQ702" s="219">
        <v>114.22852</v>
      </c>
      <c r="AU702" s="222" t="s">
        <v>821</v>
      </c>
    </row>
    <row r="703" spans="1:47" x14ac:dyDescent="0.25">
      <c r="A703" s="245" t="str">
        <f t="shared" si="100"/>
        <v/>
      </c>
      <c r="B703" s="246" t="str">
        <f t="shared" si="101"/>
        <v/>
      </c>
      <c r="C703" s="246" t="str">
        <f>IF(B703="","",VLOOKUP(D703,'Species Data'!B:E,4,FALSE))</f>
        <v/>
      </c>
      <c r="D703" s="246" t="str">
        <f t="shared" ca="1" si="102"/>
        <v/>
      </c>
      <c r="E703" s="246" t="str">
        <f t="shared" ca="1" si="103"/>
        <v/>
      </c>
      <c r="F703" s="246" t="str">
        <f t="shared" ca="1" si="104"/>
        <v/>
      </c>
      <c r="G703" s="246" t="str">
        <f t="shared" ca="1" si="105"/>
        <v/>
      </c>
      <c r="H703" s="204" t="str">
        <f ca="1">IF(G703="","",IF(VLOOKUP(Tank!F703,'Species Data'!D:F,3,FALSE)=0,"X",IF(G703&lt;44.1,2,1)))</f>
        <v/>
      </c>
      <c r="I703" s="204" t="str">
        <f t="shared" ca="1" si="106"/>
        <v/>
      </c>
      <c r="J703" s="247" t="str">
        <f ca="1">IF(I703="","",IF(COUNTIF($D$12:D703,D703)=1,IF(H703=1,I703*H703,IF(H703="X","X",0)),0))</f>
        <v/>
      </c>
      <c r="K703" s="248" t="str">
        <f t="shared" ca="1" si="107"/>
        <v/>
      </c>
      <c r="L703" s="280" t="s">
        <v>767</v>
      </c>
      <c r="AE703">
        <v>604</v>
      </c>
      <c r="AF703" s="219">
        <v>0.12</v>
      </c>
      <c r="AO703" s="219" t="s">
        <v>283</v>
      </c>
      <c r="AQ703" s="219">
        <v>114.22852</v>
      </c>
      <c r="AU703" s="222" t="s">
        <v>821</v>
      </c>
    </row>
    <row r="704" spans="1:47" x14ac:dyDescent="0.25">
      <c r="A704" s="245" t="str">
        <f t="shared" si="100"/>
        <v/>
      </c>
      <c r="B704" s="246" t="str">
        <f t="shared" si="101"/>
        <v/>
      </c>
      <c r="C704" s="246" t="str">
        <f>IF(B704="","",VLOOKUP(D704,'Species Data'!B:E,4,FALSE))</f>
        <v/>
      </c>
      <c r="D704" s="246" t="str">
        <f t="shared" ca="1" si="102"/>
        <v/>
      </c>
      <c r="E704" s="246" t="str">
        <f t="shared" ca="1" si="103"/>
        <v/>
      </c>
      <c r="F704" s="246" t="str">
        <f t="shared" ca="1" si="104"/>
        <v/>
      </c>
      <c r="G704" s="246" t="str">
        <f t="shared" ca="1" si="105"/>
        <v/>
      </c>
      <c r="H704" s="204" t="str">
        <f ca="1">IF(G704="","",IF(VLOOKUP(Tank!F704,'Species Data'!D:F,3,FALSE)=0,"X",IF(G704&lt;44.1,2,1)))</f>
        <v/>
      </c>
      <c r="I704" s="204" t="str">
        <f t="shared" ca="1" si="106"/>
        <v/>
      </c>
      <c r="J704" s="247" t="str">
        <f ca="1">IF(I704="","",IF(COUNTIF($D$12:D704,D704)=1,IF(H704=1,I704*H704,IF(H704="X","X",0)),0))</f>
        <v/>
      </c>
      <c r="K704" s="248" t="str">
        <f t="shared" ca="1" si="107"/>
        <v/>
      </c>
      <c r="L704" s="280" t="s">
        <v>767</v>
      </c>
      <c r="AE704">
        <v>449</v>
      </c>
      <c r="AF704" s="219">
        <v>0.01</v>
      </c>
      <c r="AO704" s="219" t="s">
        <v>338</v>
      </c>
      <c r="AQ704" s="219">
        <v>106.16500000000001</v>
      </c>
      <c r="AU704" s="222" t="s">
        <v>821</v>
      </c>
    </row>
    <row r="705" spans="1:47" x14ac:dyDescent="0.25">
      <c r="A705" s="245" t="str">
        <f t="shared" si="100"/>
        <v/>
      </c>
      <c r="B705" s="246" t="str">
        <f t="shared" si="101"/>
        <v/>
      </c>
      <c r="C705" s="246" t="str">
        <f>IF(B705="","",VLOOKUP(D705,'Species Data'!B:E,4,FALSE))</f>
        <v/>
      </c>
      <c r="D705" s="246" t="str">
        <f t="shared" ca="1" si="102"/>
        <v/>
      </c>
      <c r="E705" s="246" t="str">
        <f t="shared" ca="1" si="103"/>
        <v/>
      </c>
      <c r="F705" s="246" t="str">
        <f t="shared" ca="1" si="104"/>
        <v/>
      </c>
      <c r="G705" s="246" t="str">
        <f t="shared" ca="1" si="105"/>
        <v/>
      </c>
      <c r="H705" s="204" t="str">
        <f ca="1">IF(G705="","",IF(VLOOKUP(Tank!F705,'Species Data'!D:F,3,FALSE)=0,"X",IF(G705&lt;44.1,2,1)))</f>
        <v/>
      </c>
      <c r="I705" s="204" t="str">
        <f t="shared" ca="1" si="106"/>
        <v/>
      </c>
      <c r="J705" s="247" t="str">
        <f ca="1">IF(I705="","",IF(COUNTIF($D$12:D705,D705)=1,IF(H705=1,I705*H705,IF(H705="X","X",0)),0))</f>
        <v/>
      </c>
      <c r="K705" s="248" t="str">
        <f t="shared" ca="1" si="107"/>
        <v/>
      </c>
      <c r="L705" s="280" t="s">
        <v>767</v>
      </c>
      <c r="AE705">
        <v>2128</v>
      </c>
      <c r="AF705" s="219">
        <v>0.21</v>
      </c>
      <c r="AO705" s="219" t="s">
        <v>775</v>
      </c>
      <c r="AQ705" s="219">
        <v>112.21263999999999</v>
      </c>
      <c r="AU705" s="222" t="s">
        <v>821</v>
      </c>
    </row>
    <row r="706" spans="1:47" x14ac:dyDescent="0.25">
      <c r="A706" s="245" t="str">
        <f t="shared" si="100"/>
        <v/>
      </c>
      <c r="B706" s="246" t="str">
        <f t="shared" si="101"/>
        <v/>
      </c>
      <c r="C706" s="246" t="str">
        <f>IF(B706="","",VLOOKUP(D706,'Species Data'!B:E,4,FALSE))</f>
        <v/>
      </c>
      <c r="D706" s="246" t="str">
        <f t="shared" ca="1" si="102"/>
        <v/>
      </c>
      <c r="E706" s="246" t="str">
        <f t="shared" ca="1" si="103"/>
        <v/>
      </c>
      <c r="F706" s="246" t="str">
        <f t="shared" ca="1" si="104"/>
        <v/>
      </c>
      <c r="G706" s="246" t="str">
        <f t="shared" ca="1" si="105"/>
        <v/>
      </c>
      <c r="H706" s="204" t="str">
        <f ca="1">IF(G706="","",IF(VLOOKUP(Tank!F706,'Species Data'!D:F,3,FALSE)=0,"X",IF(G706&lt;44.1,2,1)))</f>
        <v/>
      </c>
      <c r="I706" s="204" t="str">
        <f t="shared" ca="1" si="106"/>
        <v/>
      </c>
      <c r="J706" s="247" t="str">
        <f ca="1">IF(I706="","",IF(COUNTIF($D$12:D706,D706)=1,IF(H706=1,I706*H706,IF(H706="X","X",0)),0))</f>
        <v/>
      </c>
      <c r="K706" s="248" t="str">
        <f t="shared" ca="1" si="107"/>
        <v/>
      </c>
      <c r="L706" s="280" t="s">
        <v>767</v>
      </c>
      <c r="AE706">
        <v>603</v>
      </c>
      <c r="AF706" s="219">
        <v>0.04</v>
      </c>
      <c r="AO706" s="219" t="s">
        <v>418</v>
      </c>
      <c r="AQ706" s="219">
        <v>128.2551</v>
      </c>
      <c r="AU706" s="222" t="s">
        <v>821</v>
      </c>
    </row>
    <row r="707" spans="1:47" x14ac:dyDescent="0.25">
      <c r="A707" s="245" t="str">
        <f t="shared" si="100"/>
        <v/>
      </c>
      <c r="B707" s="246" t="str">
        <f t="shared" si="101"/>
        <v/>
      </c>
      <c r="C707" s="246" t="str">
        <f>IF(B707="","",VLOOKUP(D707,'Species Data'!B:E,4,FALSE))</f>
        <v/>
      </c>
      <c r="D707" s="246" t="str">
        <f t="shared" ca="1" si="102"/>
        <v/>
      </c>
      <c r="E707" s="246" t="str">
        <f t="shared" ca="1" si="103"/>
        <v/>
      </c>
      <c r="F707" s="246" t="str">
        <f t="shared" ca="1" si="104"/>
        <v/>
      </c>
      <c r="G707" s="246" t="str">
        <f t="shared" ca="1" si="105"/>
        <v/>
      </c>
      <c r="H707" s="204" t="str">
        <f ca="1">IF(G707="","",IF(VLOOKUP(Tank!F707,'Species Data'!D:F,3,FALSE)=0,"X",IF(G707&lt;44.1,2,1)))</f>
        <v/>
      </c>
      <c r="I707" s="204" t="str">
        <f t="shared" ca="1" si="106"/>
        <v/>
      </c>
      <c r="J707" s="247" t="str">
        <f ca="1">IF(I707="","",IF(COUNTIF($D$12:D707,D707)=1,IF(H707=1,I707*H707,IF(H707="X","X",0)),0))</f>
        <v/>
      </c>
      <c r="K707" s="248" t="str">
        <f t="shared" ca="1" si="107"/>
        <v/>
      </c>
      <c r="L707" s="280" t="s">
        <v>767</v>
      </c>
      <c r="AE707">
        <v>500</v>
      </c>
      <c r="AF707" s="219">
        <v>0.08</v>
      </c>
      <c r="AO707" t="s">
        <v>776</v>
      </c>
      <c r="AQ707" s="219">
        <v>142.28167999999999</v>
      </c>
      <c r="AU707" s="222" t="s">
        <v>821</v>
      </c>
    </row>
    <row r="708" spans="1:47" x14ac:dyDescent="0.25">
      <c r="A708" s="245" t="str">
        <f t="shared" si="100"/>
        <v/>
      </c>
      <c r="B708" s="246" t="str">
        <f t="shared" si="101"/>
        <v/>
      </c>
      <c r="C708" s="246" t="str">
        <f>IF(B708="","",VLOOKUP(D708,'Species Data'!B:E,4,FALSE))</f>
        <v/>
      </c>
      <c r="D708" s="246" t="str">
        <f t="shared" ca="1" si="102"/>
        <v/>
      </c>
      <c r="E708" s="246" t="str">
        <f t="shared" ca="1" si="103"/>
        <v/>
      </c>
      <c r="F708" s="246" t="str">
        <f t="shared" ca="1" si="104"/>
        <v/>
      </c>
      <c r="G708" s="246" t="str">
        <f t="shared" ca="1" si="105"/>
        <v/>
      </c>
      <c r="H708" s="204" t="str">
        <f ca="1">IF(G708="","",IF(VLOOKUP(Tank!F708,'Species Data'!D:F,3,FALSE)=0,"X",IF(G708&lt;44.1,2,1)))</f>
        <v/>
      </c>
      <c r="I708" s="204" t="str">
        <f t="shared" ca="1" si="106"/>
        <v/>
      </c>
      <c r="J708" s="247" t="str">
        <f ca="1">IF(I708="","",IF(COUNTIF($D$12:D708,D708)=1,IF(H708=1,I708*H708,IF(H708="X","X",0)),0))</f>
        <v/>
      </c>
      <c r="K708" s="248" t="str">
        <f t="shared" ca="1" si="107"/>
        <v/>
      </c>
      <c r="L708" s="280" t="s">
        <v>767</v>
      </c>
      <c r="AE708">
        <v>598</v>
      </c>
      <c r="AF708" s="219">
        <v>0.01</v>
      </c>
      <c r="AO708" s="219" t="s">
        <v>415</v>
      </c>
      <c r="AQ708" s="219">
        <v>142.28167999999999</v>
      </c>
      <c r="AU708" s="222" t="s">
        <v>821</v>
      </c>
    </row>
    <row r="709" spans="1:47" x14ac:dyDescent="0.25">
      <c r="A709" s="245" t="str">
        <f t="shared" si="100"/>
        <v/>
      </c>
      <c r="B709" s="246" t="str">
        <f t="shared" si="101"/>
        <v/>
      </c>
      <c r="C709" s="246" t="str">
        <f>IF(B709="","",VLOOKUP(D709,'Species Data'!B:E,4,FALSE))</f>
        <v/>
      </c>
      <c r="D709" s="246" t="str">
        <f t="shared" ca="1" si="102"/>
        <v/>
      </c>
      <c r="E709" s="246" t="str">
        <f t="shared" ca="1" si="103"/>
        <v/>
      </c>
      <c r="F709" s="246" t="str">
        <f t="shared" ca="1" si="104"/>
        <v/>
      </c>
      <c r="G709" s="246" t="str">
        <f t="shared" ca="1" si="105"/>
        <v/>
      </c>
      <c r="H709" s="204" t="str">
        <f ca="1">IF(G709="","",IF(VLOOKUP(Tank!F709,'Species Data'!D:F,3,FALSE)=0,"X",IF(G709&lt;44.1,2,1)))</f>
        <v/>
      </c>
      <c r="I709" s="204" t="str">
        <f t="shared" ca="1" si="106"/>
        <v/>
      </c>
      <c r="J709" s="247" t="str">
        <f ca="1">IF(I709="","",IF(COUNTIF($D$12:D709,D709)=1,IF(H709=1,I709*H709,IF(H709="X","X",0)),0))</f>
        <v/>
      </c>
      <c r="K709" s="248" t="str">
        <f t="shared" ca="1" si="107"/>
        <v/>
      </c>
      <c r="L709" s="280" t="s">
        <v>767</v>
      </c>
      <c r="AE709">
        <v>505</v>
      </c>
      <c r="AF709" s="219">
        <v>0.02</v>
      </c>
      <c r="AO709" s="219" t="s">
        <v>774</v>
      </c>
      <c r="AQ709" s="219">
        <v>156.30825999999999</v>
      </c>
      <c r="AU709" s="222" t="s">
        <v>821</v>
      </c>
    </row>
    <row r="710" spans="1:47" x14ac:dyDescent="0.25">
      <c r="A710" s="245" t="str">
        <f t="shared" si="100"/>
        <v/>
      </c>
      <c r="B710" s="246" t="str">
        <f t="shared" si="101"/>
        <v/>
      </c>
      <c r="C710" s="246" t="str">
        <f>IF(B710="","",VLOOKUP(D710,'Species Data'!B:E,4,FALSE))</f>
        <v/>
      </c>
      <c r="D710" s="246" t="str">
        <f t="shared" ca="1" si="102"/>
        <v/>
      </c>
      <c r="E710" s="246" t="str">
        <f t="shared" ca="1" si="103"/>
        <v/>
      </c>
      <c r="F710" s="246" t="str">
        <f t="shared" ca="1" si="104"/>
        <v/>
      </c>
      <c r="G710" s="246" t="str">
        <f t="shared" ca="1" si="105"/>
        <v/>
      </c>
      <c r="H710" s="204" t="str">
        <f ca="1">IF(G710="","",IF(VLOOKUP(Tank!F710,'Species Data'!D:F,3,FALSE)=0,"X",IF(G710&lt;44.1,2,1)))</f>
        <v/>
      </c>
      <c r="I710" s="204" t="str">
        <f t="shared" ca="1" si="106"/>
        <v/>
      </c>
      <c r="J710" s="247" t="str">
        <f ca="1">IF(I710="","",IF(COUNTIF($D$12:D710,D710)=1,IF(H710=1,I710*H710,IF(H710="X","X",0)),0))</f>
        <v/>
      </c>
      <c r="K710" s="248" t="str">
        <f t="shared" ca="1" si="107"/>
        <v/>
      </c>
      <c r="L710" s="280" t="s">
        <v>767</v>
      </c>
      <c r="AE710">
        <v>524</v>
      </c>
      <c r="AF710" s="219">
        <v>0.02</v>
      </c>
      <c r="AO710" s="219" t="s">
        <v>768</v>
      </c>
      <c r="AQ710" s="219">
        <v>84.159480000000002</v>
      </c>
      <c r="AU710" s="222" t="s">
        <v>821</v>
      </c>
    </row>
    <row r="711" spans="1:47" x14ac:dyDescent="0.25">
      <c r="A711" s="245" t="str">
        <f t="shared" si="100"/>
        <v/>
      </c>
      <c r="B711" s="246" t="str">
        <f t="shared" si="101"/>
        <v/>
      </c>
      <c r="C711" s="246" t="str">
        <f>IF(B711="","",VLOOKUP(D711,'Species Data'!B:E,4,FALSE))</f>
        <v/>
      </c>
      <c r="D711" s="246" t="str">
        <f t="shared" ca="1" si="102"/>
        <v/>
      </c>
      <c r="E711" s="246" t="str">
        <f t="shared" ca="1" si="103"/>
        <v/>
      </c>
      <c r="F711" s="246" t="str">
        <f t="shared" ca="1" si="104"/>
        <v/>
      </c>
      <c r="G711" s="246" t="str">
        <f t="shared" ca="1" si="105"/>
        <v/>
      </c>
      <c r="H711" s="204" t="str">
        <f ca="1">IF(G711="","",IF(VLOOKUP(Tank!F711,'Species Data'!D:F,3,FALSE)=0,"X",IF(G711&lt;44.1,2,1)))</f>
        <v/>
      </c>
      <c r="I711" s="204" t="str">
        <f t="shared" ca="1" si="106"/>
        <v/>
      </c>
      <c r="J711" s="247" t="str">
        <f ca="1">IF(I711="","",IF(COUNTIF($D$12:D711,D711)=1,IF(H711=1,I711*H711,IF(H711="X","X",0)),0))</f>
        <v/>
      </c>
      <c r="K711" s="248" t="str">
        <f t="shared" ca="1" si="107"/>
        <v/>
      </c>
      <c r="L711" s="280" t="s">
        <v>767</v>
      </c>
      <c r="AE711">
        <v>620</v>
      </c>
      <c r="AF711" s="219">
        <v>0.02</v>
      </c>
      <c r="AO711" s="219" t="s">
        <v>769</v>
      </c>
      <c r="AQ711" s="219">
        <v>106.16500000000001</v>
      </c>
      <c r="AU711" s="222" t="s">
        <v>821</v>
      </c>
    </row>
    <row r="712" spans="1:47" ht="15.75" thickBot="1" x14ac:dyDescent="0.3">
      <c r="A712" s="249" t="str">
        <f t="shared" si="100"/>
        <v/>
      </c>
      <c r="B712" s="250" t="str">
        <f t="shared" si="101"/>
        <v/>
      </c>
      <c r="C712" s="250" t="str">
        <f>IF(B712="","",VLOOKUP(D712,'Species Data'!B:E,4,FALSE))</f>
        <v/>
      </c>
      <c r="D712" s="250" t="str">
        <f t="shared" ca="1" si="102"/>
        <v/>
      </c>
      <c r="E712" s="250" t="str">
        <f t="shared" ca="1" si="103"/>
        <v/>
      </c>
      <c r="F712" s="250" t="str">
        <f t="shared" ca="1" si="104"/>
        <v/>
      </c>
      <c r="G712" s="250" t="str">
        <f t="shared" ca="1" si="105"/>
        <v/>
      </c>
      <c r="H712" s="251" t="str">
        <f ca="1">IF(G712="","",IF(VLOOKUP(Tank!F712,'Species Data'!D:F,3,FALSE)=0,"X",IF(G712&lt;44.1,2,1)))</f>
        <v/>
      </c>
      <c r="I712" s="251" t="str">
        <f t="shared" ca="1" si="106"/>
        <v/>
      </c>
      <c r="J712" s="252" t="str">
        <f ca="1">IF(I712="","",IF(COUNTIF($D$12:D712,D712)=1,IF(H712=1,I712*H712,IF(H712="X","X",0)),0))</f>
        <v/>
      </c>
      <c r="K712" s="253" t="str">
        <f t="shared" ca="1" si="107"/>
        <v/>
      </c>
      <c r="L712" s="280" t="s">
        <v>767</v>
      </c>
      <c r="AE712">
        <v>648</v>
      </c>
      <c r="AF712" s="219">
        <v>0.02</v>
      </c>
      <c r="AO712" s="219" t="s">
        <v>770</v>
      </c>
      <c r="AQ712" s="219">
        <v>106.16500000000001</v>
      </c>
      <c r="AU712" s="222" t="s">
        <v>821</v>
      </c>
    </row>
  </sheetData>
  <conditionalFormatting sqref="F1:F9 F11:F1048576">
    <cfRule type="duplicateValues" dxfId="1" priority="1"/>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3"/>
  <sheetViews>
    <sheetView workbookViewId="0"/>
  </sheetViews>
  <sheetFormatPr defaultRowHeight="15" x14ac:dyDescent="0.25"/>
  <cols>
    <col min="2" max="2" width="44.28515625" style="185" customWidth="1"/>
    <col min="3" max="3" width="13.7109375" style="185" customWidth="1"/>
    <col min="4" max="4" width="13.5703125" style="185" customWidth="1"/>
    <col min="5" max="5" width="12.85546875" style="185" customWidth="1"/>
    <col min="6" max="6" width="51" style="185" customWidth="1"/>
    <col min="7" max="10" width="17.5703125" style="185" customWidth="1"/>
    <col min="11" max="11" width="17.5703125" style="194" customWidth="1"/>
    <col min="12" max="12" width="48.7109375" style="185" customWidth="1"/>
    <col min="13" max="13" width="8.140625" style="184" customWidth="1"/>
    <col min="14" max="14" width="12" bestFit="1" customWidth="1"/>
    <col min="15" max="15" width="12" customWidth="1"/>
    <col min="16" max="16" width="21.5703125" customWidth="1"/>
    <col min="17" max="17" width="6.7109375" customWidth="1"/>
    <col min="18" max="19" width="3.28515625" customWidth="1"/>
    <col min="20" max="20" width="2.85546875" customWidth="1"/>
    <col min="21" max="21" width="3.7109375" customWidth="1"/>
    <col min="22" max="22" width="10.28515625" customWidth="1"/>
    <col min="23" max="23" width="3.140625" customWidth="1"/>
    <col min="24" max="28" width="2.7109375" customWidth="1"/>
    <col min="29" max="29" width="4.7109375" customWidth="1"/>
    <col min="30" max="30" width="10.28515625" customWidth="1"/>
    <col min="31" max="31" width="11.7109375" customWidth="1"/>
    <col min="32" max="32" width="12.7109375" customWidth="1"/>
    <col min="33" max="33" width="12.85546875" customWidth="1"/>
    <col min="34" max="34" width="4.42578125" customWidth="1"/>
    <col min="35" max="35" width="2.85546875" customWidth="1"/>
    <col min="37" max="37" width="2" customWidth="1"/>
    <col min="38" max="38" width="7.85546875" customWidth="1"/>
    <col min="39" max="39" width="6.42578125" customWidth="1"/>
    <col min="41" max="41" width="30" customWidth="1"/>
    <col min="42" max="42" width="10.42578125" customWidth="1"/>
    <col min="43" max="43" width="13.7109375" customWidth="1"/>
    <col min="44" max="44" width="14" customWidth="1"/>
    <col min="45" max="45" width="14.28515625" customWidth="1"/>
    <col min="261" max="261" width="25.85546875" customWidth="1"/>
    <col min="262" max="263" width="11" customWidth="1"/>
    <col min="264" max="264" width="22.85546875" customWidth="1"/>
    <col min="265" max="266" width="11" customWidth="1"/>
    <col min="267" max="268" width="9.140625" customWidth="1"/>
    <col min="269" max="269" width="19" customWidth="1"/>
    <col min="517" max="517" width="25.85546875" customWidth="1"/>
    <col min="518" max="519" width="11" customWidth="1"/>
    <col min="520" max="520" width="22.85546875" customWidth="1"/>
    <col min="521" max="522" width="11" customWidth="1"/>
    <col min="523" max="524" width="9.140625" customWidth="1"/>
    <col min="525" max="525" width="19" customWidth="1"/>
    <col min="773" max="773" width="25.85546875" customWidth="1"/>
    <col min="774" max="775" width="11" customWidth="1"/>
    <col min="776" max="776" width="22.85546875" customWidth="1"/>
    <col min="777" max="778" width="11" customWidth="1"/>
    <col min="779" max="780" width="9.140625" customWidth="1"/>
    <col min="781" max="781" width="19" customWidth="1"/>
    <col min="1029" max="1029" width="25.85546875" customWidth="1"/>
    <col min="1030" max="1031" width="11" customWidth="1"/>
    <col min="1032" max="1032" width="22.85546875" customWidth="1"/>
    <col min="1033" max="1034" width="11" customWidth="1"/>
    <col min="1035" max="1036" width="9.140625" customWidth="1"/>
    <col min="1037" max="1037" width="19" customWidth="1"/>
    <col min="1285" max="1285" width="25.85546875" customWidth="1"/>
    <col min="1286" max="1287" width="11" customWidth="1"/>
    <col min="1288" max="1288" width="22.85546875" customWidth="1"/>
    <col min="1289" max="1290" width="11" customWidth="1"/>
    <col min="1291" max="1292" width="9.140625" customWidth="1"/>
    <col min="1293" max="1293" width="19" customWidth="1"/>
    <col min="1541" max="1541" width="25.85546875" customWidth="1"/>
    <col min="1542" max="1543" width="11" customWidth="1"/>
    <col min="1544" max="1544" width="22.85546875" customWidth="1"/>
    <col min="1545" max="1546" width="11" customWidth="1"/>
    <col min="1547" max="1548" width="9.140625" customWidth="1"/>
    <col min="1549" max="1549" width="19" customWidth="1"/>
    <col min="1797" max="1797" width="25.85546875" customWidth="1"/>
    <col min="1798" max="1799" width="11" customWidth="1"/>
    <col min="1800" max="1800" width="22.85546875" customWidth="1"/>
    <col min="1801" max="1802" width="11" customWidth="1"/>
    <col min="1803" max="1804" width="9.140625" customWidth="1"/>
    <col min="1805" max="1805" width="19" customWidth="1"/>
    <col min="2053" max="2053" width="25.85546875" customWidth="1"/>
    <col min="2054" max="2055" width="11" customWidth="1"/>
    <col min="2056" max="2056" width="22.85546875" customWidth="1"/>
    <col min="2057" max="2058" width="11" customWidth="1"/>
    <col min="2059" max="2060" width="9.140625" customWidth="1"/>
    <col min="2061" max="2061" width="19" customWidth="1"/>
    <col min="2309" max="2309" width="25.85546875" customWidth="1"/>
    <col min="2310" max="2311" width="11" customWidth="1"/>
    <col min="2312" max="2312" width="22.85546875" customWidth="1"/>
    <col min="2313" max="2314" width="11" customWidth="1"/>
    <col min="2315" max="2316" width="9.140625" customWidth="1"/>
    <col min="2317" max="2317" width="19" customWidth="1"/>
    <col min="2565" max="2565" width="25.85546875" customWidth="1"/>
    <col min="2566" max="2567" width="11" customWidth="1"/>
    <col min="2568" max="2568" width="22.85546875" customWidth="1"/>
    <col min="2569" max="2570" width="11" customWidth="1"/>
    <col min="2571" max="2572" width="9.140625" customWidth="1"/>
    <col min="2573" max="2573" width="19" customWidth="1"/>
    <col min="2821" max="2821" width="25.85546875" customWidth="1"/>
    <col min="2822" max="2823" width="11" customWidth="1"/>
    <col min="2824" max="2824" width="22.85546875" customWidth="1"/>
    <col min="2825" max="2826" width="11" customWidth="1"/>
    <col min="2827" max="2828" width="9.140625" customWidth="1"/>
    <col min="2829" max="2829" width="19" customWidth="1"/>
    <col min="3077" max="3077" width="25.85546875" customWidth="1"/>
    <col min="3078" max="3079" width="11" customWidth="1"/>
    <col min="3080" max="3080" width="22.85546875" customWidth="1"/>
    <col min="3081" max="3082" width="11" customWidth="1"/>
    <col min="3083" max="3084" width="9.140625" customWidth="1"/>
    <col min="3085" max="3085" width="19" customWidth="1"/>
    <col min="3333" max="3333" width="25.85546875" customWidth="1"/>
    <col min="3334" max="3335" width="11" customWidth="1"/>
    <col min="3336" max="3336" width="22.85546875" customWidth="1"/>
    <col min="3337" max="3338" width="11" customWidth="1"/>
    <col min="3339" max="3340" width="9.140625" customWidth="1"/>
    <col min="3341" max="3341" width="19" customWidth="1"/>
    <col min="3589" max="3589" width="25.85546875" customWidth="1"/>
    <col min="3590" max="3591" width="11" customWidth="1"/>
    <col min="3592" max="3592" width="22.85546875" customWidth="1"/>
    <col min="3593" max="3594" width="11" customWidth="1"/>
    <col min="3595" max="3596" width="9.140625" customWidth="1"/>
    <col min="3597" max="3597" width="19" customWidth="1"/>
    <col min="3845" max="3845" width="25.85546875" customWidth="1"/>
    <col min="3846" max="3847" width="11" customWidth="1"/>
    <col min="3848" max="3848" width="22.85546875" customWidth="1"/>
    <col min="3849" max="3850" width="11" customWidth="1"/>
    <col min="3851" max="3852" width="9.140625" customWidth="1"/>
    <col min="3853" max="3853" width="19" customWidth="1"/>
    <col min="4101" max="4101" width="25.85546875" customWidth="1"/>
    <col min="4102" max="4103" width="11" customWidth="1"/>
    <col min="4104" max="4104" width="22.85546875" customWidth="1"/>
    <col min="4105" max="4106" width="11" customWidth="1"/>
    <col min="4107" max="4108" width="9.140625" customWidth="1"/>
    <col min="4109" max="4109" width="19" customWidth="1"/>
    <col min="4357" max="4357" width="25.85546875" customWidth="1"/>
    <col min="4358" max="4359" width="11" customWidth="1"/>
    <col min="4360" max="4360" width="22.85546875" customWidth="1"/>
    <col min="4361" max="4362" width="11" customWidth="1"/>
    <col min="4363" max="4364" width="9.140625" customWidth="1"/>
    <col min="4365" max="4365" width="19" customWidth="1"/>
    <col min="4613" max="4613" width="25.85546875" customWidth="1"/>
    <col min="4614" max="4615" width="11" customWidth="1"/>
    <col min="4616" max="4616" width="22.85546875" customWidth="1"/>
    <col min="4617" max="4618" width="11" customWidth="1"/>
    <col min="4619" max="4620" width="9.140625" customWidth="1"/>
    <col min="4621" max="4621" width="19" customWidth="1"/>
    <col min="4869" max="4869" width="25.85546875" customWidth="1"/>
    <col min="4870" max="4871" width="11" customWidth="1"/>
    <col min="4872" max="4872" width="22.85546875" customWidth="1"/>
    <col min="4873" max="4874" width="11" customWidth="1"/>
    <col min="4875" max="4876" width="9.140625" customWidth="1"/>
    <col min="4877" max="4877" width="19" customWidth="1"/>
    <col min="5125" max="5125" width="25.85546875" customWidth="1"/>
    <col min="5126" max="5127" width="11" customWidth="1"/>
    <col min="5128" max="5128" width="22.85546875" customWidth="1"/>
    <col min="5129" max="5130" width="11" customWidth="1"/>
    <col min="5131" max="5132" width="9.140625" customWidth="1"/>
    <col min="5133" max="5133" width="19" customWidth="1"/>
    <col min="5381" max="5381" width="25.85546875" customWidth="1"/>
    <col min="5382" max="5383" width="11" customWidth="1"/>
    <col min="5384" max="5384" width="22.85546875" customWidth="1"/>
    <col min="5385" max="5386" width="11" customWidth="1"/>
    <col min="5387" max="5388" width="9.140625" customWidth="1"/>
    <col min="5389" max="5389" width="19" customWidth="1"/>
    <col min="5637" max="5637" width="25.85546875" customWidth="1"/>
    <col min="5638" max="5639" width="11" customWidth="1"/>
    <col min="5640" max="5640" width="22.85546875" customWidth="1"/>
    <col min="5641" max="5642" width="11" customWidth="1"/>
    <col min="5643" max="5644" width="9.140625" customWidth="1"/>
    <col min="5645" max="5645" width="19" customWidth="1"/>
    <col min="5893" max="5893" width="25.85546875" customWidth="1"/>
    <col min="5894" max="5895" width="11" customWidth="1"/>
    <col min="5896" max="5896" width="22.85546875" customWidth="1"/>
    <col min="5897" max="5898" width="11" customWidth="1"/>
    <col min="5899" max="5900" width="9.140625" customWidth="1"/>
    <col min="5901" max="5901" width="19" customWidth="1"/>
    <col min="6149" max="6149" width="25.85546875" customWidth="1"/>
    <col min="6150" max="6151" width="11" customWidth="1"/>
    <col min="6152" max="6152" width="22.85546875" customWidth="1"/>
    <col min="6153" max="6154" width="11" customWidth="1"/>
    <col min="6155" max="6156" width="9.140625" customWidth="1"/>
    <col min="6157" max="6157" width="19" customWidth="1"/>
    <col min="6405" max="6405" width="25.85546875" customWidth="1"/>
    <col min="6406" max="6407" width="11" customWidth="1"/>
    <col min="6408" max="6408" width="22.85546875" customWidth="1"/>
    <col min="6409" max="6410" width="11" customWidth="1"/>
    <col min="6411" max="6412" width="9.140625" customWidth="1"/>
    <col min="6413" max="6413" width="19" customWidth="1"/>
    <col min="6661" max="6661" width="25.85546875" customWidth="1"/>
    <col min="6662" max="6663" width="11" customWidth="1"/>
    <col min="6664" max="6664" width="22.85546875" customWidth="1"/>
    <col min="6665" max="6666" width="11" customWidth="1"/>
    <col min="6667" max="6668" width="9.140625" customWidth="1"/>
    <col min="6669" max="6669" width="19" customWidth="1"/>
    <col min="6917" max="6917" width="25.85546875" customWidth="1"/>
    <col min="6918" max="6919" width="11" customWidth="1"/>
    <col min="6920" max="6920" width="22.85546875" customWidth="1"/>
    <col min="6921" max="6922" width="11" customWidth="1"/>
    <col min="6923" max="6924" width="9.140625" customWidth="1"/>
    <col min="6925" max="6925" width="19" customWidth="1"/>
    <col min="7173" max="7173" width="25.85546875" customWidth="1"/>
    <col min="7174" max="7175" width="11" customWidth="1"/>
    <col min="7176" max="7176" width="22.85546875" customWidth="1"/>
    <col min="7177" max="7178" width="11" customWidth="1"/>
    <col min="7179" max="7180" width="9.140625" customWidth="1"/>
    <col min="7181" max="7181" width="19" customWidth="1"/>
    <col min="7429" max="7429" width="25.85546875" customWidth="1"/>
    <col min="7430" max="7431" width="11" customWidth="1"/>
    <col min="7432" max="7432" width="22.85546875" customWidth="1"/>
    <col min="7433" max="7434" width="11" customWidth="1"/>
    <col min="7435" max="7436" width="9.140625" customWidth="1"/>
    <col min="7437" max="7437" width="19" customWidth="1"/>
    <col min="7685" max="7685" width="25.85546875" customWidth="1"/>
    <col min="7686" max="7687" width="11" customWidth="1"/>
    <col min="7688" max="7688" width="22.85546875" customWidth="1"/>
    <col min="7689" max="7690" width="11" customWidth="1"/>
    <col min="7691" max="7692" width="9.140625" customWidth="1"/>
    <col min="7693" max="7693" width="19" customWidth="1"/>
    <col min="7941" max="7941" width="25.85546875" customWidth="1"/>
    <col min="7942" max="7943" width="11" customWidth="1"/>
    <col min="7944" max="7944" width="22.85546875" customWidth="1"/>
    <col min="7945" max="7946" width="11" customWidth="1"/>
    <col min="7947" max="7948" width="9.140625" customWidth="1"/>
    <col min="7949" max="7949" width="19" customWidth="1"/>
    <col min="8197" max="8197" width="25.85546875" customWidth="1"/>
    <col min="8198" max="8199" width="11" customWidth="1"/>
    <col min="8200" max="8200" width="22.85546875" customWidth="1"/>
    <col min="8201" max="8202" width="11" customWidth="1"/>
    <col min="8203" max="8204" width="9.140625" customWidth="1"/>
    <col min="8205" max="8205" width="19" customWidth="1"/>
    <col min="8453" max="8453" width="25.85546875" customWidth="1"/>
    <col min="8454" max="8455" width="11" customWidth="1"/>
    <col min="8456" max="8456" width="22.85546875" customWidth="1"/>
    <col min="8457" max="8458" width="11" customWidth="1"/>
    <col min="8459" max="8460" width="9.140625" customWidth="1"/>
    <col min="8461" max="8461" width="19" customWidth="1"/>
    <col min="8709" max="8709" width="25.85546875" customWidth="1"/>
    <col min="8710" max="8711" width="11" customWidth="1"/>
    <col min="8712" max="8712" width="22.85546875" customWidth="1"/>
    <col min="8713" max="8714" width="11" customWidth="1"/>
    <col min="8715" max="8716" width="9.140625" customWidth="1"/>
    <col min="8717" max="8717" width="19" customWidth="1"/>
    <col min="8965" max="8965" width="25.85546875" customWidth="1"/>
    <col min="8966" max="8967" width="11" customWidth="1"/>
    <col min="8968" max="8968" width="22.85546875" customWidth="1"/>
    <col min="8969" max="8970" width="11" customWidth="1"/>
    <col min="8971" max="8972" width="9.140625" customWidth="1"/>
    <col min="8973" max="8973" width="19" customWidth="1"/>
    <col min="9221" max="9221" width="25.85546875" customWidth="1"/>
    <col min="9222" max="9223" width="11" customWidth="1"/>
    <col min="9224" max="9224" width="22.85546875" customWidth="1"/>
    <col min="9225" max="9226" width="11" customWidth="1"/>
    <col min="9227" max="9228" width="9.140625" customWidth="1"/>
    <col min="9229" max="9229" width="19" customWidth="1"/>
    <col min="9477" max="9477" width="25.85546875" customWidth="1"/>
    <col min="9478" max="9479" width="11" customWidth="1"/>
    <col min="9480" max="9480" width="22.85546875" customWidth="1"/>
    <col min="9481" max="9482" width="11" customWidth="1"/>
    <col min="9483" max="9484" width="9.140625" customWidth="1"/>
    <col min="9485" max="9485" width="19" customWidth="1"/>
    <col min="9733" max="9733" width="25.85546875" customWidth="1"/>
    <col min="9734" max="9735" width="11" customWidth="1"/>
    <col min="9736" max="9736" width="22.85546875" customWidth="1"/>
    <col min="9737" max="9738" width="11" customWidth="1"/>
    <col min="9739" max="9740" width="9.140625" customWidth="1"/>
    <col min="9741" max="9741" width="19" customWidth="1"/>
    <col min="9989" max="9989" width="25.85546875" customWidth="1"/>
    <col min="9990" max="9991" width="11" customWidth="1"/>
    <col min="9992" max="9992" width="22.85546875" customWidth="1"/>
    <col min="9993" max="9994" width="11" customWidth="1"/>
    <col min="9995" max="9996" width="9.140625" customWidth="1"/>
    <col min="9997" max="9997" width="19" customWidth="1"/>
    <col min="10245" max="10245" width="25.85546875" customWidth="1"/>
    <col min="10246" max="10247" width="11" customWidth="1"/>
    <col min="10248" max="10248" width="22.85546875" customWidth="1"/>
    <col min="10249" max="10250" width="11" customWidth="1"/>
    <col min="10251" max="10252" width="9.140625" customWidth="1"/>
    <col min="10253" max="10253" width="19" customWidth="1"/>
    <col min="10501" max="10501" width="25.85546875" customWidth="1"/>
    <col min="10502" max="10503" width="11" customWidth="1"/>
    <col min="10504" max="10504" width="22.85546875" customWidth="1"/>
    <col min="10505" max="10506" width="11" customWidth="1"/>
    <col min="10507" max="10508" width="9.140625" customWidth="1"/>
    <col min="10509" max="10509" width="19" customWidth="1"/>
    <col min="10757" max="10757" width="25.85546875" customWidth="1"/>
    <col min="10758" max="10759" width="11" customWidth="1"/>
    <col min="10760" max="10760" width="22.85546875" customWidth="1"/>
    <col min="10761" max="10762" width="11" customWidth="1"/>
    <col min="10763" max="10764" width="9.140625" customWidth="1"/>
    <col min="10765" max="10765" width="19" customWidth="1"/>
    <col min="11013" max="11013" width="25.85546875" customWidth="1"/>
    <col min="11014" max="11015" width="11" customWidth="1"/>
    <col min="11016" max="11016" width="22.85546875" customWidth="1"/>
    <col min="11017" max="11018" width="11" customWidth="1"/>
    <col min="11019" max="11020" width="9.140625" customWidth="1"/>
    <col min="11021" max="11021" width="19" customWidth="1"/>
    <col min="11269" max="11269" width="25.85546875" customWidth="1"/>
    <col min="11270" max="11271" width="11" customWidth="1"/>
    <col min="11272" max="11272" width="22.85546875" customWidth="1"/>
    <col min="11273" max="11274" width="11" customWidth="1"/>
    <col min="11275" max="11276" width="9.140625" customWidth="1"/>
    <col min="11277" max="11277" width="19" customWidth="1"/>
    <col min="11525" max="11525" width="25.85546875" customWidth="1"/>
    <col min="11526" max="11527" width="11" customWidth="1"/>
    <col min="11528" max="11528" width="22.85546875" customWidth="1"/>
    <col min="11529" max="11530" width="11" customWidth="1"/>
    <col min="11531" max="11532" width="9.140625" customWidth="1"/>
    <col min="11533" max="11533" width="19" customWidth="1"/>
    <col min="11781" max="11781" width="25.85546875" customWidth="1"/>
    <col min="11782" max="11783" width="11" customWidth="1"/>
    <col min="11784" max="11784" width="22.85546875" customWidth="1"/>
    <col min="11785" max="11786" width="11" customWidth="1"/>
    <col min="11787" max="11788" width="9.140625" customWidth="1"/>
    <col min="11789" max="11789" width="19" customWidth="1"/>
    <col min="12037" max="12037" width="25.85546875" customWidth="1"/>
    <col min="12038" max="12039" width="11" customWidth="1"/>
    <col min="12040" max="12040" width="22.85546875" customWidth="1"/>
    <col min="12041" max="12042" width="11" customWidth="1"/>
    <col min="12043" max="12044" width="9.140625" customWidth="1"/>
    <col min="12045" max="12045" width="19" customWidth="1"/>
    <col min="12293" max="12293" width="25.85546875" customWidth="1"/>
    <col min="12294" max="12295" width="11" customWidth="1"/>
    <col min="12296" max="12296" width="22.85546875" customWidth="1"/>
    <col min="12297" max="12298" width="11" customWidth="1"/>
    <col min="12299" max="12300" width="9.140625" customWidth="1"/>
    <col min="12301" max="12301" width="19" customWidth="1"/>
    <col min="12549" max="12549" width="25.85546875" customWidth="1"/>
    <col min="12550" max="12551" width="11" customWidth="1"/>
    <col min="12552" max="12552" width="22.85546875" customWidth="1"/>
    <col min="12553" max="12554" width="11" customWidth="1"/>
    <col min="12555" max="12556" width="9.140625" customWidth="1"/>
    <col min="12557" max="12557" width="19" customWidth="1"/>
    <col min="12805" max="12805" width="25.85546875" customWidth="1"/>
    <col min="12806" max="12807" width="11" customWidth="1"/>
    <col min="12808" max="12808" width="22.85546875" customWidth="1"/>
    <col min="12809" max="12810" width="11" customWidth="1"/>
    <col min="12811" max="12812" width="9.140625" customWidth="1"/>
    <col min="12813" max="12813" width="19" customWidth="1"/>
    <col min="13061" max="13061" width="25.85546875" customWidth="1"/>
    <col min="13062" max="13063" width="11" customWidth="1"/>
    <col min="13064" max="13064" width="22.85546875" customWidth="1"/>
    <col min="13065" max="13066" width="11" customWidth="1"/>
    <col min="13067" max="13068" width="9.140625" customWidth="1"/>
    <col min="13069" max="13069" width="19" customWidth="1"/>
    <col min="13317" max="13317" width="25.85546875" customWidth="1"/>
    <col min="13318" max="13319" width="11" customWidth="1"/>
    <col min="13320" max="13320" width="22.85546875" customWidth="1"/>
    <col min="13321" max="13322" width="11" customWidth="1"/>
    <col min="13323" max="13324" width="9.140625" customWidth="1"/>
    <col min="13325" max="13325" width="19" customWidth="1"/>
    <col min="13573" max="13573" width="25.85546875" customWidth="1"/>
    <col min="13574" max="13575" width="11" customWidth="1"/>
    <col min="13576" max="13576" width="22.85546875" customWidth="1"/>
    <col min="13577" max="13578" width="11" customWidth="1"/>
    <col min="13579" max="13580" width="9.140625" customWidth="1"/>
    <col min="13581" max="13581" width="19" customWidth="1"/>
    <col min="13829" max="13829" width="25.85546875" customWidth="1"/>
    <col min="13830" max="13831" width="11" customWidth="1"/>
    <col min="13832" max="13832" width="22.85546875" customWidth="1"/>
    <col min="13833" max="13834" width="11" customWidth="1"/>
    <col min="13835" max="13836" width="9.140625" customWidth="1"/>
    <col min="13837" max="13837" width="19" customWidth="1"/>
    <col min="14085" max="14085" width="25.85546875" customWidth="1"/>
    <col min="14086" max="14087" width="11" customWidth="1"/>
    <col min="14088" max="14088" width="22.85546875" customWidth="1"/>
    <col min="14089" max="14090" width="11" customWidth="1"/>
    <col min="14091" max="14092" width="9.140625" customWidth="1"/>
    <col min="14093" max="14093" width="19" customWidth="1"/>
    <col min="14341" max="14341" width="25.85546875" customWidth="1"/>
    <col min="14342" max="14343" width="11" customWidth="1"/>
    <col min="14344" max="14344" width="22.85546875" customWidth="1"/>
    <col min="14345" max="14346" width="11" customWidth="1"/>
    <col min="14347" max="14348" width="9.140625" customWidth="1"/>
    <col min="14349" max="14349" width="19" customWidth="1"/>
    <col min="14597" max="14597" width="25.85546875" customWidth="1"/>
    <col min="14598" max="14599" width="11" customWidth="1"/>
    <col min="14600" max="14600" width="22.85546875" customWidth="1"/>
    <col min="14601" max="14602" width="11" customWidth="1"/>
    <col min="14603" max="14604" width="9.140625" customWidth="1"/>
    <col min="14605" max="14605" width="19" customWidth="1"/>
    <col min="14853" max="14853" width="25.85546875" customWidth="1"/>
    <col min="14854" max="14855" width="11" customWidth="1"/>
    <col min="14856" max="14856" width="22.85546875" customWidth="1"/>
    <col min="14857" max="14858" width="11" customWidth="1"/>
    <col min="14859" max="14860" width="9.140625" customWidth="1"/>
    <col min="14861" max="14861" width="19" customWidth="1"/>
    <col min="15109" max="15109" width="25.85546875" customWidth="1"/>
    <col min="15110" max="15111" width="11" customWidth="1"/>
    <col min="15112" max="15112" width="22.85546875" customWidth="1"/>
    <col min="15113" max="15114" width="11" customWidth="1"/>
    <col min="15115" max="15116" width="9.140625" customWidth="1"/>
    <col min="15117" max="15117" width="19" customWidth="1"/>
    <col min="15365" max="15365" width="25.85546875" customWidth="1"/>
    <col min="15366" max="15367" width="11" customWidth="1"/>
    <col min="15368" max="15368" width="22.85546875" customWidth="1"/>
    <col min="15369" max="15370" width="11" customWidth="1"/>
    <col min="15371" max="15372" width="9.140625" customWidth="1"/>
    <col min="15373" max="15373" width="19" customWidth="1"/>
    <col min="15621" max="15621" width="25.85546875" customWidth="1"/>
    <col min="15622" max="15623" width="11" customWidth="1"/>
    <col min="15624" max="15624" width="22.85546875" customWidth="1"/>
    <col min="15625" max="15626" width="11" customWidth="1"/>
    <col min="15627" max="15628" width="9.140625" customWidth="1"/>
    <col min="15629" max="15629" width="19" customWidth="1"/>
    <col min="15877" max="15877" width="25.85546875" customWidth="1"/>
    <col min="15878" max="15879" width="11" customWidth="1"/>
    <col min="15880" max="15880" width="22.85546875" customWidth="1"/>
    <col min="15881" max="15882" width="11" customWidth="1"/>
    <col min="15883" max="15884" width="9.140625" customWidth="1"/>
    <col min="15885" max="15885" width="19" customWidth="1"/>
    <col min="16133" max="16133" width="25.85546875" customWidth="1"/>
    <col min="16134" max="16135" width="11" customWidth="1"/>
    <col min="16136" max="16136" width="22.85546875" customWidth="1"/>
    <col min="16137" max="16138" width="11" customWidth="1"/>
    <col min="16139" max="16140" width="9.140625" customWidth="1"/>
    <col min="16141" max="16141" width="19" customWidth="1"/>
  </cols>
  <sheetData>
    <row r="1" spans="1:47" s="11" customFormat="1" ht="20.25" x14ac:dyDescent="0.3">
      <c r="A1" s="298" t="s">
        <v>19</v>
      </c>
      <c r="B1" s="178"/>
      <c r="C1" s="178"/>
      <c r="D1" s="178"/>
      <c r="E1" s="178"/>
      <c r="F1" s="178"/>
      <c r="G1" s="178"/>
      <c r="H1" s="178"/>
      <c r="I1" s="178"/>
      <c r="J1" s="303"/>
      <c r="K1" s="291"/>
      <c r="L1" s="297" t="s">
        <v>19</v>
      </c>
      <c r="M1" s="178"/>
      <c r="N1" s="178"/>
      <c r="O1" s="178"/>
    </row>
    <row r="2" spans="1:47" s="183" customFormat="1" ht="18" customHeight="1" x14ac:dyDescent="0.25">
      <c r="A2" s="202"/>
      <c r="B2" s="180" t="s">
        <v>220</v>
      </c>
      <c r="C2" s="181"/>
      <c r="D2" s="182"/>
      <c r="E2" s="182"/>
      <c r="F2" s="182"/>
      <c r="G2" s="182"/>
      <c r="H2" s="182"/>
      <c r="I2" s="182"/>
      <c r="J2" s="202"/>
      <c r="K2" s="182"/>
      <c r="L2" s="182"/>
      <c r="M2" s="179"/>
      <c r="N2" s="202"/>
      <c r="O2" s="202"/>
    </row>
    <row r="3" spans="1:47" s="183" customFormat="1" ht="12.75" x14ac:dyDescent="0.2">
      <c r="A3" s="202"/>
      <c r="B3" s="202"/>
      <c r="C3" s="290"/>
      <c r="D3" s="202"/>
      <c r="E3" s="202"/>
      <c r="F3" s="202"/>
      <c r="G3" s="202"/>
      <c r="H3" s="202"/>
      <c r="I3" s="202"/>
      <c r="J3" s="202"/>
      <c r="K3" s="182"/>
      <c r="L3" s="202"/>
      <c r="M3" s="202"/>
      <c r="N3" s="202"/>
      <c r="O3" s="202"/>
    </row>
    <row r="4" spans="1:47" s="183" customFormat="1" ht="12.75" x14ac:dyDescent="0.2">
      <c r="A4" s="202"/>
      <c r="B4" s="181"/>
      <c r="C4" s="181"/>
      <c r="D4" s="181"/>
      <c r="E4" s="291"/>
      <c r="F4" s="202"/>
      <c r="G4" s="202"/>
      <c r="H4" s="202"/>
      <c r="I4" s="202"/>
      <c r="J4" s="202"/>
      <c r="K4" s="182"/>
      <c r="L4" s="202"/>
      <c r="M4" s="202"/>
      <c r="N4" s="202"/>
      <c r="O4" s="202"/>
    </row>
    <row r="5" spans="1:47" x14ac:dyDescent="0.25">
      <c r="A5" s="201"/>
      <c r="B5" s="201"/>
      <c r="C5" s="201"/>
      <c r="D5" s="201"/>
      <c r="E5" s="201"/>
      <c r="F5" s="201"/>
      <c r="G5" s="201"/>
      <c r="H5" s="201"/>
      <c r="I5" s="201"/>
      <c r="J5" s="295"/>
      <c r="K5" s="293"/>
      <c r="L5" s="201"/>
      <c r="M5" s="200"/>
      <c r="N5" s="201"/>
      <c r="O5" s="201"/>
    </row>
    <row r="6" spans="1:47" x14ac:dyDescent="0.25">
      <c r="A6" s="201"/>
      <c r="B6" s="296" t="s">
        <v>797</v>
      </c>
      <c r="C6" s="200"/>
      <c r="D6" s="200"/>
      <c r="E6" s="200"/>
      <c r="F6" s="200"/>
      <c r="G6" s="200"/>
      <c r="H6" s="200"/>
      <c r="I6" s="200"/>
      <c r="J6" s="200"/>
      <c r="K6" s="296"/>
      <c r="L6" s="200"/>
      <c r="M6" s="200"/>
      <c r="N6" s="201"/>
      <c r="O6" s="201"/>
    </row>
    <row r="7" spans="1:47" x14ac:dyDescent="0.25">
      <c r="A7" s="201"/>
      <c r="B7" s="200"/>
      <c r="C7" s="200"/>
      <c r="D7" s="200"/>
      <c r="E7" s="200"/>
      <c r="F7" s="200"/>
      <c r="G7" s="200"/>
      <c r="H7" s="200"/>
      <c r="I7" s="200"/>
      <c r="J7" s="200"/>
      <c r="K7" s="296"/>
      <c r="L7" s="200"/>
      <c r="M7" s="200"/>
      <c r="N7" s="201"/>
      <c r="O7" s="201"/>
    </row>
    <row r="8" spans="1:47" ht="15.75" thickBot="1" x14ac:dyDescent="0.3">
      <c r="H8" s="218"/>
      <c r="I8" s="218"/>
      <c r="J8" s="218"/>
      <c r="K8" s="221"/>
      <c r="L8"/>
      <c r="M8"/>
    </row>
    <row r="9" spans="1:47" ht="15.75" thickBot="1" x14ac:dyDescent="0.3">
      <c r="A9" s="219"/>
      <c r="B9" s="229" t="str">
        <f>L12</f>
        <v>Oil Field - Dehydration Tank</v>
      </c>
      <c r="D9" s="226" t="s">
        <v>71</v>
      </c>
      <c r="E9" s="227">
        <f ca="1">SUM(E10:E63)</f>
        <v>99.999999999999986</v>
      </c>
      <c r="F9" s="227" t="s">
        <v>677</v>
      </c>
      <c r="G9" s="259">
        <f ca="1">SUMPRODUCT(K10:K63,G10:G63)/100</f>
        <v>95.34505490443847</v>
      </c>
      <c r="H9" s="227" t="s">
        <v>71</v>
      </c>
      <c r="I9" s="227">
        <f ca="1">SUM(I12:I63)</f>
        <v>100.00000000000003</v>
      </c>
      <c r="J9" s="227">
        <f ca="1">SUM(J10:J63)</f>
        <v>87.237700000000004</v>
      </c>
      <c r="K9" s="228">
        <f ca="1">SUM(K10:K63)</f>
        <v>100</v>
      </c>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row>
    <row r="10" spans="1:47" ht="15.75" thickBot="1" x14ac:dyDescent="0.3">
      <c r="A10" s="229" t="s">
        <v>672</v>
      </c>
      <c r="B10" s="231">
        <f>COUNTIF(L:L,$B$9)</f>
        <v>52</v>
      </c>
      <c r="C10" s="185" t="s">
        <v>561</v>
      </c>
      <c r="D10" s="232">
        <v>2283</v>
      </c>
      <c r="E10" s="233"/>
      <c r="F10" s="233" t="s">
        <v>357</v>
      </c>
      <c r="G10" s="268">
        <f ca="1">(SUMPRODUCT(--(J12:J63="X"),I12:I63,G12:G63)+SUMPRODUCT(--(F12:F63=$F$10),J12:J63,G12:G63))/$J$10</f>
        <v>106.18031931678208</v>
      </c>
      <c r="H10" s="233"/>
      <c r="I10" s="233"/>
      <c r="J10" s="233">
        <f ca="1">IFERROR(VLOOKUP($F$10,F12:J63,5,FALSE),0)+SUMIF(J12:J63,"X",I12:I63)</f>
        <v>46.973399999999998</v>
      </c>
      <c r="K10" s="234">
        <f ca="1">IF(J10="","",J10/$J$9*100)</f>
        <v>53.845298534922392</v>
      </c>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91" t="s">
        <v>20</v>
      </c>
      <c r="AU10" s="182" t="s">
        <v>62</v>
      </c>
    </row>
    <row r="11" spans="1:47" s="195" customFormat="1" ht="13.5" customHeight="1" thickBot="1" x14ac:dyDescent="0.3">
      <c r="A11" s="235" t="s">
        <v>656</v>
      </c>
      <c r="B11" s="236" t="s">
        <v>226</v>
      </c>
      <c r="C11" s="236" t="s">
        <v>671</v>
      </c>
      <c r="D11" s="236" t="s">
        <v>245</v>
      </c>
      <c r="E11" s="236" t="s">
        <v>246</v>
      </c>
      <c r="F11" s="236" t="s">
        <v>255</v>
      </c>
      <c r="G11" s="236" t="s">
        <v>257</v>
      </c>
      <c r="H11" s="236" t="s">
        <v>674</v>
      </c>
      <c r="I11" s="236" t="s">
        <v>657</v>
      </c>
      <c r="J11" s="236" t="s">
        <v>658</v>
      </c>
      <c r="K11" s="237" t="s">
        <v>659</v>
      </c>
      <c r="L11" s="260" t="s">
        <v>226</v>
      </c>
      <c r="M11" s="260" t="s">
        <v>227</v>
      </c>
      <c r="N11" s="260" t="s">
        <v>228</v>
      </c>
      <c r="O11" s="260" t="s">
        <v>229</v>
      </c>
      <c r="P11" s="260" t="s">
        <v>230</v>
      </c>
      <c r="Q11" s="260" t="s">
        <v>231</v>
      </c>
      <c r="R11" s="260" t="s">
        <v>232</v>
      </c>
      <c r="S11" s="260" t="s">
        <v>233</v>
      </c>
      <c r="T11" s="260" t="s">
        <v>234</v>
      </c>
      <c r="U11" s="260" t="s">
        <v>235</v>
      </c>
      <c r="V11" s="260" t="s">
        <v>236</v>
      </c>
      <c r="W11" s="260" t="s">
        <v>237</v>
      </c>
      <c r="X11" s="260" t="s">
        <v>238</v>
      </c>
      <c r="Y11" s="260" t="s">
        <v>239</v>
      </c>
      <c r="Z11" s="260" t="s">
        <v>240</v>
      </c>
      <c r="AA11" s="260" t="s">
        <v>241</v>
      </c>
      <c r="AB11" s="260" t="s">
        <v>242</v>
      </c>
      <c r="AC11" s="260" t="s">
        <v>243</v>
      </c>
      <c r="AD11" s="260" t="s">
        <v>244</v>
      </c>
      <c r="AE11" s="260" t="s">
        <v>245</v>
      </c>
      <c r="AF11" s="260" t="s">
        <v>246</v>
      </c>
      <c r="AG11" s="260" t="s">
        <v>247</v>
      </c>
      <c r="AH11" s="260" t="s">
        <v>248</v>
      </c>
      <c r="AI11" s="260" t="s">
        <v>249</v>
      </c>
      <c r="AJ11" s="260" t="s">
        <v>250</v>
      </c>
      <c r="AK11" s="260" t="s">
        <v>251</v>
      </c>
      <c r="AL11" s="260" t="s">
        <v>252</v>
      </c>
      <c r="AM11" s="260" t="s">
        <v>253</v>
      </c>
      <c r="AN11" s="260" t="s">
        <v>254</v>
      </c>
      <c r="AO11" s="260" t="s">
        <v>255</v>
      </c>
      <c r="AP11" s="260" t="s">
        <v>256</v>
      </c>
      <c r="AQ11" s="260" t="s">
        <v>257</v>
      </c>
      <c r="AR11" s="260" t="s">
        <v>258</v>
      </c>
      <c r="AS11" s="260" t="s">
        <v>259</v>
      </c>
    </row>
    <row r="12" spans="1:47" x14ac:dyDescent="0.25">
      <c r="A12" s="240">
        <f>MATCH($B$9,L:L,0)</f>
        <v>12</v>
      </c>
      <c r="B12" s="241" t="str">
        <f t="shared" ref="B12:B63" si="0">IF(ROW(A12)-(ROW($A$12))&lt;$B$10,$B$9,"")</f>
        <v>Oil Field - Dehydration Tank</v>
      </c>
      <c r="C12" s="241" t="str">
        <f ca="1">IF(B12="","",VLOOKUP(D12,'Species Data'!B:E,4,FALSE))</f>
        <v>isobutben</v>
      </c>
      <c r="D12" s="241">
        <f ca="1">IF(B12="","",INDIRECT("AE"&amp;$A12))</f>
        <v>3</v>
      </c>
      <c r="E12" s="241">
        <f ca="1">IF(D12="","",INDIRECT("AF"&amp;$A12))</f>
        <v>6.0499999999999998E-2</v>
      </c>
      <c r="F12" s="241" t="str">
        <f ca="1">IF(E12="","",INDIRECT("AO"&amp;$A12))</f>
        <v>(2-methylpropyl)benzene; isobutylbenzene</v>
      </c>
      <c r="G12" s="241">
        <f ca="1">IF(F12="","",INDIRECT("AQ"&amp;$A12))</f>
        <v>134.21816000000001</v>
      </c>
      <c r="H12" s="242" t="str">
        <f ca="1">IF(G12="","",IF(VLOOKUP(Dehydration_Tank!F12,'Species Data'!D:F,3,FALSE)=0,"X",IF(G12&lt;44.1,2,1)))</f>
        <v>X</v>
      </c>
      <c r="I12" s="242">
        <f t="shared" ref="I12:I43" ca="1" si="1">IF(H12="","",SUMIF(D:D,D12,E:E)/($E$9/100))</f>
        <v>6.0500000000000005E-2</v>
      </c>
      <c r="J12" s="243" t="str">
        <f ca="1">IF(I12="","",IF(COUNTIF($D$12:D12,D12)=1,IF(H12=1,I12*H12,IF(H12="X","X",0)),0))</f>
        <v>X</v>
      </c>
      <c r="K12" s="244">
        <f ca="1">IF(J12="","",IF(J12="X",0,J12/$J$9*100))</f>
        <v>0</v>
      </c>
      <c r="L12" s="212" t="s">
        <v>682</v>
      </c>
      <c r="M12" s="212" t="s">
        <v>448</v>
      </c>
      <c r="N12" s="212" t="s">
        <v>470</v>
      </c>
      <c r="O12" s="213">
        <v>41419</v>
      </c>
      <c r="P12" s="212" t="s">
        <v>531</v>
      </c>
      <c r="Q12" s="214">
        <v>100</v>
      </c>
      <c r="R12" s="212" t="s">
        <v>445</v>
      </c>
      <c r="S12" s="212" t="s">
        <v>532</v>
      </c>
      <c r="T12" s="212" t="s">
        <v>445</v>
      </c>
      <c r="U12" s="212" t="s">
        <v>446</v>
      </c>
      <c r="V12" s="214" t="b">
        <v>1</v>
      </c>
      <c r="W12" s="214">
        <v>1989</v>
      </c>
      <c r="X12" s="214">
        <v>5</v>
      </c>
      <c r="Y12" s="214">
        <v>2</v>
      </c>
      <c r="Z12" s="214">
        <v>4</v>
      </c>
      <c r="AA12" s="212" t="s">
        <v>447</v>
      </c>
      <c r="AB12" s="212" t="s">
        <v>531</v>
      </c>
      <c r="AC12" s="212" t="s">
        <v>533</v>
      </c>
      <c r="AD12" s="214">
        <v>1.089618</v>
      </c>
      <c r="AE12" s="214">
        <v>3</v>
      </c>
      <c r="AF12" s="214">
        <v>6.0499999999999998E-2</v>
      </c>
      <c r="AG12" s="214">
        <v>-99</v>
      </c>
      <c r="AH12" s="212" t="s">
        <v>224</v>
      </c>
      <c r="AI12" s="212" t="s">
        <v>449</v>
      </c>
      <c r="AJ12" s="212" t="s">
        <v>425</v>
      </c>
      <c r="AK12" s="212" t="s">
        <v>531</v>
      </c>
      <c r="AL12" s="212" t="s">
        <v>456</v>
      </c>
      <c r="AM12" s="214" t="b">
        <v>0</v>
      </c>
      <c r="AN12" s="214" t="b">
        <v>0</v>
      </c>
      <c r="AO12" s="212" t="s">
        <v>426</v>
      </c>
      <c r="AP12" s="212" t="s">
        <v>531</v>
      </c>
      <c r="AQ12" s="214">
        <v>134.21816000000001</v>
      </c>
      <c r="AR12" s="214" t="b">
        <v>0</v>
      </c>
      <c r="AS12" s="212" t="s">
        <v>534</v>
      </c>
      <c r="AU12" s="195" t="s">
        <v>819</v>
      </c>
    </row>
    <row r="13" spans="1:47" x14ac:dyDescent="0.25">
      <c r="A13" s="245">
        <f>IF(B13="","",A12+1)</f>
        <v>13</v>
      </c>
      <c r="B13" s="246" t="str">
        <f t="shared" si="0"/>
        <v>Oil Field - Dehydration Tank</v>
      </c>
      <c r="C13" s="246" t="str">
        <f ca="1">IF(B13="","",VLOOKUP(D13,'Species Data'!B:E,4,FALSE))</f>
        <v>trimetben124</v>
      </c>
      <c r="D13" s="246">
        <f t="shared" ref="D13:D63" ca="1" si="2">IF(B13="","",INDIRECT("AE"&amp;$A13))</f>
        <v>30</v>
      </c>
      <c r="E13" s="246">
        <f t="shared" ref="E13:E63" ca="1" si="3">IF(D13="","",INDIRECT("AF"&amp;$A13))</f>
        <v>0.47939999999999999</v>
      </c>
      <c r="F13" s="246" t="str">
        <f t="shared" ref="F13:F63" ca="1" si="4">IF(E13="","",INDIRECT("AO"&amp;$A13))</f>
        <v>1,2,4-trimethylbenzene  (1,3,4-trimethylbenzene)</v>
      </c>
      <c r="G13" s="246">
        <f t="shared" ref="G13:G63" ca="1" si="5">IF(F13="","",INDIRECT("AQ"&amp;$A13))</f>
        <v>120.19158</v>
      </c>
      <c r="H13" s="204">
        <f ca="1">IF(G13="","",IF(VLOOKUP(Dehydration_Tank!F13,'Species Data'!D:F,3,FALSE)=0,"X",IF(G13&lt;44.1,2,1)))</f>
        <v>1</v>
      </c>
      <c r="I13" s="204">
        <f t="shared" ca="1" si="1"/>
        <v>0.47940000000000005</v>
      </c>
      <c r="J13" s="247">
        <f ca="1">IF(I13="","",IF(COUNTIF($D$12:D13,D13)=1,IF(H13=1,I13*H13,IF(H13="X","X",0)),0))</f>
        <v>0.47940000000000005</v>
      </c>
      <c r="K13" s="248">
        <f t="shared" ref="K13:K63" ca="1" si="6">IF(J13="","",IF(J13="X",0,J13/$J$9*100))</f>
        <v>0.54953305738230152</v>
      </c>
      <c r="L13" s="212" t="s">
        <v>682</v>
      </c>
      <c r="M13" s="212" t="s">
        <v>448</v>
      </c>
      <c r="N13" s="212" t="s">
        <v>470</v>
      </c>
      <c r="O13" s="213">
        <v>41419</v>
      </c>
      <c r="P13" s="212" t="s">
        <v>531</v>
      </c>
      <c r="Q13" s="214">
        <v>100</v>
      </c>
      <c r="R13" s="212" t="s">
        <v>445</v>
      </c>
      <c r="S13" s="212" t="s">
        <v>532</v>
      </c>
      <c r="T13" s="212" t="s">
        <v>445</v>
      </c>
      <c r="U13" s="212" t="s">
        <v>446</v>
      </c>
      <c r="V13" s="214" t="b">
        <v>1</v>
      </c>
      <c r="W13" s="214">
        <v>1989</v>
      </c>
      <c r="X13" s="214">
        <v>5</v>
      </c>
      <c r="Y13" s="214">
        <v>2</v>
      </c>
      <c r="Z13" s="214">
        <v>4</v>
      </c>
      <c r="AA13" s="212" t="s">
        <v>447</v>
      </c>
      <c r="AB13" s="212" t="s">
        <v>531</v>
      </c>
      <c r="AC13" s="212" t="s">
        <v>533</v>
      </c>
      <c r="AD13" s="214">
        <v>1.089618</v>
      </c>
      <c r="AE13" s="214">
        <v>30</v>
      </c>
      <c r="AF13" s="214">
        <v>0.47939999999999999</v>
      </c>
      <c r="AG13" s="214">
        <v>-99</v>
      </c>
      <c r="AH13" s="212" t="s">
        <v>224</v>
      </c>
      <c r="AI13" s="212" t="s">
        <v>449</v>
      </c>
      <c r="AJ13" s="212" t="s">
        <v>359</v>
      </c>
      <c r="AK13" s="212" t="s">
        <v>531</v>
      </c>
      <c r="AL13" s="212" t="s">
        <v>531</v>
      </c>
      <c r="AM13" s="214" t="b">
        <v>1</v>
      </c>
      <c r="AN13" s="214" t="b">
        <v>0</v>
      </c>
      <c r="AO13" s="212" t="s">
        <v>360</v>
      </c>
      <c r="AP13" s="212" t="s">
        <v>361</v>
      </c>
      <c r="AQ13" s="214">
        <v>120.19158</v>
      </c>
      <c r="AR13" s="214" t="b">
        <v>0</v>
      </c>
      <c r="AS13" s="212" t="s">
        <v>534</v>
      </c>
      <c r="AU13" s="195" t="s">
        <v>819</v>
      </c>
    </row>
    <row r="14" spans="1:47" x14ac:dyDescent="0.25">
      <c r="A14" s="245">
        <f t="shared" ref="A14:A63" si="7">IF(B14="","",A13+1)</f>
        <v>14</v>
      </c>
      <c r="B14" s="246" t="str">
        <f t="shared" si="0"/>
        <v>Oil Field - Dehydration Tank</v>
      </c>
      <c r="C14" s="246" t="str">
        <f ca="1">IF(B14="","",VLOOKUP(D14,'Species Data'!B:E,4,FALSE))</f>
        <v>dietben13</v>
      </c>
      <c r="D14" s="246">
        <f t="shared" ca="1" si="2"/>
        <v>51</v>
      </c>
      <c r="E14" s="246">
        <f t="shared" ca="1" si="3"/>
        <v>0.2104</v>
      </c>
      <c r="F14" s="246" t="str">
        <f t="shared" ca="1" si="4"/>
        <v>1,3-diethylbenzene (meta)</v>
      </c>
      <c r="G14" s="246">
        <f t="shared" ca="1" si="5"/>
        <v>134.21816000000001</v>
      </c>
      <c r="H14" s="204" t="str">
        <f ca="1">IF(G14="","",IF(VLOOKUP(Dehydration_Tank!F14,'Species Data'!D:F,3,FALSE)=0,"X",IF(G14&lt;44.1,2,1)))</f>
        <v>X</v>
      </c>
      <c r="I14" s="204">
        <f t="shared" ca="1" si="1"/>
        <v>0.21040000000000003</v>
      </c>
      <c r="J14" s="247" t="str">
        <f ca="1">IF(I14="","",IF(COUNTIF($D$12:D14,D14)=1,IF(H14=1,I14*H14,IF(H14="X","X",0)),0))</f>
        <v>X</v>
      </c>
      <c r="K14" s="248">
        <f t="shared" ca="1" si="6"/>
        <v>0</v>
      </c>
      <c r="L14" s="212" t="s">
        <v>682</v>
      </c>
      <c r="M14" s="212" t="s">
        <v>448</v>
      </c>
      <c r="N14" s="212" t="s">
        <v>470</v>
      </c>
      <c r="O14" s="213">
        <v>41419</v>
      </c>
      <c r="P14" s="212" t="s">
        <v>531</v>
      </c>
      <c r="Q14" s="214">
        <v>100</v>
      </c>
      <c r="R14" s="212" t="s">
        <v>445</v>
      </c>
      <c r="S14" s="212" t="s">
        <v>532</v>
      </c>
      <c r="T14" s="212" t="s">
        <v>445</v>
      </c>
      <c r="U14" s="212" t="s">
        <v>446</v>
      </c>
      <c r="V14" s="214" t="b">
        <v>1</v>
      </c>
      <c r="W14" s="214">
        <v>1989</v>
      </c>
      <c r="X14" s="214">
        <v>5</v>
      </c>
      <c r="Y14" s="214">
        <v>2</v>
      </c>
      <c r="Z14" s="214">
        <v>4</v>
      </c>
      <c r="AA14" s="212" t="s">
        <v>447</v>
      </c>
      <c r="AB14" s="212" t="s">
        <v>531</v>
      </c>
      <c r="AC14" s="212" t="s">
        <v>533</v>
      </c>
      <c r="AD14" s="214">
        <v>1.089618</v>
      </c>
      <c r="AE14" s="214">
        <v>51</v>
      </c>
      <c r="AF14" s="214">
        <v>0.2104</v>
      </c>
      <c r="AG14" s="214">
        <v>-99</v>
      </c>
      <c r="AH14" s="212" t="s">
        <v>224</v>
      </c>
      <c r="AI14" s="212" t="s">
        <v>449</v>
      </c>
      <c r="AJ14" s="212" t="s">
        <v>634</v>
      </c>
      <c r="AK14" s="212" t="s">
        <v>531</v>
      </c>
      <c r="AL14" s="212" t="s">
        <v>635</v>
      </c>
      <c r="AM14" s="214" t="b">
        <v>1</v>
      </c>
      <c r="AN14" s="214" t="b">
        <v>0</v>
      </c>
      <c r="AO14" s="212" t="s">
        <v>636</v>
      </c>
      <c r="AP14" s="212" t="s">
        <v>637</v>
      </c>
      <c r="AQ14" s="214">
        <v>134.21816000000001</v>
      </c>
      <c r="AR14" s="214" t="b">
        <v>0</v>
      </c>
      <c r="AS14" s="212" t="s">
        <v>534</v>
      </c>
      <c r="AU14" s="195" t="s">
        <v>819</v>
      </c>
    </row>
    <row r="15" spans="1:47" x14ac:dyDescent="0.25">
      <c r="A15" s="245">
        <f t="shared" si="7"/>
        <v>15</v>
      </c>
      <c r="B15" s="246" t="str">
        <f t="shared" si="0"/>
        <v>Oil Field - Dehydration Tank</v>
      </c>
      <c r="C15" s="246" t="str">
        <f ca="1">IF(B15="","",VLOOKUP(D15,'Species Data'!B:E,4,FALSE))</f>
        <v>dietben14</v>
      </c>
      <c r="D15" s="246">
        <f t="shared" ca="1" si="2"/>
        <v>59</v>
      </c>
      <c r="E15" s="246">
        <f t="shared" ca="1" si="3"/>
        <v>0.21060000000000001</v>
      </c>
      <c r="F15" s="246" t="str">
        <f t="shared" ca="1" si="4"/>
        <v>1,4-diethylbenzene (para)</v>
      </c>
      <c r="G15" s="246">
        <f t="shared" ca="1" si="5"/>
        <v>134.21816000000001</v>
      </c>
      <c r="H15" s="204" t="str">
        <f ca="1">IF(G15="","",IF(VLOOKUP(Dehydration_Tank!F15,'Species Data'!D:F,3,FALSE)=0,"X",IF(G15&lt;44.1,2,1)))</f>
        <v>X</v>
      </c>
      <c r="I15" s="204">
        <f t="shared" ca="1" si="1"/>
        <v>0.21060000000000004</v>
      </c>
      <c r="J15" s="247" t="str">
        <f ca="1">IF(I15="","",IF(COUNTIF($D$12:D15,D15)=1,IF(H15=1,I15*H15,IF(H15="X","X",0)),0))</f>
        <v>X</v>
      </c>
      <c r="K15" s="248">
        <f t="shared" ca="1" si="6"/>
        <v>0</v>
      </c>
      <c r="L15" s="212" t="s">
        <v>682</v>
      </c>
      <c r="M15" s="212" t="s">
        <v>448</v>
      </c>
      <c r="N15" s="212" t="s">
        <v>470</v>
      </c>
      <c r="O15" s="213">
        <v>41419</v>
      </c>
      <c r="P15" s="212" t="s">
        <v>531</v>
      </c>
      <c r="Q15" s="214">
        <v>100</v>
      </c>
      <c r="R15" s="212" t="s">
        <v>445</v>
      </c>
      <c r="S15" s="212" t="s">
        <v>532</v>
      </c>
      <c r="T15" s="212" t="s">
        <v>445</v>
      </c>
      <c r="U15" s="212" t="s">
        <v>446</v>
      </c>
      <c r="V15" s="214" t="b">
        <v>1</v>
      </c>
      <c r="W15" s="214">
        <v>1989</v>
      </c>
      <c r="X15" s="214">
        <v>5</v>
      </c>
      <c r="Y15" s="214">
        <v>2</v>
      </c>
      <c r="Z15" s="214">
        <v>4</v>
      </c>
      <c r="AA15" s="212" t="s">
        <v>447</v>
      </c>
      <c r="AB15" s="212" t="s">
        <v>531</v>
      </c>
      <c r="AC15" s="212" t="s">
        <v>533</v>
      </c>
      <c r="AD15" s="214">
        <v>1.089618</v>
      </c>
      <c r="AE15" s="214">
        <v>59</v>
      </c>
      <c r="AF15" s="214">
        <v>0.21060000000000001</v>
      </c>
      <c r="AG15" s="214">
        <v>-99</v>
      </c>
      <c r="AH15" s="212" t="s">
        <v>224</v>
      </c>
      <c r="AI15" s="212" t="s">
        <v>449</v>
      </c>
      <c r="AJ15" s="212" t="s">
        <v>638</v>
      </c>
      <c r="AK15" s="212" t="s">
        <v>531</v>
      </c>
      <c r="AL15" s="212" t="s">
        <v>639</v>
      </c>
      <c r="AM15" s="214" t="b">
        <v>1</v>
      </c>
      <c r="AN15" s="214" t="b">
        <v>0</v>
      </c>
      <c r="AO15" s="212" t="s">
        <v>640</v>
      </c>
      <c r="AP15" s="212" t="s">
        <v>641</v>
      </c>
      <c r="AQ15" s="214">
        <v>134.21816000000001</v>
      </c>
      <c r="AR15" s="214" t="b">
        <v>0</v>
      </c>
      <c r="AS15" s="212" t="s">
        <v>534</v>
      </c>
      <c r="AU15" s="195" t="s">
        <v>819</v>
      </c>
    </row>
    <row r="16" spans="1:47" ht="15" customHeight="1" x14ac:dyDescent="0.25">
      <c r="A16" s="245">
        <f t="shared" si="7"/>
        <v>16</v>
      </c>
      <c r="B16" s="246" t="str">
        <f t="shared" si="0"/>
        <v>Oil Field - Dehydration Tank</v>
      </c>
      <c r="C16" s="246" t="str">
        <f ca="1">IF(B16="","",VLOOKUP(D16,'Species Data'!B:E,4,FALSE))</f>
        <v>ethben12</v>
      </c>
      <c r="D16" s="246">
        <f t="shared" ca="1" si="2"/>
        <v>80</v>
      </c>
      <c r="E16" s="246">
        <f t="shared" ca="1" si="3"/>
        <v>0.16880000000000001</v>
      </c>
      <c r="F16" s="246" t="str">
        <f t="shared" ca="1" si="4"/>
        <v>1-Methyl-2-ethylbenzene</v>
      </c>
      <c r="G16" s="246">
        <f t="shared" ca="1" si="5"/>
        <v>120.19158</v>
      </c>
      <c r="H16" s="204">
        <f ca="1">IF(G16="","",IF(VLOOKUP(Dehydration_Tank!F16,'Species Data'!D:F,3,FALSE)=0,"X",IF(G16&lt;44.1,2,1)))</f>
        <v>1</v>
      </c>
      <c r="I16" s="204">
        <f t="shared" ca="1" si="1"/>
        <v>0.16880000000000003</v>
      </c>
      <c r="J16" s="247">
        <f ca="1">IF(I16="","",IF(COUNTIF($D$12:D16,D16)=1,IF(H16=1,I16*H16,IF(H16="X","X",0)),0))</f>
        <v>0.16880000000000003</v>
      </c>
      <c r="K16" s="248">
        <f t="shared" ca="1" si="6"/>
        <v>0.19349432642080205</v>
      </c>
      <c r="L16" s="212" t="s">
        <v>682</v>
      </c>
      <c r="M16" s="212" t="s">
        <v>448</v>
      </c>
      <c r="N16" s="212" t="s">
        <v>470</v>
      </c>
      <c r="O16" s="213">
        <v>41419</v>
      </c>
      <c r="P16" s="212" t="s">
        <v>531</v>
      </c>
      <c r="Q16" s="214">
        <v>100</v>
      </c>
      <c r="R16" s="212" t="s">
        <v>445</v>
      </c>
      <c r="S16" s="212" t="s">
        <v>532</v>
      </c>
      <c r="T16" s="212" t="s">
        <v>445</v>
      </c>
      <c r="U16" s="212" t="s">
        <v>446</v>
      </c>
      <c r="V16" s="214" t="b">
        <v>1</v>
      </c>
      <c r="W16" s="214">
        <v>1989</v>
      </c>
      <c r="X16" s="214">
        <v>5</v>
      </c>
      <c r="Y16" s="214">
        <v>2</v>
      </c>
      <c r="Z16" s="214">
        <v>4</v>
      </c>
      <c r="AA16" s="212" t="s">
        <v>447</v>
      </c>
      <c r="AB16" s="212" t="s">
        <v>531</v>
      </c>
      <c r="AC16" s="212" t="s">
        <v>533</v>
      </c>
      <c r="AD16" s="214">
        <v>1.089618</v>
      </c>
      <c r="AE16" s="214">
        <v>80</v>
      </c>
      <c r="AF16" s="214">
        <v>0.16880000000000001</v>
      </c>
      <c r="AG16" s="214">
        <v>-99</v>
      </c>
      <c r="AH16" s="212" t="s">
        <v>224</v>
      </c>
      <c r="AI16" s="212" t="s">
        <v>449</v>
      </c>
      <c r="AJ16" s="212" t="s">
        <v>408</v>
      </c>
      <c r="AK16" s="212" t="s">
        <v>531</v>
      </c>
      <c r="AL16" s="212" t="s">
        <v>450</v>
      </c>
      <c r="AM16" s="214" t="b">
        <v>1</v>
      </c>
      <c r="AN16" s="214" t="b">
        <v>0</v>
      </c>
      <c r="AO16" s="212" t="s">
        <v>409</v>
      </c>
      <c r="AP16" s="212" t="s">
        <v>410</v>
      </c>
      <c r="AQ16" s="214">
        <v>120.19158</v>
      </c>
      <c r="AR16" s="214" t="b">
        <v>0</v>
      </c>
      <c r="AS16" s="212" t="s">
        <v>534</v>
      </c>
      <c r="AU16" s="195" t="s">
        <v>819</v>
      </c>
    </row>
    <row r="17" spans="1:47" x14ac:dyDescent="0.25">
      <c r="A17" s="245">
        <f t="shared" si="7"/>
        <v>17</v>
      </c>
      <c r="B17" s="246" t="str">
        <f t="shared" si="0"/>
        <v>Oil Field - Dehydration Tank</v>
      </c>
      <c r="C17" s="246" t="str">
        <f ca="1">IF(B17="","",VLOOKUP(D17,'Species Data'!B:E,4,FALSE))</f>
        <v>ethben13</v>
      </c>
      <c r="D17" s="246">
        <f t="shared" ca="1" si="2"/>
        <v>89</v>
      </c>
      <c r="E17" s="246">
        <f t="shared" ca="1" si="3"/>
        <v>0.28989999999999999</v>
      </c>
      <c r="F17" s="246" t="str">
        <f t="shared" ca="1" si="4"/>
        <v>1-Methyl-3-ethylbenzene (3-Ethyltoluene)</v>
      </c>
      <c r="G17" s="246">
        <f t="shared" ca="1" si="5"/>
        <v>120.19158</v>
      </c>
      <c r="H17" s="204">
        <f ca="1">IF(G17="","",IF(VLOOKUP(Dehydration_Tank!F17,'Species Data'!D:F,3,FALSE)=0,"X",IF(G17&lt;44.1,2,1)))</f>
        <v>1</v>
      </c>
      <c r="I17" s="204">
        <f t="shared" ca="1" si="1"/>
        <v>0.28990000000000005</v>
      </c>
      <c r="J17" s="247">
        <f ca="1">IF(I17="","",IF(COUNTIF($D$12:D17,D17)=1,IF(H17=1,I17*H17,IF(H17="X","X",0)),0))</f>
        <v>0.28990000000000005</v>
      </c>
      <c r="K17" s="248">
        <f t="shared" ca="1" si="6"/>
        <v>0.33231045752008592</v>
      </c>
      <c r="L17" s="212" t="s">
        <v>682</v>
      </c>
      <c r="M17" s="212" t="s">
        <v>448</v>
      </c>
      <c r="N17" s="212" t="s">
        <v>470</v>
      </c>
      <c r="O17" s="213">
        <v>41419</v>
      </c>
      <c r="P17" s="212" t="s">
        <v>531</v>
      </c>
      <c r="Q17" s="214">
        <v>100</v>
      </c>
      <c r="R17" s="212" t="s">
        <v>445</v>
      </c>
      <c r="S17" s="212" t="s">
        <v>532</v>
      </c>
      <c r="T17" s="212" t="s">
        <v>445</v>
      </c>
      <c r="U17" s="212" t="s">
        <v>446</v>
      </c>
      <c r="V17" s="214" t="b">
        <v>1</v>
      </c>
      <c r="W17" s="214">
        <v>1989</v>
      </c>
      <c r="X17" s="214">
        <v>5</v>
      </c>
      <c r="Y17" s="214">
        <v>2</v>
      </c>
      <c r="Z17" s="214">
        <v>4</v>
      </c>
      <c r="AA17" s="212" t="s">
        <v>447</v>
      </c>
      <c r="AB17" s="212" t="s">
        <v>531</v>
      </c>
      <c r="AC17" s="212" t="s">
        <v>533</v>
      </c>
      <c r="AD17" s="214">
        <v>1.089618</v>
      </c>
      <c r="AE17" s="214">
        <v>89</v>
      </c>
      <c r="AF17" s="214">
        <v>0.28989999999999999</v>
      </c>
      <c r="AG17" s="214">
        <v>-99</v>
      </c>
      <c r="AH17" s="212" t="s">
        <v>224</v>
      </c>
      <c r="AI17" s="212" t="s">
        <v>449</v>
      </c>
      <c r="AJ17" s="212" t="s">
        <v>411</v>
      </c>
      <c r="AK17" s="212" t="s">
        <v>531</v>
      </c>
      <c r="AL17" s="212" t="s">
        <v>451</v>
      </c>
      <c r="AM17" s="214" t="b">
        <v>1</v>
      </c>
      <c r="AN17" s="214" t="b">
        <v>0</v>
      </c>
      <c r="AO17" s="212" t="s">
        <v>412</v>
      </c>
      <c r="AP17" s="212" t="s">
        <v>413</v>
      </c>
      <c r="AQ17" s="214">
        <v>120.19158</v>
      </c>
      <c r="AR17" s="214" t="b">
        <v>0</v>
      </c>
      <c r="AS17" s="212" t="s">
        <v>534</v>
      </c>
      <c r="AU17" s="195" t="s">
        <v>819</v>
      </c>
    </row>
    <row r="18" spans="1:47" x14ac:dyDescent="0.25">
      <c r="A18" s="245">
        <f t="shared" si="7"/>
        <v>18</v>
      </c>
      <c r="B18" s="246" t="str">
        <f t="shared" si="0"/>
        <v>Oil Field - Dehydration Tank</v>
      </c>
      <c r="C18" s="246" t="str">
        <f ca="1">IF(B18="","",VLOOKUP(D18,'Species Data'!B:E,4,FALSE))</f>
        <v>dimetbut22</v>
      </c>
      <c r="D18" s="246">
        <f t="shared" ca="1" si="2"/>
        <v>122</v>
      </c>
      <c r="E18" s="246">
        <f t="shared" ca="1" si="3"/>
        <v>0.25019999999999998</v>
      </c>
      <c r="F18" s="246" t="str">
        <f t="shared" ca="1" si="4"/>
        <v>2,2-dimethylbutane</v>
      </c>
      <c r="G18" s="246">
        <f t="shared" ca="1" si="5"/>
        <v>86.175359999999998</v>
      </c>
      <c r="H18" s="204">
        <f ca="1">IF(G18="","",IF(VLOOKUP(Dehydration_Tank!F18,'Species Data'!D:F,3,FALSE)=0,"X",IF(G18&lt;44.1,2,1)))</f>
        <v>1</v>
      </c>
      <c r="I18" s="204">
        <f t="shared" ca="1" si="1"/>
        <v>0.25020000000000003</v>
      </c>
      <c r="J18" s="247">
        <f ca="1">IF(I18="","",IF(COUNTIF($D$12:D18,D18)=1,IF(H18=1,I18*H18,IF(H18="X","X",0)),0))</f>
        <v>0.25020000000000003</v>
      </c>
      <c r="K18" s="248">
        <f t="shared" ca="1" si="6"/>
        <v>0.28680260942230251</v>
      </c>
      <c r="L18" s="212" t="s">
        <v>682</v>
      </c>
      <c r="M18" s="212" t="s">
        <v>448</v>
      </c>
      <c r="N18" s="212" t="s">
        <v>470</v>
      </c>
      <c r="O18" s="213">
        <v>41419</v>
      </c>
      <c r="P18" s="212" t="s">
        <v>531</v>
      </c>
      <c r="Q18" s="214">
        <v>100</v>
      </c>
      <c r="R18" s="212" t="s">
        <v>445</v>
      </c>
      <c r="S18" s="212" t="s">
        <v>532</v>
      </c>
      <c r="T18" s="212" t="s">
        <v>445</v>
      </c>
      <c r="U18" s="212" t="s">
        <v>446</v>
      </c>
      <c r="V18" s="214" t="b">
        <v>1</v>
      </c>
      <c r="W18" s="214">
        <v>1989</v>
      </c>
      <c r="X18" s="214">
        <v>5</v>
      </c>
      <c r="Y18" s="214">
        <v>2</v>
      </c>
      <c r="Z18" s="214">
        <v>4</v>
      </c>
      <c r="AA18" s="212" t="s">
        <v>447</v>
      </c>
      <c r="AB18" s="212" t="s">
        <v>531</v>
      </c>
      <c r="AC18" s="212" t="s">
        <v>533</v>
      </c>
      <c r="AD18" s="214">
        <v>1.089618</v>
      </c>
      <c r="AE18" s="214">
        <v>122</v>
      </c>
      <c r="AF18" s="214">
        <v>0.25019999999999998</v>
      </c>
      <c r="AG18" s="214">
        <v>-99</v>
      </c>
      <c r="AH18" s="212" t="s">
        <v>224</v>
      </c>
      <c r="AI18" s="212" t="s">
        <v>449</v>
      </c>
      <c r="AJ18" s="212" t="s">
        <v>301</v>
      </c>
      <c r="AK18" s="212" t="s">
        <v>531</v>
      </c>
      <c r="AL18" s="212" t="s">
        <v>384</v>
      </c>
      <c r="AM18" s="214" t="b">
        <v>1</v>
      </c>
      <c r="AN18" s="214" t="b">
        <v>0</v>
      </c>
      <c r="AO18" s="212" t="s">
        <v>302</v>
      </c>
      <c r="AP18" s="212" t="s">
        <v>303</v>
      </c>
      <c r="AQ18" s="214">
        <v>86.175359999999998</v>
      </c>
      <c r="AR18" s="214" t="b">
        <v>0</v>
      </c>
      <c r="AS18" s="212" t="s">
        <v>534</v>
      </c>
      <c r="AU18" s="195" t="s">
        <v>819</v>
      </c>
    </row>
    <row r="19" spans="1:47" x14ac:dyDescent="0.25">
      <c r="A19" s="245">
        <f t="shared" si="7"/>
        <v>19</v>
      </c>
      <c r="B19" s="246" t="str">
        <f t="shared" si="0"/>
        <v>Oil Field - Dehydration Tank</v>
      </c>
      <c r="C19" s="246" t="str">
        <f ca="1">IF(B19="","",VLOOKUP(D19,'Species Data'!B:E,4,FALSE))</f>
        <v>dimethpro</v>
      </c>
      <c r="D19" s="246">
        <f t="shared" ca="1" si="2"/>
        <v>127</v>
      </c>
      <c r="E19" s="246">
        <f t="shared" ca="1" si="3"/>
        <v>0.20649999999999999</v>
      </c>
      <c r="F19" s="246" t="str">
        <f t="shared" ca="1" si="4"/>
        <v>2,2-dimethylpropane</v>
      </c>
      <c r="G19" s="246">
        <f t="shared" ca="1" si="5"/>
        <v>72.148780000000002</v>
      </c>
      <c r="H19" s="204">
        <f ca="1">IF(G19="","",IF(VLOOKUP(Dehydration_Tank!F19,'Species Data'!D:F,3,FALSE)=0,"X",IF(G19&lt;44.1,2,1)))</f>
        <v>1</v>
      </c>
      <c r="I19" s="204">
        <f t="shared" ca="1" si="1"/>
        <v>0.20650000000000002</v>
      </c>
      <c r="J19" s="247">
        <f ca="1">IF(I19="","",IF(COUNTIF($D$12:D19,D19)=1,IF(H19=1,I19*H19,IF(H19="X","X",0)),0))</f>
        <v>0.20650000000000002</v>
      </c>
      <c r="K19" s="248">
        <f t="shared" ca="1" si="6"/>
        <v>0.23670958771265177</v>
      </c>
      <c r="L19" s="212" t="s">
        <v>682</v>
      </c>
      <c r="M19" s="212" t="s">
        <v>448</v>
      </c>
      <c r="N19" s="212" t="s">
        <v>470</v>
      </c>
      <c r="O19" s="213">
        <v>41419</v>
      </c>
      <c r="P19" s="212" t="s">
        <v>531</v>
      </c>
      <c r="Q19" s="214">
        <v>100</v>
      </c>
      <c r="R19" s="212" t="s">
        <v>445</v>
      </c>
      <c r="S19" s="212" t="s">
        <v>532</v>
      </c>
      <c r="T19" s="212" t="s">
        <v>445</v>
      </c>
      <c r="U19" s="212" t="s">
        <v>446</v>
      </c>
      <c r="V19" s="214" t="b">
        <v>1</v>
      </c>
      <c r="W19" s="214">
        <v>1989</v>
      </c>
      <c r="X19" s="214">
        <v>5</v>
      </c>
      <c r="Y19" s="214">
        <v>2</v>
      </c>
      <c r="Z19" s="214">
        <v>4</v>
      </c>
      <c r="AA19" s="212" t="s">
        <v>447</v>
      </c>
      <c r="AB19" s="212" t="s">
        <v>531</v>
      </c>
      <c r="AC19" s="212" t="s">
        <v>533</v>
      </c>
      <c r="AD19" s="214">
        <v>1.089618</v>
      </c>
      <c r="AE19" s="214">
        <v>127</v>
      </c>
      <c r="AF19" s="214">
        <v>0.20649999999999999</v>
      </c>
      <c r="AG19" s="214">
        <v>-99</v>
      </c>
      <c r="AH19" s="212" t="s">
        <v>224</v>
      </c>
      <c r="AI19" s="212" t="s">
        <v>449</v>
      </c>
      <c r="AJ19" s="212" t="s">
        <v>441</v>
      </c>
      <c r="AK19" s="212" t="s">
        <v>531</v>
      </c>
      <c r="AL19" s="212" t="s">
        <v>462</v>
      </c>
      <c r="AM19" s="214" t="b">
        <v>0</v>
      </c>
      <c r="AN19" s="214" t="b">
        <v>0</v>
      </c>
      <c r="AO19" s="212" t="s">
        <v>442</v>
      </c>
      <c r="AP19" s="212" t="s">
        <v>531</v>
      </c>
      <c r="AQ19" s="214">
        <v>72.148780000000002</v>
      </c>
      <c r="AR19" s="214" t="b">
        <v>0</v>
      </c>
      <c r="AS19" s="212" t="s">
        <v>534</v>
      </c>
      <c r="AU19" s="195" t="s">
        <v>819</v>
      </c>
    </row>
    <row r="20" spans="1:47" x14ac:dyDescent="0.25">
      <c r="A20" s="245">
        <f t="shared" si="7"/>
        <v>20</v>
      </c>
      <c r="B20" s="246" t="str">
        <f t="shared" si="0"/>
        <v>Oil Field - Dehydration Tank</v>
      </c>
      <c r="C20" s="246" t="str">
        <f ca="1">IF(B20="","",VLOOKUP(D20,'Species Data'!B:E,4,FALSE))</f>
        <v>trimentpen3</v>
      </c>
      <c r="D20" s="246">
        <f t="shared" ca="1" si="2"/>
        <v>130</v>
      </c>
      <c r="E20" s="246">
        <f t="shared" ca="1" si="3"/>
        <v>0.36649999999999999</v>
      </c>
      <c r="F20" s="246" t="str">
        <f t="shared" ca="1" si="4"/>
        <v>2,3,4-trimethylpentane</v>
      </c>
      <c r="G20" s="246">
        <f t="shared" ca="1" si="5"/>
        <v>114.22852</v>
      </c>
      <c r="H20" s="204">
        <f ca="1">IF(G20="","",IF(VLOOKUP(Dehydration_Tank!F20,'Species Data'!D:F,3,FALSE)=0,"X",IF(G20&lt;44.1,2,1)))</f>
        <v>1</v>
      </c>
      <c r="I20" s="204">
        <f t="shared" ca="1" si="1"/>
        <v>0.36650000000000005</v>
      </c>
      <c r="J20" s="247">
        <f ca="1">IF(I20="","",IF(COUNTIF($D$12:D20,D20)=1,IF(H20=1,I20*H20,IF(H20="X","X",0)),0))</f>
        <v>0.36650000000000005</v>
      </c>
      <c r="K20" s="248">
        <f t="shared" ca="1" si="6"/>
        <v>0.42011653218734563</v>
      </c>
      <c r="L20" s="212" t="s">
        <v>682</v>
      </c>
      <c r="M20" s="212" t="s">
        <v>448</v>
      </c>
      <c r="N20" s="212" t="s">
        <v>470</v>
      </c>
      <c r="O20" s="213">
        <v>41419</v>
      </c>
      <c r="P20" s="212" t="s">
        <v>531</v>
      </c>
      <c r="Q20" s="214">
        <v>100</v>
      </c>
      <c r="R20" s="212" t="s">
        <v>445</v>
      </c>
      <c r="S20" s="212" t="s">
        <v>532</v>
      </c>
      <c r="T20" s="212" t="s">
        <v>445</v>
      </c>
      <c r="U20" s="212" t="s">
        <v>446</v>
      </c>
      <c r="V20" s="214" t="b">
        <v>1</v>
      </c>
      <c r="W20" s="214">
        <v>1989</v>
      </c>
      <c r="X20" s="214">
        <v>5</v>
      </c>
      <c r="Y20" s="214">
        <v>2</v>
      </c>
      <c r="Z20" s="214">
        <v>4</v>
      </c>
      <c r="AA20" s="212" t="s">
        <v>447</v>
      </c>
      <c r="AB20" s="212" t="s">
        <v>531</v>
      </c>
      <c r="AC20" s="212" t="s">
        <v>533</v>
      </c>
      <c r="AD20" s="214">
        <v>1.089618</v>
      </c>
      <c r="AE20" s="214">
        <v>130</v>
      </c>
      <c r="AF20" s="214">
        <v>0.36649999999999999</v>
      </c>
      <c r="AG20" s="214">
        <v>-99</v>
      </c>
      <c r="AH20" s="212" t="s">
        <v>224</v>
      </c>
      <c r="AI20" s="212" t="s">
        <v>449</v>
      </c>
      <c r="AJ20" s="212" t="s">
        <v>404</v>
      </c>
      <c r="AK20" s="212" t="s">
        <v>531</v>
      </c>
      <c r="AL20" s="212" t="s">
        <v>405</v>
      </c>
      <c r="AM20" s="214" t="b">
        <v>1</v>
      </c>
      <c r="AN20" s="214" t="b">
        <v>0</v>
      </c>
      <c r="AO20" s="212" t="s">
        <v>406</v>
      </c>
      <c r="AP20" s="212" t="s">
        <v>407</v>
      </c>
      <c r="AQ20" s="214">
        <v>114.22852</v>
      </c>
      <c r="AR20" s="214" t="b">
        <v>0</v>
      </c>
      <c r="AS20" s="212" t="s">
        <v>534</v>
      </c>
      <c r="AU20" s="195" t="s">
        <v>819</v>
      </c>
    </row>
    <row r="21" spans="1:47" x14ac:dyDescent="0.25">
      <c r="A21" s="245">
        <f t="shared" si="7"/>
        <v>21</v>
      </c>
      <c r="B21" s="246" t="str">
        <f t="shared" si="0"/>
        <v>Oil Field - Dehydration Tank</v>
      </c>
      <c r="C21" s="246" t="str">
        <f ca="1">IF(B21="","",VLOOKUP(D21,'Species Data'!B:E,4,FALSE))</f>
        <v>dimethhex23</v>
      </c>
      <c r="D21" s="246">
        <f t="shared" ca="1" si="2"/>
        <v>138</v>
      </c>
      <c r="E21" s="246">
        <f t="shared" ca="1" si="3"/>
        <v>0.19980000000000001</v>
      </c>
      <c r="F21" s="246" t="str">
        <f t="shared" ca="1" si="4"/>
        <v>2,3-dimethylhexane</v>
      </c>
      <c r="G21" s="246">
        <f t="shared" ca="1" si="5"/>
        <v>114.22852</v>
      </c>
      <c r="H21" s="204">
        <f ca="1">IF(G21="","",IF(VLOOKUP(Dehydration_Tank!F21,'Species Data'!D:F,3,FALSE)=0,"X",IF(G21&lt;44.1,2,1)))</f>
        <v>1</v>
      </c>
      <c r="I21" s="204">
        <f t="shared" ca="1" si="1"/>
        <v>0.19980000000000003</v>
      </c>
      <c r="J21" s="247">
        <f ca="1">IF(I21="","",IF(COUNTIF($D$12:D21,D21)=1,IF(H21=1,I21*H21,IF(H21="X","X",0)),0))</f>
        <v>0.19980000000000003</v>
      </c>
      <c r="K21" s="248">
        <f t="shared" ca="1" si="6"/>
        <v>0.22902942191277398</v>
      </c>
      <c r="L21" s="212" t="s">
        <v>682</v>
      </c>
      <c r="M21" s="212" t="s">
        <v>448</v>
      </c>
      <c r="N21" s="212" t="s">
        <v>470</v>
      </c>
      <c r="O21" s="213">
        <v>41419</v>
      </c>
      <c r="P21" s="212" t="s">
        <v>531</v>
      </c>
      <c r="Q21" s="214">
        <v>100</v>
      </c>
      <c r="R21" s="212" t="s">
        <v>445</v>
      </c>
      <c r="S21" s="212" t="s">
        <v>532</v>
      </c>
      <c r="T21" s="212" t="s">
        <v>445</v>
      </c>
      <c r="U21" s="212" t="s">
        <v>446</v>
      </c>
      <c r="V21" s="214" t="b">
        <v>1</v>
      </c>
      <c r="W21" s="214">
        <v>1989</v>
      </c>
      <c r="X21" s="214">
        <v>5</v>
      </c>
      <c r="Y21" s="214">
        <v>2</v>
      </c>
      <c r="Z21" s="214">
        <v>4</v>
      </c>
      <c r="AA21" s="212" t="s">
        <v>447</v>
      </c>
      <c r="AB21" s="212" t="s">
        <v>531</v>
      </c>
      <c r="AC21" s="212" t="s">
        <v>533</v>
      </c>
      <c r="AD21" s="214">
        <v>1.089618</v>
      </c>
      <c r="AE21" s="214">
        <v>138</v>
      </c>
      <c r="AF21" s="214">
        <v>0.19980000000000001</v>
      </c>
      <c r="AG21" s="214">
        <v>-99</v>
      </c>
      <c r="AH21" s="212" t="s">
        <v>224</v>
      </c>
      <c r="AI21" s="212" t="s">
        <v>449</v>
      </c>
      <c r="AJ21" s="212" t="s">
        <v>443</v>
      </c>
      <c r="AK21" s="212" t="s">
        <v>531</v>
      </c>
      <c r="AL21" s="212" t="s">
        <v>463</v>
      </c>
      <c r="AM21" s="214" t="b">
        <v>0</v>
      </c>
      <c r="AN21" s="214" t="b">
        <v>0</v>
      </c>
      <c r="AO21" s="212" t="s">
        <v>444</v>
      </c>
      <c r="AP21" s="212" t="s">
        <v>531</v>
      </c>
      <c r="AQ21" s="214">
        <v>114.22852</v>
      </c>
      <c r="AR21" s="214" t="b">
        <v>0</v>
      </c>
      <c r="AS21" s="212" t="s">
        <v>534</v>
      </c>
      <c r="AU21" s="195" t="s">
        <v>819</v>
      </c>
    </row>
    <row r="22" spans="1:47" x14ac:dyDescent="0.25">
      <c r="A22" s="245">
        <f t="shared" si="7"/>
        <v>22</v>
      </c>
      <c r="B22" s="246" t="str">
        <f t="shared" si="0"/>
        <v>Oil Field - Dehydration Tank</v>
      </c>
      <c r="C22" s="246" t="str">
        <f ca="1">IF(B22="","",VLOOKUP(D22,'Species Data'!B:E,4,FALSE))</f>
        <v>dimetpen3</v>
      </c>
      <c r="D22" s="246">
        <f t="shared" ca="1" si="2"/>
        <v>140</v>
      </c>
      <c r="E22" s="246">
        <f t="shared" ca="1" si="3"/>
        <v>0.94889999999999997</v>
      </c>
      <c r="F22" s="246" t="str">
        <f t="shared" ca="1" si="4"/>
        <v>2,3-dimethylpentane</v>
      </c>
      <c r="G22" s="246">
        <f t="shared" ca="1" si="5"/>
        <v>100.20194000000001</v>
      </c>
      <c r="H22" s="204">
        <f ca="1">IF(G22="","",IF(VLOOKUP(Dehydration_Tank!F22,'Species Data'!D:F,3,FALSE)=0,"X",IF(G22&lt;44.1,2,1)))</f>
        <v>1</v>
      </c>
      <c r="I22" s="204">
        <f t="shared" ca="1" si="1"/>
        <v>0.94890000000000008</v>
      </c>
      <c r="J22" s="247">
        <f ca="1">IF(I22="","",IF(COUNTIF($D$12:D22,D22)=1,IF(H22=1,I22*H22,IF(H22="X","X",0)),0))</f>
        <v>0.94890000000000008</v>
      </c>
      <c r="K22" s="248">
        <f t="shared" ca="1" si="6"/>
        <v>1.0877178100752312</v>
      </c>
      <c r="L22" s="212" t="s">
        <v>682</v>
      </c>
      <c r="M22" s="212" t="s">
        <v>448</v>
      </c>
      <c r="N22" s="212" t="s">
        <v>470</v>
      </c>
      <c r="O22" s="213">
        <v>41419</v>
      </c>
      <c r="P22" s="212" t="s">
        <v>531</v>
      </c>
      <c r="Q22" s="214">
        <v>100</v>
      </c>
      <c r="R22" s="212" t="s">
        <v>445</v>
      </c>
      <c r="S22" s="212" t="s">
        <v>532</v>
      </c>
      <c r="T22" s="212" t="s">
        <v>445</v>
      </c>
      <c r="U22" s="212" t="s">
        <v>446</v>
      </c>
      <c r="V22" s="214" t="b">
        <v>1</v>
      </c>
      <c r="W22" s="214">
        <v>1989</v>
      </c>
      <c r="X22" s="214">
        <v>5</v>
      </c>
      <c r="Y22" s="214">
        <v>2</v>
      </c>
      <c r="Z22" s="214">
        <v>4</v>
      </c>
      <c r="AA22" s="212" t="s">
        <v>447</v>
      </c>
      <c r="AB22" s="212" t="s">
        <v>531</v>
      </c>
      <c r="AC22" s="212" t="s">
        <v>533</v>
      </c>
      <c r="AD22" s="214">
        <v>1.089618</v>
      </c>
      <c r="AE22" s="214">
        <v>140</v>
      </c>
      <c r="AF22" s="214">
        <v>0.94889999999999997</v>
      </c>
      <c r="AG22" s="214">
        <v>-99</v>
      </c>
      <c r="AH22" s="212" t="s">
        <v>224</v>
      </c>
      <c r="AI22" s="212" t="s">
        <v>449</v>
      </c>
      <c r="AJ22" s="212" t="s">
        <v>307</v>
      </c>
      <c r="AK22" s="212" t="s">
        <v>531</v>
      </c>
      <c r="AL22" s="212" t="s">
        <v>385</v>
      </c>
      <c r="AM22" s="214" t="b">
        <v>1</v>
      </c>
      <c r="AN22" s="214" t="b">
        <v>0</v>
      </c>
      <c r="AO22" s="212" t="s">
        <v>308</v>
      </c>
      <c r="AP22" s="212" t="s">
        <v>309</v>
      </c>
      <c r="AQ22" s="214">
        <v>100.20194000000001</v>
      </c>
      <c r="AR22" s="214" t="b">
        <v>0</v>
      </c>
      <c r="AS22" s="212" t="s">
        <v>534</v>
      </c>
      <c r="AU22" s="195" t="s">
        <v>819</v>
      </c>
    </row>
    <row r="23" spans="1:47" x14ac:dyDescent="0.25">
      <c r="A23" s="245">
        <f t="shared" si="7"/>
        <v>23</v>
      </c>
      <c r="B23" s="246" t="str">
        <f t="shared" si="0"/>
        <v>Oil Field - Dehydration Tank</v>
      </c>
      <c r="C23" s="246" t="str">
        <f ca="1">IF(B23="","",VLOOKUP(D23,'Species Data'!B:E,4,FALSE))</f>
        <v>dimethhex24</v>
      </c>
      <c r="D23" s="246">
        <f t="shared" ca="1" si="2"/>
        <v>149</v>
      </c>
      <c r="E23" s="246">
        <f t="shared" ca="1" si="3"/>
        <v>0.23849999999999999</v>
      </c>
      <c r="F23" s="246" t="str">
        <f t="shared" ca="1" si="4"/>
        <v>2,4-dimethylhexane</v>
      </c>
      <c r="G23" s="246">
        <f t="shared" ca="1" si="5"/>
        <v>114.22852</v>
      </c>
      <c r="H23" s="204">
        <f ca="1">IF(G23="","",IF(VLOOKUP(Dehydration_Tank!F23,'Species Data'!D:F,3,FALSE)=0,"X",IF(G23&lt;44.1,2,1)))</f>
        <v>1</v>
      </c>
      <c r="I23" s="204">
        <f t="shared" ca="1" si="1"/>
        <v>0.23850000000000002</v>
      </c>
      <c r="J23" s="247">
        <f ca="1">IF(I23="","",IF(COUNTIF($D$12:D23,D23)=1,IF(H23=1,I23*H23,IF(H23="X","X",0)),0))</f>
        <v>0.23850000000000002</v>
      </c>
      <c r="K23" s="248">
        <f t="shared" ca="1" si="6"/>
        <v>0.27339097660759054</v>
      </c>
      <c r="L23" s="212" t="s">
        <v>682</v>
      </c>
      <c r="M23" s="212" t="s">
        <v>448</v>
      </c>
      <c r="N23" s="212" t="s">
        <v>470</v>
      </c>
      <c r="O23" s="213">
        <v>41419</v>
      </c>
      <c r="P23" s="212" t="s">
        <v>531</v>
      </c>
      <c r="Q23" s="214">
        <v>100</v>
      </c>
      <c r="R23" s="212" t="s">
        <v>445</v>
      </c>
      <c r="S23" s="212" t="s">
        <v>532</v>
      </c>
      <c r="T23" s="212" t="s">
        <v>445</v>
      </c>
      <c r="U23" s="212" t="s">
        <v>446</v>
      </c>
      <c r="V23" s="214" t="b">
        <v>1</v>
      </c>
      <c r="W23" s="214">
        <v>1989</v>
      </c>
      <c r="X23" s="214">
        <v>5</v>
      </c>
      <c r="Y23" s="214">
        <v>2</v>
      </c>
      <c r="Z23" s="214">
        <v>4</v>
      </c>
      <c r="AA23" s="212" t="s">
        <v>447</v>
      </c>
      <c r="AB23" s="212" t="s">
        <v>531</v>
      </c>
      <c r="AC23" s="212" t="s">
        <v>533</v>
      </c>
      <c r="AD23" s="214">
        <v>1.089618</v>
      </c>
      <c r="AE23" s="214">
        <v>149</v>
      </c>
      <c r="AF23" s="214">
        <v>0.23849999999999999</v>
      </c>
      <c r="AG23" s="214">
        <v>-99</v>
      </c>
      <c r="AH23" s="212" t="s">
        <v>224</v>
      </c>
      <c r="AI23" s="212" t="s">
        <v>449</v>
      </c>
      <c r="AJ23" s="212" t="s">
        <v>427</v>
      </c>
      <c r="AK23" s="212" t="s">
        <v>531</v>
      </c>
      <c r="AL23" s="212" t="s">
        <v>457</v>
      </c>
      <c r="AM23" s="214" t="b">
        <v>0</v>
      </c>
      <c r="AN23" s="214" t="b">
        <v>0</v>
      </c>
      <c r="AO23" s="212" t="s">
        <v>428</v>
      </c>
      <c r="AP23" s="212" t="s">
        <v>429</v>
      </c>
      <c r="AQ23" s="214">
        <v>114.22852</v>
      </c>
      <c r="AR23" s="214" t="b">
        <v>0</v>
      </c>
      <c r="AS23" s="212" t="s">
        <v>534</v>
      </c>
      <c r="AU23" s="195" t="s">
        <v>819</v>
      </c>
    </row>
    <row r="24" spans="1:47" x14ac:dyDescent="0.25">
      <c r="A24" s="245">
        <f t="shared" si="7"/>
        <v>24</v>
      </c>
      <c r="B24" s="246" t="str">
        <f t="shared" si="0"/>
        <v>Oil Field - Dehydration Tank</v>
      </c>
      <c r="C24" s="246" t="str">
        <f ca="1">IF(B24="","",VLOOKUP(D24,'Species Data'!B:E,4,FALSE))</f>
        <v>dimetpen4</v>
      </c>
      <c r="D24" s="246">
        <f t="shared" ca="1" si="2"/>
        <v>152</v>
      </c>
      <c r="E24" s="246">
        <f t="shared" ca="1" si="3"/>
        <v>0.23499999999999999</v>
      </c>
      <c r="F24" s="246" t="str">
        <f t="shared" ca="1" si="4"/>
        <v>2,4-dimethylpentane</v>
      </c>
      <c r="G24" s="246">
        <f t="shared" ca="1" si="5"/>
        <v>100.20194000000001</v>
      </c>
      <c r="H24" s="204">
        <f ca="1">IF(G24="","",IF(VLOOKUP(Dehydration_Tank!F24,'Species Data'!D:F,3,FALSE)=0,"X",IF(G24&lt;44.1,2,1)))</f>
        <v>1</v>
      </c>
      <c r="I24" s="204">
        <f t="shared" ca="1" si="1"/>
        <v>0.23500000000000001</v>
      </c>
      <c r="J24" s="247">
        <f ca="1">IF(I24="","",IF(COUNTIF($D$12:D24,D24)=1,IF(H24=1,I24*H24,IF(H24="X","X",0)),0))</f>
        <v>0.23500000000000001</v>
      </c>
      <c r="K24" s="248">
        <f t="shared" ca="1" si="6"/>
        <v>0.2693789496972066</v>
      </c>
      <c r="L24" s="212" t="s">
        <v>682</v>
      </c>
      <c r="M24" s="212" t="s">
        <v>448</v>
      </c>
      <c r="N24" s="212" t="s">
        <v>470</v>
      </c>
      <c r="O24" s="213">
        <v>41419</v>
      </c>
      <c r="P24" s="212" t="s">
        <v>531</v>
      </c>
      <c r="Q24" s="214">
        <v>100</v>
      </c>
      <c r="R24" s="212" t="s">
        <v>445</v>
      </c>
      <c r="S24" s="212" t="s">
        <v>532</v>
      </c>
      <c r="T24" s="212" t="s">
        <v>445</v>
      </c>
      <c r="U24" s="212" t="s">
        <v>446</v>
      </c>
      <c r="V24" s="214" t="b">
        <v>1</v>
      </c>
      <c r="W24" s="214">
        <v>1989</v>
      </c>
      <c r="X24" s="214">
        <v>5</v>
      </c>
      <c r="Y24" s="214">
        <v>2</v>
      </c>
      <c r="Z24" s="214">
        <v>4</v>
      </c>
      <c r="AA24" s="212" t="s">
        <v>447</v>
      </c>
      <c r="AB24" s="212" t="s">
        <v>531</v>
      </c>
      <c r="AC24" s="212" t="s">
        <v>533</v>
      </c>
      <c r="AD24" s="214">
        <v>1.089618</v>
      </c>
      <c r="AE24" s="214">
        <v>152</v>
      </c>
      <c r="AF24" s="214">
        <v>0.23499999999999999</v>
      </c>
      <c r="AG24" s="214">
        <v>-99</v>
      </c>
      <c r="AH24" s="212" t="s">
        <v>224</v>
      </c>
      <c r="AI24" s="212" t="s">
        <v>449</v>
      </c>
      <c r="AJ24" s="212" t="s">
        <v>310</v>
      </c>
      <c r="AK24" s="212" t="s">
        <v>531</v>
      </c>
      <c r="AL24" s="212" t="s">
        <v>386</v>
      </c>
      <c r="AM24" s="214" t="b">
        <v>1</v>
      </c>
      <c r="AN24" s="214" t="b">
        <v>0</v>
      </c>
      <c r="AO24" s="212" t="s">
        <v>311</v>
      </c>
      <c r="AP24" s="212" t="s">
        <v>312</v>
      </c>
      <c r="AQ24" s="214">
        <v>100.20194000000001</v>
      </c>
      <c r="AR24" s="214" t="b">
        <v>0</v>
      </c>
      <c r="AS24" s="212" t="s">
        <v>534</v>
      </c>
      <c r="AU24" s="195" t="s">
        <v>819</v>
      </c>
    </row>
    <row r="25" spans="1:47" ht="15" customHeight="1" x14ac:dyDescent="0.25">
      <c r="A25" s="245">
        <f t="shared" si="7"/>
        <v>25</v>
      </c>
      <c r="B25" s="246" t="str">
        <f t="shared" si="0"/>
        <v>Oil Field - Dehydration Tank</v>
      </c>
      <c r="C25" s="246" t="str">
        <f ca="1">IF(B25="","",VLOOKUP(D25,'Species Data'!B:E,4,FALSE))</f>
        <v>methep2</v>
      </c>
      <c r="D25" s="246">
        <f t="shared" ca="1" si="2"/>
        <v>193</v>
      </c>
      <c r="E25" s="246">
        <f t="shared" ca="1" si="3"/>
        <v>0.745</v>
      </c>
      <c r="F25" s="246" t="str">
        <f t="shared" ca="1" si="4"/>
        <v>2-methylheptane</v>
      </c>
      <c r="G25" s="246">
        <f t="shared" ca="1" si="5"/>
        <v>114.22852</v>
      </c>
      <c r="H25" s="204">
        <f ca="1">IF(G25="","",IF(VLOOKUP(Dehydration_Tank!F25,'Species Data'!D:F,3,FALSE)=0,"X",IF(G25&lt;44.1,2,1)))</f>
        <v>1</v>
      </c>
      <c r="I25" s="204">
        <f t="shared" ca="1" si="1"/>
        <v>0.74500000000000011</v>
      </c>
      <c r="J25" s="247">
        <f ca="1">IF(I25="","",IF(COUNTIF($D$12:D25,D25)=1,IF(H25=1,I25*H25,IF(H25="X","X",0)),0))</f>
        <v>0.74500000000000011</v>
      </c>
      <c r="K25" s="248">
        <f t="shared" ca="1" si="6"/>
        <v>0.85398858521029342</v>
      </c>
      <c r="L25" s="212" t="s">
        <v>682</v>
      </c>
      <c r="M25" s="212" t="s">
        <v>448</v>
      </c>
      <c r="N25" s="212" t="s">
        <v>470</v>
      </c>
      <c r="O25" s="213">
        <v>41419</v>
      </c>
      <c r="P25" s="212" t="s">
        <v>531</v>
      </c>
      <c r="Q25" s="214">
        <v>100</v>
      </c>
      <c r="R25" s="212" t="s">
        <v>445</v>
      </c>
      <c r="S25" s="212" t="s">
        <v>532</v>
      </c>
      <c r="T25" s="212" t="s">
        <v>445</v>
      </c>
      <c r="U25" s="212" t="s">
        <v>446</v>
      </c>
      <c r="V25" s="214" t="b">
        <v>1</v>
      </c>
      <c r="W25" s="214">
        <v>1989</v>
      </c>
      <c r="X25" s="214">
        <v>5</v>
      </c>
      <c r="Y25" s="214">
        <v>2</v>
      </c>
      <c r="Z25" s="214">
        <v>4</v>
      </c>
      <c r="AA25" s="212" t="s">
        <v>447</v>
      </c>
      <c r="AB25" s="212" t="s">
        <v>531</v>
      </c>
      <c r="AC25" s="212" t="s">
        <v>533</v>
      </c>
      <c r="AD25" s="214">
        <v>1.089618</v>
      </c>
      <c r="AE25" s="214">
        <v>193</v>
      </c>
      <c r="AF25" s="214">
        <v>0.745</v>
      </c>
      <c r="AG25" s="214">
        <v>-99</v>
      </c>
      <c r="AH25" s="212" t="s">
        <v>224</v>
      </c>
      <c r="AI25" s="212" t="s">
        <v>449</v>
      </c>
      <c r="AJ25" s="212" t="s">
        <v>313</v>
      </c>
      <c r="AK25" s="212" t="s">
        <v>531</v>
      </c>
      <c r="AL25" s="212" t="s">
        <v>387</v>
      </c>
      <c r="AM25" s="214" t="b">
        <v>1</v>
      </c>
      <c r="AN25" s="214" t="b">
        <v>0</v>
      </c>
      <c r="AO25" s="212" t="s">
        <v>314</v>
      </c>
      <c r="AP25" s="212" t="s">
        <v>315</v>
      </c>
      <c r="AQ25" s="214">
        <v>114.22852</v>
      </c>
      <c r="AR25" s="214" t="b">
        <v>0</v>
      </c>
      <c r="AS25" s="212" t="s">
        <v>534</v>
      </c>
      <c r="AU25" s="195" t="s">
        <v>819</v>
      </c>
    </row>
    <row r="26" spans="1:47" x14ac:dyDescent="0.25">
      <c r="A26" s="245">
        <f t="shared" si="7"/>
        <v>26</v>
      </c>
      <c r="B26" s="246" t="str">
        <f t="shared" si="0"/>
        <v>Oil Field - Dehydration Tank</v>
      </c>
      <c r="C26" s="246" t="str">
        <f ca="1">IF(B26="","",VLOOKUP(D26,'Species Data'!B:E,4,FALSE))</f>
        <v>twomethex</v>
      </c>
      <c r="D26" s="246">
        <f t="shared" ca="1" si="2"/>
        <v>194</v>
      </c>
      <c r="E26" s="246">
        <f t="shared" ca="1" si="3"/>
        <v>0.65529999999999999</v>
      </c>
      <c r="F26" s="246" t="str">
        <f t="shared" ca="1" si="4"/>
        <v>2-methylhexane</v>
      </c>
      <c r="G26" s="246">
        <f t="shared" ca="1" si="5"/>
        <v>100.20194000000001</v>
      </c>
      <c r="H26" s="204">
        <f ca="1">IF(G26="","",IF(VLOOKUP(Dehydration_Tank!F26,'Species Data'!D:F,3,FALSE)=0,"X",IF(G26&lt;44.1,2,1)))</f>
        <v>1</v>
      </c>
      <c r="I26" s="204">
        <f t="shared" ca="1" si="1"/>
        <v>0.6553000000000001</v>
      </c>
      <c r="J26" s="247">
        <f ca="1">IF(I26="","",IF(COUNTIF($D$12:D26,D26)=1,IF(H26=1,I26*H26,IF(H26="X","X",0)),0))</f>
        <v>0.6553000000000001</v>
      </c>
      <c r="K26" s="248">
        <f t="shared" ca="1" si="6"/>
        <v>0.7511660669641681</v>
      </c>
      <c r="L26" s="212" t="s">
        <v>682</v>
      </c>
      <c r="M26" s="212" t="s">
        <v>448</v>
      </c>
      <c r="N26" s="212" t="s">
        <v>470</v>
      </c>
      <c r="O26" s="213">
        <v>41419</v>
      </c>
      <c r="P26" s="212" t="s">
        <v>531</v>
      </c>
      <c r="Q26" s="214">
        <v>100</v>
      </c>
      <c r="R26" s="212" t="s">
        <v>445</v>
      </c>
      <c r="S26" s="212" t="s">
        <v>532</v>
      </c>
      <c r="T26" s="212" t="s">
        <v>445</v>
      </c>
      <c r="U26" s="212" t="s">
        <v>446</v>
      </c>
      <c r="V26" s="214" t="b">
        <v>1</v>
      </c>
      <c r="W26" s="214">
        <v>1989</v>
      </c>
      <c r="X26" s="214">
        <v>5</v>
      </c>
      <c r="Y26" s="214">
        <v>2</v>
      </c>
      <c r="Z26" s="214">
        <v>4</v>
      </c>
      <c r="AA26" s="212" t="s">
        <v>447</v>
      </c>
      <c r="AB26" s="212" t="s">
        <v>531</v>
      </c>
      <c r="AC26" s="212" t="s">
        <v>533</v>
      </c>
      <c r="AD26" s="214">
        <v>1.089618</v>
      </c>
      <c r="AE26" s="214">
        <v>194</v>
      </c>
      <c r="AF26" s="214">
        <v>0.65529999999999999</v>
      </c>
      <c r="AG26" s="214">
        <v>-99</v>
      </c>
      <c r="AH26" s="212" t="s">
        <v>224</v>
      </c>
      <c r="AI26" s="212" t="s">
        <v>449</v>
      </c>
      <c r="AJ26" s="212" t="s">
        <v>316</v>
      </c>
      <c r="AK26" s="212" t="s">
        <v>531</v>
      </c>
      <c r="AL26" s="212" t="s">
        <v>388</v>
      </c>
      <c r="AM26" s="214" t="b">
        <v>1</v>
      </c>
      <c r="AN26" s="214" t="b">
        <v>0</v>
      </c>
      <c r="AO26" s="212" t="s">
        <v>317</v>
      </c>
      <c r="AP26" s="212" t="s">
        <v>318</v>
      </c>
      <c r="AQ26" s="214">
        <v>100.20194000000001</v>
      </c>
      <c r="AR26" s="214" t="b">
        <v>0</v>
      </c>
      <c r="AS26" s="212" t="s">
        <v>534</v>
      </c>
      <c r="AU26" s="195" t="s">
        <v>819</v>
      </c>
    </row>
    <row r="27" spans="1:47" x14ac:dyDescent="0.25">
      <c r="A27" s="245">
        <f t="shared" si="7"/>
        <v>27</v>
      </c>
      <c r="B27" s="246" t="str">
        <f t="shared" si="0"/>
        <v>Oil Field - Dehydration Tank</v>
      </c>
      <c r="C27" s="246" t="str">
        <f ca="1">IF(B27="","",VLOOKUP(D27,'Species Data'!B:E,4,FALSE))</f>
        <v>twometpen</v>
      </c>
      <c r="D27" s="246">
        <f t="shared" ca="1" si="2"/>
        <v>199</v>
      </c>
      <c r="E27" s="246">
        <f t="shared" ca="1" si="3"/>
        <v>2.1276999999999999</v>
      </c>
      <c r="F27" s="246" t="str">
        <f t="shared" ca="1" si="4"/>
        <v>2-methylpentane (isohexane)</v>
      </c>
      <c r="G27" s="246">
        <f t="shared" ca="1" si="5"/>
        <v>86.175359999999998</v>
      </c>
      <c r="H27" s="204">
        <f ca="1">IF(G27="","",IF(VLOOKUP(Dehydration_Tank!F27,'Species Data'!D:F,3,FALSE)=0,"X",IF(G27&lt;44.1,2,1)))</f>
        <v>1</v>
      </c>
      <c r="I27" s="204">
        <f t="shared" ca="1" si="1"/>
        <v>2.1277000000000004</v>
      </c>
      <c r="J27" s="247">
        <f ca="1">IF(I27="","",IF(COUNTIF($D$12:D27,D27)=1,IF(H27=1,I27*H27,IF(H27="X","X",0)),0))</f>
        <v>2.1277000000000004</v>
      </c>
      <c r="K27" s="248">
        <f t="shared" ca="1" si="6"/>
        <v>2.4389684734925385</v>
      </c>
      <c r="L27" s="212" t="s">
        <v>682</v>
      </c>
      <c r="M27" s="212" t="s">
        <v>448</v>
      </c>
      <c r="N27" s="212" t="s">
        <v>470</v>
      </c>
      <c r="O27" s="213">
        <v>41419</v>
      </c>
      <c r="P27" s="212" t="s">
        <v>531</v>
      </c>
      <c r="Q27" s="214">
        <v>100</v>
      </c>
      <c r="R27" s="212" t="s">
        <v>445</v>
      </c>
      <c r="S27" s="212" t="s">
        <v>532</v>
      </c>
      <c r="T27" s="212" t="s">
        <v>445</v>
      </c>
      <c r="U27" s="212" t="s">
        <v>446</v>
      </c>
      <c r="V27" s="214" t="b">
        <v>1</v>
      </c>
      <c r="W27" s="214">
        <v>1989</v>
      </c>
      <c r="X27" s="214">
        <v>5</v>
      </c>
      <c r="Y27" s="214">
        <v>2</v>
      </c>
      <c r="Z27" s="214">
        <v>4</v>
      </c>
      <c r="AA27" s="212" t="s">
        <v>447</v>
      </c>
      <c r="AB27" s="212" t="s">
        <v>531</v>
      </c>
      <c r="AC27" s="212" t="s">
        <v>533</v>
      </c>
      <c r="AD27" s="214">
        <v>1.089618</v>
      </c>
      <c r="AE27" s="214">
        <v>199</v>
      </c>
      <c r="AF27" s="214">
        <v>2.1276999999999999</v>
      </c>
      <c r="AG27" s="214">
        <v>-99</v>
      </c>
      <c r="AH27" s="212" t="s">
        <v>224</v>
      </c>
      <c r="AI27" s="212" t="s">
        <v>449</v>
      </c>
      <c r="AJ27" s="212" t="s">
        <v>319</v>
      </c>
      <c r="AK27" s="212" t="s">
        <v>531</v>
      </c>
      <c r="AL27" s="212" t="s">
        <v>389</v>
      </c>
      <c r="AM27" s="214" t="b">
        <v>1</v>
      </c>
      <c r="AN27" s="214" t="b">
        <v>0</v>
      </c>
      <c r="AO27" s="212" t="s">
        <v>320</v>
      </c>
      <c r="AP27" s="212" t="s">
        <v>321</v>
      </c>
      <c r="AQ27" s="214">
        <v>86.175359999999998</v>
      </c>
      <c r="AR27" s="214" t="b">
        <v>0</v>
      </c>
      <c r="AS27" s="212" t="s">
        <v>534</v>
      </c>
      <c r="AU27" s="195" t="s">
        <v>819</v>
      </c>
    </row>
    <row r="28" spans="1:47" x14ac:dyDescent="0.25">
      <c r="A28" s="245">
        <f t="shared" si="7"/>
        <v>28</v>
      </c>
      <c r="B28" s="246" t="str">
        <f t="shared" si="0"/>
        <v>Oil Field - Dehydration Tank</v>
      </c>
      <c r="C28" s="246" t="str">
        <f ca="1">IF(B28="","",VLOOKUP(D28,'Species Data'!B:E,4,FALSE))</f>
        <v>ethylhexane</v>
      </c>
      <c r="D28" s="246">
        <f t="shared" ca="1" si="2"/>
        <v>226</v>
      </c>
      <c r="E28" s="246">
        <f t="shared" ca="1" si="3"/>
        <v>0.3599</v>
      </c>
      <c r="F28" s="246" t="str">
        <f t="shared" ca="1" si="4"/>
        <v>3-ethylhexane</v>
      </c>
      <c r="G28" s="246">
        <f t="shared" ca="1" si="5"/>
        <v>114.22852</v>
      </c>
      <c r="H28" s="204" t="str">
        <f ca="1">IF(G28="","",IF(VLOOKUP(Dehydration_Tank!F28,'Species Data'!D:F,3,FALSE)=0,"X",IF(G28&lt;44.1,2,1)))</f>
        <v>X</v>
      </c>
      <c r="I28" s="204">
        <f t="shared" ca="1" si="1"/>
        <v>0.35990000000000005</v>
      </c>
      <c r="J28" s="247" t="str">
        <f ca="1">IF(I28="","",IF(COUNTIF($D$12:D28,D28)=1,IF(H28=1,I28*H28,IF(H28="X","X",0)),0))</f>
        <v>X</v>
      </c>
      <c r="K28" s="248">
        <f t="shared" ca="1" si="6"/>
        <v>0</v>
      </c>
      <c r="L28" s="212" t="s">
        <v>682</v>
      </c>
      <c r="M28" s="212" t="s">
        <v>448</v>
      </c>
      <c r="N28" s="212" t="s">
        <v>470</v>
      </c>
      <c r="O28" s="213">
        <v>41419</v>
      </c>
      <c r="P28" s="212" t="s">
        <v>531</v>
      </c>
      <c r="Q28" s="214">
        <v>100</v>
      </c>
      <c r="R28" s="212" t="s">
        <v>445</v>
      </c>
      <c r="S28" s="212" t="s">
        <v>532</v>
      </c>
      <c r="T28" s="212" t="s">
        <v>445</v>
      </c>
      <c r="U28" s="212" t="s">
        <v>446</v>
      </c>
      <c r="V28" s="214" t="b">
        <v>1</v>
      </c>
      <c r="W28" s="214">
        <v>1989</v>
      </c>
      <c r="X28" s="214">
        <v>5</v>
      </c>
      <c r="Y28" s="214">
        <v>2</v>
      </c>
      <c r="Z28" s="214">
        <v>4</v>
      </c>
      <c r="AA28" s="212" t="s">
        <v>447</v>
      </c>
      <c r="AB28" s="212" t="s">
        <v>531</v>
      </c>
      <c r="AC28" s="212" t="s">
        <v>533</v>
      </c>
      <c r="AD28" s="214">
        <v>1.089618</v>
      </c>
      <c r="AE28" s="214">
        <v>226</v>
      </c>
      <c r="AF28" s="214">
        <v>0.3599</v>
      </c>
      <c r="AG28" s="214">
        <v>-99</v>
      </c>
      <c r="AH28" s="212" t="s">
        <v>224</v>
      </c>
      <c r="AI28" s="212" t="s">
        <v>449</v>
      </c>
      <c r="AJ28" s="212" t="s">
        <v>439</v>
      </c>
      <c r="AK28" s="212" t="s">
        <v>531</v>
      </c>
      <c r="AL28" s="212" t="s">
        <v>461</v>
      </c>
      <c r="AM28" s="214" t="b">
        <v>0</v>
      </c>
      <c r="AN28" s="214" t="b">
        <v>0</v>
      </c>
      <c r="AO28" s="212" t="s">
        <v>440</v>
      </c>
      <c r="AP28" s="212" t="s">
        <v>531</v>
      </c>
      <c r="AQ28" s="214">
        <v>114.22852</v>
      </c>
      <c r="AR28" s="214" t="b">
        <v>0</v>
      </c>
      <c r="AS28" s="212" t="s">
        <v>534</v>
      </c>
      <c r="AU28" s="195" t="s">
        <v>819</v>
      </c>
    </row>
    <row r="29" spans="1:47" ht="15" customHeight="1" x14ac:dyDescent="0.25">
      <c r="A29" s="245">
        <f t="shared" si="7"/>
        <v>29</v>
      </c>
      <c r="B29" s="246" t="str">
        <f t="shared" si="0"/>
        <v>Oil Field - Dehydration Tank</v>
      </c>
      <c r="C29" s="246" t="str">
        <f ca="1">IF(B29="","",VLOOKUP(D29,'Species Data'!B:E,4,FALSE))</f>
        <v>threemethex</v>
      </c>
      <c r="D29" s="246">
        <f t="shared" ca="1" si="2"/>
        <v>245</v>
      </c>
      <c r="E29" s="246">
        <f t="shared" ca="1" si="3"/>
        <v>0.93100000000000005</v>
      </c>
      <c r="F29" s="246" t="str">
        <f t="shared" ca="1" si="4"/>
        <v>3-methylhexane</v>
      </c>
      <c r="G29" s="246">
        <f t="shared" ca="1" si="5"/>
        <v>100.20194000000001</v>
      </c>
      <c r="H29" s="204">
        <f ca="1">IF(G29="","",IF(VLOOKUP(Dehydration_Tank!F29,'Species Data'!D:F,3,FALSE)=0,"X",IF(G29&lt;44.1,2,1)))</f>
        <v>1</v>
      </c>
      <c r="I29" s="204">
        <f t="shared" ca="1" si="1"/>
        <v>0.93100000000000016</v>
      </c>
      <c r="J29" s="247">
        <f ca="1">IF(I29="","",IF(COUNTIF($D$12:D29,D29)=1,IF(H29=1,I29*H29,IF(H29="X","X",0)),0))</f>
        <v>0.93100000000000016</v>
      </c>
      <c r="K29" s="248">
        <f t="shared" ca="1" si="6"/>
        <v>1.067199158162125</v>
      </c>
      <c r="L29" s="212" t="s">
        <v>682</v>
      </c>
      <c r="M29" s="212" t="s">
        <v>448</v>
      </c>
      <c r="N29" s="212" t="s">
        <v>470</v>
      </c>
      <c r="O29" s="213">
        <v>41419</v>
      </c>
      <c r="P29" s="212" t="s">
        <v>531</v>
      </c>
      <c r="Q29" s="214">
        <v>100</v>
      </c>
      <c r="R29" s="212" t="s">
        <v>445</v>
      </c>
      <c r="S29" s="212" t="s">
        <v>532</v>
      </c>
      <c r="T29" s="212" t="s">
        <v>445</v>
      </c>
      <c r="U29" s="212" t="s">
        <v>446</v>
      </c>
      <c r="V29" s="214" t="b">
        <v>1</v>
      </c>
      <c r="W29" s="214">
        <v>1989</v>
      </c>
      <c r="X29" s="214">
        <v>5</v>
      </c>
      <c r="Y29" s="214">
        <v>2</v>
      </c>
      <c r="Z29" s="214">
        <v>4</v>
      </c>
      <c r="AA29" s="212" t="s">
        <v>447</v>
      </c>
      <c r="AB29" s="212" t="s">
        <v>531</v>
      </c>
      <c r="AC29" s="212" t="s">
        <v>533</v>
      </c>
      <c r="AD29" s="214">
        <v>1.089618</v>
      </c>
      <c r="AE29" s="214">
        <v>245</v>
      </c>
      <c r="AF29" s="214">
        <v>0.93100000000000005</v>
      </c>
      <c r="AG29" s="214">
        <v>-99</v>
      </c>
      <c r="AH29" s="212" t="s">
        <v>224</v>
      </c>
      <c r="AI29" s="212" t="s">
        <v>449</v>
      </c>
      <c r="AJ29" s="212" t="s">
        <v>325</v>
      </c>
      <c r="AK29" s="212" t="s">
        <v>531</v>
      </c>
      <c r="AL29" s="212" t="s">
        <v>390</v>
      </c>
      <c r="AM29" s="214" t="b">
        <v>1</v>
      </c>
      <c r="AN29" s="214" t="b">
        <v>0</v>
      </c>
      <c r="AO29" s="212" t="s">
        <v>326</v>
      </c>
      <c r="AP29" s="212" t="s">
        <v>327</v>
      </c>
      <c r="AQ29" s="214">
        <v>100.20194000000001</v>
      </c>
      <c r="AR29" s="214" t="b">
        <v>0</v>
      </c>
      <c r="AS29" s="212" t="s">
        <v>534</v>
      </c>
      <c r="AU29" s="195" t="s">
        <v>819</v>
      </c>
    </row>
    <row r="30" spans="1:47" ht="15" customHeight="1" x14ac:dyDescent="0.25">
      <c r="A30" s="245">
        <f t="shared" si="7"/>
        <v>30</v>
      </c>
      <c r="B30" s="246" t="str">
        <f t="shared" si="0"/>
        <v>Oil Field - Dehydration Tank</v>
      </c>
      <c r="C30" s="246" t="str">
        <f ca="1">IF(B30="","",VLOOKUP(D30,'Species Data'!B:E,4,FALSE))</f>
        <v>threemetpen</v>
      </c>
      <c r="D30" s="246">
        <f t="shared" ca="1" si="2"/>
        <v>248</v>
      </c>
      <c r="E30" s="246">
        <f t="shared" ca="1" si="3"/>
        <v>1.4123000000000001</v>
      </c>
      <c r="F30" s="246" t="str">
        <f t="shared" ca="1" si="4"/>
        <v>3-methylpentane</v>
      </c>
      <c r="G30" s="246">
        <f t="shared" ca="1" si="5"/>
        <v>86.175359999999998</v>
      </c>
      <c r="H30" s="204">
        <f ca="1">IF(G30="","",IF(VLOOKUP(Dehydration_Tank!F30,'Species Data'!D:F,3,FALSE)=0,"X",IF(G30&lt;44.1,2,1)))</f>
        <v>1</v>
      </c>
      <c r="I30" s="204">
        <f t="shared" ca="1" si="1"/>
        <v>1.4123000000000003</v>
      </c>
      <c r="J30" s="247">
        <f ca="1">IF(I30="","",IF(COUNTIF($D$12:D30,D30)=1,IF(H30=1,I30*H30,IF(H30="X","X",0)),0))</f>
        <v>1.4123000000000003</v>
      </c>
      <c r="K30" s="248">
        <f t="shared" ca="1" si="6"/>
        <v>1.6189101730100637</v>
      </c>
      <c r="L30" s="212" t="s">
        <v>682</v>
      </c>
      <c r="M30" s="212" t="s">
        <v>448</v>
      </c>
      <c r="N30" s="212" t="s">
        <v>470</v>
      </c>
      <c r="O30" s="213">
        <v>41419</v>
      </c>
      <c r="P30" s="212" t="s">
        <v>531</v>
      </c>
      <c r="Q30" s="214">
        <v>100</v>
      </c>
      <c r="R30" s="212" t="s">
        <v>445</v>
      </c>
      <c r="S30" s="212" t="s">
        <v>532</v>
      </c>
      <c r="T30" s="212" t="s">
        <v>445</v>
      </c>
      <c r="U30" s="212" t="s">
        <v>446</v>
      </c>
      <c r="V30" s="214" t="b">
        <v>1</v>
      </c>
      <c r="W30" s="214">
        <v>1989</v>
      </c>
      <c r="X30" s="214">
        <v>5</v>
      </c>
      <c r="Y30" s="214">
        <v>2</v>
      </c>
      <c r="Z30" s="214">
        <v>4</v>
      </c>
      <c r="AA30" s="212" t="s">
        <v>447</v>
      </c>
      <c r="AB30" s="212" t="s">
        <v>531</v>
      </c>
      <c r="AC30" s="212" t="s">
        <v>533</v>
      </c>
      <c r="AD30" s="214">
        <v>1.089618</v>
      </c>
      <c r="AE30" s="214">
        <v>248</v>
      </c>
      <c r="AF30" s="214">
        <v>1.4123000000000001</v>
      </c>
      <c r="AG30" s="214">
        <v>-99</v>
      </c>
      <c r="AH30" s="212" t="s">
        <v>224</v>
      </c>
      <c r="AI30" s="212" t="s">
        <v>449</v>
      </c>
      <c r="AJ30" s="212" t="s">
        <v>328</v>
      </c>
      <c r="AK30" s="212" t="s">
        <v>531</v>
      </c>
      <c r="AL30" s="212" t="s">
        <v>391</v>
      </c>
      <c r="AM30" s="214" t="b">
        <v>1</v>
      </c>
      <c r="AN30" s="214" t="b">
        <v>0</v>
      </c>
      <c r="AO30" s="212" t="s">
        <v>329</v>
      </c>
      <c r="AP30" s="212" t="s">
        <v>330</v>
      </c>
      <c r="AQ30" s="214">
        <v>86.175359999999998</v>
      </c>
      <c r="AR30" s="214" t="b">
        <v>0</v>
      </c>
      <c r="AS30" s="212" t="s">
        <v>534</v>
      </c>
      <c r="AU30" s="195" t="s">
        <v>819</v>
      </c>
    </row>
    <row r="31" spans="1:47" ht="15" customHeight="1" x14ac:dyDescent="0.25">
      <c r="A31" s="245">
        <f t="shared" si="7"/>
        <v>31</v>
      </c>
      <c r="B31" s="246" t="str">
        <f t="shared" si="0"/>
        <v>Oil Field - Dehydration Tank</v>
      </c>
      <c r="C31" s="246" t="str">
        <f ca="1">IF(B31="","",VLOOKUP(D31,'Species Data'!B:E,4,FALSE))</f>
        <v>benzene</v>
      </c>
      <c r="D31" s="246">
        <f t="shared" ca="1" si="2"/>
        <v>302</v>
      </c>
      <c r="E31" s="246">
        <f t="shared" ca="1" si="3"/>
        <v>0.26860000000000001</v>
      </c>
      <c r="F31" s="246" t="str">
        <f t="shared" ca="1" si="4"/>
        <v>Benzene</v>
      </c>
      <c r="G31" s="246">
        <f t="shared" ca="1" si="5"/>
        <v>78.111840000000001</v>
      </c>
      <c r="H31" s="204">
        <f ca="1">IF(G31="","",IF(VLOOKUP(Dehydration_Tank!F31,'Species Data'!D:F,3,FALSE)=0,"X",IF(G31&lt;44.1,2,1)))</f>
        <v>1</v>
      </c>
      <c r="I31" s="204">
        <f t="shared" ca="1" si="1"/>
        <v>0.26860000000000006</v>
      </c>
      <c r="J31" s="247">
        <f ca="1">IF(I31="","",IF(COUNTIF($D$12:D31,D31)=1,IF(H31=1,I31*H31,IF(H31="X","X",0)),0))</f>
        <v>0.26860000000000006</v>
      </c>
      <c r="K31" s="248">
        <f t="shared" ca="1" si="6"/>
        <v>0.30789440803689233</v>
      </c>
      <c r="L31" s="212" t="s">
        <v>682</v>
      </c>
      <c r="M31" s="212" t="s">
        <v>448</v>
      </c>
      <c r="N31" s="212" t="s">
        <v>470</v>
      </c>
      <c r="O31" s="213">
        <v>41419</v>
      </c>
      <c r="P31" s="212" t="s">
        <v>531</v>
      </c>
      <c r="Q31" s="214">
        <v>100</v>
      </c>
      <c r="R31" s="212" t="s">
        <v>445</v>
      </c>
      <c r="S31" s="212" t="s">
        <v>532</v>
      </c>
      <c r="T31" s="212" t="s">
        <v>445</v>
      </c>
      <c r="U31" s="212" t="s">
        <v>446</v>
      </c>
      <c r="V31" s="214" t="b">
        <v>1</v>
      </c>
      <c r="W31" s="214">
        <v>1989</v>
      </c>
      <c r="X31" s="214">
        <v>5</v>
      </c>
      <c r="Y31" s="214">
        <v>2</v>
      </c>
      <c r="Z31" s="214">
        <v>4</v>
      </c>
      <c r="AA31" s="212" t="s">
        <v>447</v>
      </c>
      <c r="AB31" s="212" t="s">
        <v>531</v>
      </c>
      <c r="AC31" s="212" t="s">
        <v>533</v>
      </c>
      <c r="AD31" s="214">
        <v>1.089618</v>
      </c>
      <c r="AE31" s="214">
        <v>302</v>
      </c>
      <c r="AF31" s="214">
        <v>0.26860000000000001</v>
      </c>
      <c r="AG31" s="214">
        <v>-99</v>
      </c>
      <c r="AH31" s="212" t="s">
        <v>224</v>
      </c>
      <c r="AI31" s="212" t="s">
        <v>449</v>
      </c>
      <c r="AJ31" s="212" t="s">
        <v>262</v>
      </c>
      <c r="AK31" s="212" t="s">
        <v>531</v>
      </c>
      <c r="AL31" s="212" t="s">
        <v>373</v>
      </c>
      <c r="AM31" s="214" t="b">
        <v>1</v>
      </c>
      <c r="AN31" s="214" t="b">
        <v>1</v>
      </c>
      <c r="AO31" s="212" t="s">
        <v>263</v>
      </c>
      <c r="AP31" s="212" t="s">
        <v>264</v>
      </c>
      <c r="AQ31" s="214">
        <v>78.111840000000001</v>
      </c>
      <c r="AR31" s="214" t="b">
        <v>0</v>
      </c>
      <c r="AS31" s="212" t="s">
        <v>534</v>
      </c>
      <c r="AU31" s="195" t="s">
        <v>819</v>
      </c>
    </row>
    <row r="32" spans="1:47" ht="15" customHeight="1" x14ac:dyDescent="0.25">
      <c r="A32" s="245">
        <f t="shared" si="7"/>
        <v>32</v>
      </c>
      <c r="B32" s="246" t="str">
        <f t="shared" si="0"/>
        <v>Oil Field - Dehydration Tank</v>
      </c>
      <c r="C32" s="246" t="str">
        <f ca="1">IF(B32="","",VLOOKUP(D32,'Species Data'!B:E,4,FALSE))</f>
        <v>cyclopentane</v>
      </c>
      <c r="D32" s="246">
        <f t="shared" ca="1" si="2"/>
        <v>390</v>
      </c>
      <c r="E32" s="246">
        <f t="shared" ca="1" si="3"/>
        <v>0.65769999999999995</v>
      </c>
      <c r="F32" s="246" t="str">
        <f t="shared" ca="1" si="4"/>
        <v>Cyclopentane</v>
      </c>
      <c r="G32" s="246">
        <f t="shared" ca="1" si="5"/>
        <v>70.132900000000006</v>
      </c>
      <c r="H32" s="204">
        <f ca="1">IF(G32="","",IF(VLOOKUP(Dehydration_Tank!F32,'Species Data'!D:F,3,FALSE)=0,"X",IF(G32&lt;44.1,2,1)))</f>
        <v>1</v>
      </c>
      <c r="I32" s="204">
        <f t="shared" ca="1" si="1"/>
        <v>0.65770000000000006</v>
      </c>
      <c r="J32" s="247">
        <f ca="1">IF(I32="","",IF(COUNTIF($D$12:D32,D32)=1,IF(H32=1,I32*H32,IF(H32="X","X",0)),0))</f>
        <v>0.65770000000000006</v>
      </c>
      <c r="K32" s="248">
        <f t="shared" ca="1" si="6"/>
        <v>0.75391717113128842</v>
      </c>
      <c r="L32" s="212" t="s">
        <v>682</v>
      </c>
      <c r="M32" s="212" t="s">
        <v>448</v>
      </c>
      <c r="N32" s="212" t="s">
        <v>470</v>
      </c>
      <c r="O32" s="213">
        <v>41419</v>
      </c>
      <c r="P32" s="212" t="s">
        <v>531</v>
      </c>
      <c r="Q32" s="214">
        <v>100</v>
      </c>
      <c r="R32" s="212" t="s">
        <v>445</v>
      </c>
      <c r="S32" s="212" t="s">
        <v>532</v>
      </c>
      <c r="T32" s="212" t="s">
        <v>445</v>
      </c>
      <c r="U32" s="212" t="s">
        <v>446</v>
      </c>
      <c r="V32" s="214" t="b">
        <v>1</v>
      </c>
      <c r="W32" s="214">
        <v>1989</v>
      </c>
      <c r="X32" s="214">
        <v>5</v>
      </c>
      <c r="Y32" s="214">
        <v>2</v>
      </c>
      <c r="Z32" s="214">
        <v>4</v>
      </c>
      <c r="AA32" s="212" t="s">
        <v>447</v>
      </c>
      <c r="AB32" s="212" t="s">
        <v>531</v>
      </c>
      <c r="AC32" s="212" t="s">
        <v>533</v>
      </c>
      <c r="AD32" s="214">
        <v>1.089618</v>
      </c>
      <c r="AE32" s="214">
        <v>390</v>
      </c>
      <c r="AF32" s="214">
        <v>0.65769999999999995</v>
      </c>
      <c r="AG32" s="214">
        <v>-99</v>
      </c>
      <c r="AH32" s="212" t="s">
        <v>224</v>
      </c>
      <c r="AI32" s="212" t="s">
        <v>449</v>
      </c>
      <c r="AJ32" s="212" t="s">
        <v>334</v>
      </c>
      <c r="AK32" s="212" t="s">
        <v>531</v>
      </c>
      <c r="AL32" s="212" t="s">
        <v>393</v>
      </c>
      <c r="AM32" s="214" t="b">
        <v>1</v>
      </c>
      <c r="AN32" s="214" t="b">
        <v>0</v>
      </c>
      <c r="AO32" s="212" t="s">
        <v>335</v>
      </c>
      <c r="AP32" s="212" t="s">
        <v>336</v>
      </c>
      <c r="AQ32" s="214">
        <v>70.132900000000006</v>
      </c>
      <c r="AR32" s="214" t="b">
        <v>0</v>
      </c>
      <c r="AS32" s="212" t="s">
        <v>534</v>
      </c>
      <c r="AU32" s="195" t="s">
        <v>819</v>
      </c>
    </row>
    <row r="33" spans="1:47" x14ac:dyDescent="0.25">
      <c r="A33" s="245">
        <f t="shared" si="7"/>
        <v>33</v>
      </c>
      <c r="B33" s="246" t="str">
        <f t="shared" si="0"/>
        <v>Oil Field - Dehydration Tank</v>
      </c>
      <c r="C33" s="246" t="str">
        <f ca="1">IF(B33="","",VLOOKUP(D33,'Species Data'!B:E,4,FALSE))</f>
        <v>ethane</v>
      </c>
      <c r="D33" s="246">
        <f t="shared" ca="1" si="2"/>
        <v>438</v>
      </c>
      <c r="E33" s="246">
        <f t="shared" ca="1" si="3"/>
        <v>5.4702999999999999</v>
      </c>
      <c r="F33" s="246" t="str">
        <f t="shared" ca="1" si="4"/>
        <v>Ethane</v>
      </c>
      <c r="G33" s="246">
        <f t="shared" ca="1" si="5"/>
        <v>30.069040000000005</v>
      </c>
      <c r="H33" s="204">
        <f ca="1">IF(G33="","",IF(VLOOKUP(Dehydration_Tank!F33,'Species Data'!D:F,3,FALSE)=0,"X",IF(G33&lt;44.1,2,1)))</f>
        <v>2</v>
      </c>
      <c r="I33" s="204">
        <f t="shared" ca="1" si="1"/>
        <v>5.4703000000000008</v>
      </c>
      <c r="J33" s="247">
        <f ca="1">IF(I33="","",IF(COUNTIF($D$12:D33,D33)=1,IF(H33=1,I33*H33,IF(H33="X","X",0)),0))</f>
        <v>0</v>
      </c>
      <c r="K33" s="248">
        <f t="shared" ca="1" si="6"/>
        <v>0</v>
      </c>
      <c r="L33" s="212" t="s">
        <v>682</v>
      </c>
      <c r="M33" s="212" t="s">
        <v>448</v>
      </c>
      <c r="N33" s="212" t="s">
        <v>470</v>
      </c>
      <c r="O33" s="213">
        <v>41419</v>
      </c>
      <c r="P33" s="212" t="s">
        <v>531</v>
      </c>
      <c r="Q33" s="214">
        <v>100</v>
      </c>
      <c r="R33" s="212" t="s">
        <v>445</v>
      </c>
      <c r="S33" s="212" t="s">
        <v>532</v>
      </c>
      <c r="T33" s="212" t="s">
        <v>445</v>
      </c>
      <c r="U33" s="212" t="s">
        <v>446</v>
      </c>
      <c r="V33" s="214" t="b">
        <v>1</v>
      </c>
      <c r="W33" s="214">
        <v>1989</v>
      </c>
      <c r="X33" s="214">
        <v>5</v>
      </c>
      <c r="Y33" s="214">
        <v>2</v>
      </c>
      <c r="Z33" s="214">
        <v>4</v>
      </c>
      <c r="AA33" s="212" t="s">
        <v>447</v>
      </c>
      <c r="AB33" s="212" t="s">
        <v>531</v>
      </c>
      <c r="AC33" s="212" t="s">
        <v>533</v>
      </c>
      <c r="AD33" s="214">
        <v>1.089618</v>
      </c>
      <c r="AE33" s="214">
        <v>438</v>
      </c>
      <c r="AF33" s="214">
        <v>5.4702999999999999</v>
      </c>
      <c r="AG33" s="214">
        <v>-99</v>
      </c>
      <c r="AH33" s="212" t="s">
        <v>224</v>
      </c>
      <c r="AI33" s="212" t="s">
        <v>449</v>
      </c>
      <c r="AJ33" s="212" t="s">
        <v>265</v>
      </c>
      <c r="AK33" s="212" t="s">
        <v>531</v>
      </c>
      <c r="AL33" s="212" t="s">
        <v>374</v>
      </c>
      <c r="AM33" s="214" t="b">
        <v>1</v>
      </c>
      <c r="AN33" s="214" t="b">
        <v>0</v>
      </c>
      <c r="AO33" s="212" t="s">
        <v>266</v>
      </c>
      <c r="AP33" s="212" t="s">
        <v>267</v>
      </c>
      <c r="AQ33" s="214">
        <v>30.069040000000005</v>
      </c>
      <c r="AR33" s="214" t="b">
        <v>1</v>
      </c>
      <c r="AS33" s="212" t="s">
        <v>534</v>
      </c>
      <c r="AU33" s="195" t="s">
        <v>819</v>
      </c>
    </row>
    <row r="34" spans="1:47" ht="15" customHeight="1" x14ac:dyDescent="0.25">
      <c r="A34" s="245">
        <f t="shared" si="7"/>
        <v>34</v>
      </c>
      <c r="B34" s="246" t="str">
        <f t="shared" si="0"/>
        <v>Oil Field - Dehydration Tank</v>
      </c>
      <c r="C34" s="246" t="str">
        <f ca="1">IF(B34="","",VLOOKUP(D34,'Species Data'!B:E,4,FALSE))</f>
        <v>ethyl_benz</v>
      </c>
      <c r="D34" s="246">
        <f t="shared" ca="1" si="2"/>
        <v>449</v>
      </c>
      <c r="E34" s="246">
        <f t="shared" ca="1" si="3"/>
        <v>1.0916999999999999</v>
      </c>
      <c r="F34" s="246" t="str">
        <f t="shared" ca="1" si="4"/>
        <v>Ethylbenzene</v>
      </c>
      <c r="G34" s="246">
        <f t="shared" ca="1" si="5"/>
        <v>106.16500000000001</v>
      </c>
      <c r="H34" s="204">
        <f ca="1">IF(G34="","",IF(VLOOKUP(Dehydration_Tank!F34,'Species Data'!D:F,3,FALSE)=0,"X",IF(G34&lt;44.1,2,1)))</f>
        <v>1</v>
      </c>
      <c r="I34" s="204">
        <f t="shared" ca="1" si="1"/>
        <v>1.0917000000000001</v>
      </c>
      <c r="J34" s="247">
        <f ca="1">IF(I34="","",IF(COUNTIF($D$12:D34,D34)=1,IF(H34=1,I34*H34,IF(H34="X","X",0)),0))</f>
        <v>1.0917000000000001</v>
      </c>
      <c r="K34" s="248">
        <f t="shared" ca="1" si="6"/>
        <v>1.2514085080188955</v>
      </c>
      <c r="L34" s="212" t="s">
        <v>682</v>
      </c>
      <c r="M34" s="212" t="s">
        <v>448</v>
      </c>
      <c r="N34" s="212" t="s">
        <v>470</v>
      </c>
      <c r="O34" s="213">
        <v>41419</v>
      </c>
      <c r="P34" s="212" t="s">
        <v>531</v>
      </c>
      <c r="Q34" s="214">
        <v>100</v>
      </c>
      <c r="R34" s="212" t="s">
        <v>445</v>
      </c>
      <c r="S34" s="212" t="s">
        <v>532</v>
      </c>
      <c r="T34" s="212" t="s">
        <v>445</v>
      </c>
      <c r="U34" s="212" t="s">
        <v>446</v>
      </c>
      <c r="V34" s="214" t="b">
        <v>1</v>
      </c>
      <c r="W34" s="214">
        <v>1989</v>
      </c>
      <c r="X34" s="214">
        <v>5</v>
      </c>
      <c r="Y34" s="214">
        <v>2</v>
      </c>
      <c r="Z34" s="214">
        <v>4</v>
      </c>
      <c r="AA34" s="212" t="s">
        <v>447</v>
      </c>
      <c r="AB34" s="212" t="s">
        <v>531</v>
      </c>
      <c r="AC34" s="212" t="s">
        <v>533</v>
      </c>
      <c r="AD34" s="214">
        <v>1.089618</v>
      </c>
      <c r="AE34" s="214">
        <v>449</v>
      </c>
      <c r="AF34" s="214">
        <v>1.0916999999999999</v>
      </c>
      <c r="AG34" s="214">
        <v>-99</v>
      </c>
      <c r="AH34" s="212" t="s">
        <v>224</v>
      </c>
      <c r="AI34" s="212" t="s">
        <v>449</v>
      </c>
      <c r="AJ34" s="212" t="s">
        <v>337</v>
      </c>
      <c r="AK34" s="212" t="s">
        <v>531</v>
      </c>
      <c r="AL34" s="212" t="s">
        <v>394</v>
      </c>
      <c r="AM34" s="214" t="b">
        <v>1</v>
      </c>
      <c r="AN34" s="214" t="b">
        <v>1</v>
      </c>
      <c r="AO34" s="212" t="s">
        <v>338</v>
      </c>
      <c r="AP34" s="212" t="s">
        <v>339</v>
      </c>
      <c r="AQ34" s="214">
        <v>106.16500000000001</v>
      </c>
      <c r="AR34" s="214" t="b">
        <v>0</v>
      </c>
      <c r="AS34" s="212" t="s">
        <v>534</v>
      </c>
      <c r="AU34" s="195" t="s">
        <v>819</v>
      </c>
    </row>
    <row r="35" spans="1:47" x14ac:dyDescent="0.25">
      <c r="A35" s="245">
        <f t="shared" si="7"/>
        <v>35</v>
      </c>
      <c r="B35" s="246" t="str">
        <f t="shared" si="0"/>
        <v>Oil Field - Dehydration Tank</v>
      </c>
      <c r="C35" s="246" t="str">
        <f ca="1">IF(B35="","",VLOOKUP(D35,'Species Data'!B:E,4,FALSE))</f>
        <v>isobut</v>
      </c>
      <c r="D35" s="246">
        <f t="shared" ca="1" si="2"/>
        <v>491</v>
      </c>
      <c r="E35" s="246">
        <f t="shared" ca="1" si="3"/>
        <v>2.1105999999999998</v>
      </c>
      <c r="F35" s="246" t="str">
        <f t="shared" ca="1" si="4"/>
        <v>Isobutane</v>
      </c>
      <c r="G35" s="246">
        <f t="shared" ca="1" si="5"/>
        <v>58.122199999999992</v>
      </c>
      <c r="H35" s="204">
        <f ca="1">IF(G35="","",IF(VLOOKUP(Dehydration_Tank!F35,'Species Data'!D:F,3,FALSE)=0,"X",IF(G35&lt;44.1,2,1)))</f>
        <v>1</v>
      </c>
      <c r="I35" s="204">
        <f t="shared" ca="1" si="1"/>
        <v>2.1106000000000003</v>
      </c>
      <c r="J35" s="247">
        <f ca="1">IF(I35="","",IF(COUNTIF($D$12:D35,D35)=1,IF(H35=1,I35*H35,IF(H35="X","X",0)),0))</f>
        <v>2.1106000000000003</v>
      </c>
      <c r="K35" s="248">
        <f t="shared" ca="1" si="6"/>
        <v>2.4193668563018056</v>
      </c>
      <c r="L35" s="212" t="s">
        <v>682</v>
      </c>
      <c r="M35" s="212" t="s">
        <v>448</v>
      </c>
      <c r="N35" s="212" t="s">
        <v>470</v>
      </c>
      <c r="O35" s="213">
        <v>41419</v>
      </c>
      <c r="P35" s="212" t="s">
        <v>531</v>
      </c>
      <c r="Q35" s="214">
        <v>100</v>
      </c>
      <c r="R35" s="212" t="s">
        <v>445</v>
      </c>
      <c r="S35" s="212" t="s">
        <v>532</v>
      </c>
      <c r="T35" s="212" t="s">
        <v>445</v>
      </c>
      <c r="U35" s="212" t="s">
        <v>446</v>
      </c>
      <c r="V35" s="214" t="b">
        <v>1</v>
      </c>
      <c r="W35" s="214">
        <v>1989</v>
      </c>
      <c r="X35" s="214">
        <v>5</v>
      </c>
      <c r="Y35" s="214">
        <v>2</v>
      </c>
      <c r="Z35" s="214">
        <v>4</v>
      </c>
      <c r="AA35" s="212" t="s">
        <v>447</v>
      </c>
      <c r="AB35" s="212" t="s">
        <v>531</v>
      </c>
      <c r="AC35" s="212" t="s">
        <v>533</v>
      </c>
      <c r="AD35" s="214">
        <v>1.089618</v>
      </c>
      <c r="AE35" s="214">
        <v>491</v>
      </c>
      <c r="AF35" s="214">
        <v>2.1105999999999998</v>
      </c>
      <c r="AG35" s="214">
        <v>-99</v>
      </c>
      <c r="AH35" s="212" t="s">
        <v>224</v>
      </c>
      <c r="AI35" s="212" t="s">
        <v>449</v>
      </c>
      <c r="AJ35" s="212" t="s">
        <v>268</v>
      </c>
      <c r="AK35" s="212" t="s">
        <v>531</v>
      </c>
      <c r="AL35" s="212" t="s">
        <v>375</v>
      </c>
      <c r="AM35" s="214" t="b">
        <v>1</v>
      </c>
      <c r="AN35" s="214" t="b">
        <v>0</v>
      </c>
      <c r="AO35" s="212" t="s">
        <v>269</v>
      </c>
      <c r="AP35" s="212" t="s">
        <v>270</v>
      </c>
      <c r="AQ35" s="214">
        <v>58.122199999999992</v>
      </c>
      <c r="AR35" s="214" t="b">
        <v>0</v>
      </c>
      <c r="AS35" s="212" t="s">
        <v>534</v>
      </c>
      <c r="AU35" s="195" t="s">
        <v>819</v>
      </c>
    </row>
    <row r="36" spans="1:47" x14ac:dyDescent="0.25">
      <c r="A36" s="245">
        <f t="shared" si="7"/>
        <v>36</v>
      </c>
      <c r="B36" s="246" t="str">
        <f t="shared" si="0"/>
        <v>Oil Field - Dehydration Tank</v>
      </c>
      <c r="C36" s="246" t="str">
        <f ca="1">IF(B36="","",VLOOKUP(D36,'Species Data'!B:E,4,FALSE))</f>
        <v>i_but</v>
      </c>
      <c r="D36" s="246">
        <f t="shared" ca="1" si="2"/>
        <v>499</v>
      </c>
      <c r="E36" s="246">
        <f t="shared" ca="1" si="3"/>
        <v>8.7800000000000003E-2</v>
      </c>
      <c r="F36" s="246" t="str">
        <f t="shared" ca="1" si="4"/>
        <v>Isomers of butylbenzene</v>
      </c>
      <c r="G36" s="246">
        <f t="shared" ca="1" si="5"/>
        <v>134.21816000000001</v>
      </c>
      <c r="H36" s="204">
        <f ca="1">IF(G36="","",IF(VLOOKUP(Dehydration_Tank!F36,'Species Data'!D:F,3,FALSE)=0,"X",IF(G36&lt;44.1,2,1)))</f>
        <v>1</v>
      </c>
      <c r="I36" s="204">
        <f t="shared" ca="1" si="1"/>
        <v>8.7800000000000017E-2</v>
      </c>
      <c r="J36" s="247">
        <f ca="1">IF(I36="","",IF(COUNTIF($D$12:D36,D36)=1,IF(H36=1,I36*H36,IF(H36="X","X",0)),0))</f>
        <v>8.7800000000000017E-2</v>
      </c>
      <c r="K36" s="248">
        <f t="shared" ca="1" si="6"/>
        <v>0.10064456078048828</v>
      </c>
      <c r="L36" s="212" t="s">
        <v>682</v>
      </c>
      <c r="M36" s="212" t="s">
        <v>448</v>
      </c>
      <c r="N36" s="212" t="s">
        <v>470</v>
      </c>
      <c r="O36" s="213">
        <v>41419</v>
      </c>
      <c r="P36" s="212" t="s">
        <v>531</v>
      </c>
      <c r="Q36" s="214">
        <v>100</v>
      </c>
      <c r="R36" s="212" t="s">
        <v>445</v>
      </c>
      <c r="S36" s="212" t="s">
        <v>532</v>
      </c>
      <c r="T36" s="212" t="s">
        <v>445</v>
      </c>
      <c r="U36" s="212" t="s">
        <v>446</v>
      </c>
      <c r="V36" s="214" t="b">
        <v>1</v>
      </c>
      <c r="W36" s="214">
        <v>1989</v>
      </c>
      <c r="X36" s="214">
        <v>5</v>
      </c>
      <c r="Y36" s="214">
        <v>2</v>
      </c>
      <c r="Z36" s="214">
        <v>4</v>
      </c>
      <c r="AA36" s="212" t="s">
        <v>447</v>
      </c>
      <c r="AB36" s="212" t="s">
        <v>531</v>
      </c>
      <c r="AC36" s="212" t="s">
        <v>533</v>
      </c>
      <c r="AD36" s="214">
        <v>1.089618</v>
      </c>
      <c r="AE36" s="214">
        <v>499</v>
      </c>
      <c r="AF36" s="214">
        <v>8.7800000000000003E-2</v>
      </c>
      <c r="AG36" s="214">
        <v>-99</v>
      </c>
      <c r="AH36" s="212" t="s">
        <v>224</v>
      </c>
      <c r="AI36" s="212" t="s">
        <v>449</v>
      </c>
      <c r="AJ36" s="212" t="s">
        <v>531</v>
      </c>
      <c r="AK36" s="212" t="s">
        <v>642</v>
      </c>
      <c r="AL36" s="212" t="s">
        <v>643</v>
      </c>
      <c r="AM36" s="214" t="b">
        <v>0</v>
      </c>
      <c r="AN36" s="214" t="b">
        <v>0</v>
      </c>
      <c r="AO36" s="212" t="s">
        <v>644</v>
      </c>
      <c r="AP36" s="212" t="s">
        <v>531</v>
      </c>
      <c r="AQ36" s="214">
        <v>134.21816000000001</v>
      </c>
      <c r="AR36" s="214" t="b">
        <v>0</v>
      </c>
      <c r="AS36" s="212" t="s">
        <v>534</v>
      </c>
      <c r="AU36" s="195" t="s">
        <v>819</v>
      </c>
    </row>
    <row r="37" spans="1:47" x14ac:dyDescent="0.25">
      <c r="A37" s="245">
        <f t="shared" si="7"/>
        <v>37</v>
      </c>
      <c r="B37" s="246" t="str">
        <f t="shared" si="0"/>
        <v>Oil Field - Dehydration Tank</v>
      </c>
      <c r="C37" s="246" t="str">
        <f ca="1">IF(B37="","",VLOOKUP(D37,'Species Data'!B:E,4,FALSE))</f>
        <v>isopentane</v>
      </c>
      <c r="D37" s="246">
        <f t="shared" ca="1" si="2"/>
        <v>508</v>
      </c>
      <c r="E37" s="246">
        <f t="shared" ca="1" si="3"/>
        <v>5.3811999999999998</v>
      </c>
      <c r="F37" s="246" t="str">
        <f t="shared" ca="1" si="4"/>
        <v>Isopentane (2-Methylbutane)</v>
      </c>
      <c r="G37" s="246">
        <f t="shared" ca="1" si="5"/>
        <v>72.148780000000002</v>
      </c>
      <c r="H37" s="204">
        <f ca="1">IF(G37="","",IF(VLOOKUP(Dehydration_Tank!F37,'Species Data'!D:F,3,FALSE)=0,"X",IF(G37&lt;44.1,2,1)))</f>
        <v>1</v>
      </c>
      <c r="I37" s="204">
        <f t="shared" ca="1" si="1"/>
        <v>5.3812000000000006</v>
      </c>
      <c r="J37" s="247">
        <f ca="1">IF(I37="","",IF(COUNTIF($D$12:D37,D37)=1,IF(H37=1,I37*H37,IF(H37="X","X",0)),0))</f>
        <v>5.3812000000000006</v>
      </c>
      <c r="K37" s="248">
        <f t="shared" ca="1" si="6"/>
        <v>6.1684340600451417</v>
      </c>
      <c r="L37" s="212" t="s">
        <v>682</v>
      </c>
      <c r="M37" s="212" t="s">
        <v>448</v>
      </c>
      <c r="N37" s="212" t="s">
        <v>470</v>
      </c>
      <c r="O37" s="213">
        <v>41419</v>
      </c>
      <c r="P37" s="212" t="s">
        <v>531</v>
      </c>
      <c r="Q37" s="214">
        <v>100</v>
      </c>
      <c r="R37" s="212" t="s">
        <v>445</v>
      </c>
      <c r="S37" s="212" t="s">
        <v>532</v>
      </c>
      <c r="T37" s="212" t="s">
        <v>445</v>
      </c>
      <c r="U37" s="212" t="s">
        <v>446</v>
      </c>
      <c r="V37" s="214" t="b">
        <v>1</v>
      </c>
      <c r="W37" s="214">
        <v>1989</v>
      </c>
      <c r="X37" s="214">
        <v>5</v>
      </c>
      <c r="Y37" s="214">
        <v>2</v>
      </c>
      <c r="Z37" s="214">
        <v>4</v>
      </c>
      <c r="AA37" s="212" t="s">
        <v>447</v>
      </c>
      <c r="AB37" s="212" t="s">
        <v>531</v>
      </c>
      <c r="AC37" s="212" t="s">
        <v>533</v>
      </c>
      <c r="AD37" s="214">
        <v>1.089618</v>
      </c>
      <c r="AE37" s="214">
        <v>508</v>
      </c>
      <c r="AF37" s="214">
        <v>5.3811999999999998</v>
      </c>
      <c r="AG37" s="214">
        <v>-99</v>
      </c>
      <c r="AH37" s="212" t="s">
        <v>224</v>
      </c>
      <c r="AI37" s="212" t="s">
        <v>449</v>
      </c>
      <c r="AJ37" s="212" t="s">
        <v>342</v>
      </c>
      <c r="AK37" s="212" t="s">
        <v>531</v>
      </c>
      <c r="AL37" s="212" t="s">
        <v>395</v>
      </c>
      <c r="AM37" s="214" t="b">
        <v>1</v>
      </c>
      <c r="AN37" s="214" t="b">
        <v>0</v>
      </c>
      <c r="AO37" s="212" t="s">
        <v>343</v>
      </c>
      <c r="AP37" s="212" t="s">
        <v>344</v>
      </c>
      <c r="AQ37" s="214">
        <v>72.148780000000002</v>
      </c>
      <c r="AR37" s="214" t="b">
        <v>0</v>
      </c>
      <c r="AS37" s="212" t="s">
        <v>534</v>
      </c>
      <c r="AU37" s="195" t="s">
        <v>819</v>
      </c>
    </row>
    <row r="38" spans="1:47" ht="15" customHeight="1" x14ac:dyDescent="0.25">
      <c r="A38" s="245">
        <f t="shared" si="7"/>
        <v>38</v>
      </c>
      <c r="B38" s="246" t="str">
        <f t="shared" si="0"/>
        <v>Oil Field - Dehydration Tank</v>
      </c>
      <c r="C38" s="246" t="str">
        <f ca="1">IF(B38="","",VLOOKUP(D38,'Species Data'!B:E,4,FALSE))</f>
        <v>isopben</v>
      </c>
      <c r="D38" s="246">
        <f t="shared" ca="1" si="2"/>
        <v>514</v>
      </c>
      <c r="E38" s="246">
        <f t="shared" ca="1" si="3"/>
        <v>7.4300000000000005E-2</v>
      </c>
      <c r="F38" s="246" t="str">
        <f t="shared" ca="1" si="4"/>
        <v>Isopropylbenzene (cumene)</v>
      </c>
      <c r="G38" s="246">
        <f t="shared" ca="1" si="5"/>
        <v>120.19158</v>
      </c>
      <c r="H38" s="204">
        <f ca="1">IF(G38="","",IF(VLOOKUP(Dehydration_Tank!F38,'Species Data'!D:F,3,FALSE)=0,"X",IF(G38&lt;44.1,2,1)))</f>
        <v>1</v>
      </c>
      <c r="I38" s="204">
        <f t="shared" ca="1" si="1"/>
        <v>7.4300000000000019E-2</v>
      </c>
      <c r="J38" s="247">
        <f ca="1">IF(I38="","",IF(COUNTIF($D$12:D38,D38)=1,IF(H38=1,I38*H38,IF(H38="X","X",0)),0))</f>
        <v>7.4300000000000019E-2</v>
      </c>
      <c r="K38" s="248">
        <f t="shared" ca="1" si="6"/>
        <v>8.5169599840435983E-2</v>
      </c>
      <c r="L38" s="212" t="s">
        <v>682</v>
      </c>
      <c r="M38" s="212" t="s">
        <v>448</v>
      </c>
      <c r="N38" s="212" t="s">
        <v>470</v>
      </c>
      <c r="O38" s="213">
        <v>41419</v>
      </c>
      <c r="P38" s="212" t="s">
        <v>531</v>
      </c>
      <c r="Q38" s="214">
        <v>100</v>
      </c>
      <c r="R38" s="212" t="s">
        <v>445</v>
      </c>
      <c r="S38" s="212" t="s">
        <v>532</v>
      </c>
      <c r="T38" s="212" t="s">
        <v>445</v>
      </c>
      <c r="U38" s="212" t="s">
        <v>446</v>
      </c>
      <c r="V38" s="214" t="b">
        <v>1</v>
      </c>
      <c r="W38" s="214">
        <v>1989</v>
      </c>
      <c r="X38" s="214">
        <v>5</v>
      </c>
      <c r="Y38" s="214">
        <v>2</v>
      </c>
      <c r="Z38" s="214">
        <v>4</v>
      </c>
      <c r="AA38" s="212" t="s">
        <v>447</v>
      </c>
      <c r="AB38" s="212" t="s">
        <v>531</v>
      </c>
      <c r="AC38" s="212" t="s">
        <v>533</v>
      </c>
      <c r="AD38" s="214">
        <v>1.089618</v>
      </c>
      <c r="AE38" s="214">
        <v>514</v>
      </c>
      <c r="AF38" s="214">
        <v>7.4300000000000005E-2</v>
      </c>
      <c r="AG38" s="214">
        <v>-99</v>
      </c>
      <c r="AH38" s="212" t="s">
        <v>224</v>
      </c>
      <c r="AI38" s="212" t="s">
        <v>449</v>
      </c>
      <c r="AJ38" s="212" t="s">
        <v>362</v>
      </c>
      <c r="AK38" s="212" t="s">
        <v>531</v>
      </c>
      <c r="AL38" s="212" t="s">
        <v>399</v>
      </c>
      <c r="AM38" s="214" t="b">
        <v>1</v>
      </c>
      <c r="AN38" s="214" t="b">
        <v>1</v>
      </c>
      <c r="AO38" s="212" t="s">
        <v>363</v>
      </c>
      <c r="AP38" s="212" t="s">
        <v>364</v>
      </c>
      <c r="AQ38" s="214">
        <v>120.19158</v>
      </c>
      <c r="AR38" s="214" t="b">
        <v>0</v>
      </c>
      <c r="AS38" s="212" t="s">
        <v>534</v>
      </c>
      <c r="AU38" s="195" t="s">
        <v>819</v>
      </c>
    </row>
    <row r="39" spans="1:47" x14ac:dyDescent="0.25">
      <c r="A39" s="245">
        <f t="shared" si="7"/>
        <v>39</v>
      </c>
      <c r="B39" s="246" t="str">
        <f t="shared" si="0"/>
        <v>Oil Field - Dehydration Tank</v>
      </c>
      <c r="C39" s="246" t="str">
        <f ca="1">IF(B39="","",VLOOKUP(D39,'Species Data'!B:E,4,FALSE))</f>
        <v>M_xylene</v>
      </c>
      <c r="D39" s="246">
        <f t="shared" ca="1" si="2"/>
        <v>524</v>
      </c>
      <c r="E39" s="246">
        <f t="shared" ca="1" si="3"/>
        <v>0.4733</v>
      </c>
      <c r="F39" s="246" t="str">
        <f t="shared" ca="1" si="4"/>
        <v>M-xylene</v>
      </c>
      <c r="G39" s="246">
        <f t="shared" ca="1" si="5"/>
        <v>106.16500000000001</v>
      </c>
      <c r="H39" s="204">
        <f ca="1">IF(G39="","",IF(VLOOKUP(Dehydration_Tank!F39,'Species Data'!D:F,3,FALSE)=0,"X",IF(G39&lt;44.1,2,1)))</f>
        <v>1</v>
      </c>
      <c r="I39" s="204">
        <f t="shared" ca="1" si="1"/>
        <v>0.47330000000000005</v>
      </c>
      <c r="J39" s="247">
        <f ca="1">IF(I39="","",IF(COUNTIF($D$12:D39,D39)=1,IF(H39=1,I39*H39,IF(H39="X","X",0)),0))</f>
        <v>0.47330000000000005</v>
      </c>
      <c r="K39" s="248">
        <f t="shared" ca="1" si="6"/>
        <v>0.54254066762420383</v>
      </c>
      <c r="L39" s="212" t="s">
        <v>682</v>
      </c>
      <c r="M39" s="212" t="s">
        <v>448</v>
      </c>
      <c r="N39" s="212" t="s">
        <v>470</v>
      </c>
      <c r="O39" s="213">
        <v>41419</v>
      </c>
      <c r="P39" s="212" t="s">
        <v>531</v>
      </c>
      <c r="Q39" s="214">
        <v>100</v>
      </c>
      <c r="R39" s="212" t="s">
        <v>445</v>
      </c>
      <c r="S39" s="212" t="s">
        <v>532</v>
      </c>
      <c r="T39" s="212" t="s">
        <v>445</v>
      </c>
      <c r="U39" s="212" t="s">
        <v>446</v>
      </c>
      <c r="V39" s="214" t="b">
        <v>1</v>
      </c>
      <c r="W39" s="214">
        <v>1989</v>
      </c>
      <c r="X39" s="214">
        <v>5</v>
      </c>
      <c r="Y39" s="214">
        <v>2</v>
      </c>
      <c r="Z39" s="214">
        <v>4</v>
      </c>
      <c r="AA39" s="212" t="s">
        <v>447</v>
      </c>
      <c r="AB39" s="212" t="s">
        <v>531</v>
      </c>
      <c r="AC39" s="212" t="s">
        <v>533</v>
      </c>
      <c r="AD39" s="214">
        <v>1.089618</v>
      </c>
      <c r="AE39" s="214">
        <v>524</v>
      </c>
      <c r="AF39" s="214">
        <v>0.4733</v>
      </c>
      <c r="AG39" s="214">
        <v>-99</v>
      </c>
      <c r="AH39" s="212" t="s">
        <v>224</v>
      </c>
      <c r="AI39" s="212" t="s">
        <v>449</v>
      </c>
      <c r="AJ39" s="212" t="s">
        <v>436</v>
      </c>
      <c r="AK39" s="212" t="s">
        <v>531</v>
      </c>
      <c r="AL39" s="212" t="s">
        <v>460</v>
      </c>
      <c r="AM39" s="214" t="b">
        <v>0</v>
      </c>
      <c r="AN39" s="214" t="b">
        <v>1</v>
      </c>
      <c r="AO39" s="212" t="s">
        <v>437</v>
      </c>
      <c r="AP39" s="212" t="s">
        <v>438</v>
      </c>
      <c r="AQ39" s="214">
        <v>106.16500000000001</v>
      </c>
      <c r="AR39" s="214" t="b">
        <v>0</v>
      </c>
      <c r="AS39" s="212" t="s">
        <v>534</v>
      </c>
      <c r="AT39" s="301" t="s">
        <v>820</v>
      </c>
      <c r="AU39" s="195" t="s">
        <v>819</v>
      </c>
    </row>
    <row r="40" spans="1:47" ht="15" customHeight="1" x14ac:dyDescent="0.25">
      <c r="A40" s="245">
        <f t="shared" si="7"/>
        <v>40</v>
      </c>
      <c r="B40" s="246" t="str">
        <f t="shared" si="0"/>
        <v>Oil Field - Dehydration Tank</v>
      </c>
      <c r="C40" s="246" t="str">
        <f ca="1">IF(B40="","",VLOOKUP(D40,'Species Data'!B:E,4,FALSE))</f>
        <v>methane</v>
      </c>
      <c r="D40" s="246">
        <f t="shared" ca="1" si="2"/>
        <v>529</v>
      </c>
      <c r="E40" s="246">
        <f t="shared" ca="1" si="3"/>
        <v>2.7544</v>
      </c>
      <c r="F40" s="246" t="str">
        <f t="shared" ca="1" si="4"/>
        <v>Methane</v>
      </c>
      <c r="G40" s="246">
        <f t="shared" ca="1" si="5"/>
        <v>16.042459999999998</v>
      </c>
      <c r="H40" s="204">
        <f ca="1">IF(G40="","",IF(VLOOKUP(Dehydration_Tank!F40,'Species Data'!D:F,3,FALSE)=0,"X",IF(G40&lt;44.1,2,1)))</f>
        <v>2</v>
      </c>
      <c r="I40" s="204">
        <f t="shared" ca="1" si="1"/>
        <v>2.7544000000000004</v>
      </c>
      <c r="J40" s="247">
        <f ca="1">IF(I40="","",IF(COUNTIF($D$12:D40,D40)=1,IF(H40=1,I40*H40,IF(H40="X","X",0)),0))</f>
        <v>0</v>
      </c>
      <c r="K40" s="248">
        <f t="shared" ca="1" si="6"/>
        <v>0</v>
      </c>
      <c r="L40" s="212" t="s">
        <v>682</v>
      </c>
      <c r="M40" s="212" t="s">
        <v>448</v>
      </c>
      <c r="N40" s="212" t="s">
        <v>470</v>
      </c>
      <c r="O40" s="213">
        <v>41419</v>
      </c>
      <c r="P40" s="212" t="s">
        <v>531</v>
      </c>
      <c r="Q40" s="214">
        <v>100</v>
      </c>
      <c r="R40" s="212" t="s">
        <v>445</v>
      </c>
      <c r="S40" s="212" t="s">
        <v>532</v>
      </c>
      <c r="T40" s="212" t="s">
        <v>445</v>
      </c>
      <c r="U40" s="212" t="s">
        <v>446</v>
      </c>
      <c r="V40" s="214" t="b">
        <v>1</v>
      </c>
      <c r="W40" s="214">
        <v>1989</v>
      </c>
      <c r="X40" s="214">
        <v>5</v>
      </c>
      <c r="Y40" s="214">
        <v>2</v>
      </c>
      <c r="Z40" s="214">
        <v>4</v>
      </c>
      <c r="AA40" s="212" t="s">
        <v>447</v>
      </c>
      <c r="AB40" s="212" t="s">
        <v>531</v>
      </c>
      <c r="AC40" s="212" t="s">
        <v>533</v>
      </c>
      <c r="AD40" s="214">
        <v>1.089618</v>
      </c>
      <c r="AE40" s="214">
        <v>529</v>
      </c>
      <c r="AF40" s="214">
        <v>2.7544</v>
      </c>
      <c r="AG40" s="214">
        <v>-99</v>
      </c>
      <c r="AH40" s="212" t="s">
        <v>224</v>
      </c>
      <c r="AI40" s="212" t="s">
        <v>449</v>
      </c>
      <c r="AJ40" s="212" t="s">
        <v>271</v>
      </c>
      <c r="AK40" s="212" t="s">
        <v>531</v>
      </c>
      <c r="AL40" s="212" t="s">
        <v>376</v>
      </c>
      <c r="AM40" s="214" t="b">
        <v>0</v>
      </c>
      <c r="AN40" s="214" t="b">
        <v>0</v>
      </c>
      <c r="AO40" s="212" t="s">
        <v>272</v>
      </c>
      <c r="AP40" s="212" t="s">
        <v>531</v>
      </c>
      <c r="AQ40" s="214">
        <v>16.042459999999998</v>
      </c>
      <c r="AR40" s="214" t="b">
        <v>1</v>
      </c>
      <c r="AS40" s="212" t="s">
        <v>534</v>
      </c>
      <c r="AU40" s="195" t="s">
        <v>819</v>
      </c>
    </row>
    <row r="41" spans="1:47" x14ac:dyDescent="0.25">
      <c r="A41" s="245">
        <f t="shared" si="7"/>
        <v>41</v>
      </c>
      <c r="B41" s="246" t="str">
        <f t="shared" si="0"/>
        <v>Oil Field - Dehydration Tank</v>
      </c>
      <c r="C41" s="246" t="str">
        <f ca="1">IF(B41="","",VLOOKUP(D41,'Species Data'!B:E,4,FALSE))</f>
        <v>methcychex</v>
      </c>
      <c r="D41" s="246">
        <f t="shared" ca="1" si="2"/>
        <v>550</v>
      </c>
      <c r="E41" s="246">
        <f t="shared" ca="1" si="3"/>
        <v>0.46210000000000001</v>
      </c>
      <c r="F41" s="246" t="str">
        <f t="shared" ca="1" si="4"/>
        <v>Methylcyclohexane</v>
      </c>
      <c r="G41" s="246">
        <f t="shared" ca="1" si="5"/>
        <v>98.186059999999998</v>
      </c>
      <c r="H41" s="204">
        <f ca="1">IF(G41="","",IF(VLOOKUP(Dehydration_Tank!F41,'Species Data'!D:F,3,FALSE)=0,"X",IF(G41&lt;44.1,2,1)))</f>
        <v>1</v>
      </c>
      <c r="I41" s="204">
        <f t="shared" ca="1" si="1"/>
        <v>0.46210000000000007</v>
      </c>
      <c r="J41" s="247">
        <f ca="1">IF(I41="","",IF(COUNTIF($D$12:D41,D41)=1,IF(H41=1,I41*H41,IF(H41="X","X",0)),0))</f>
        <v>0.46210000000000007</v>
      </c>
      <c r="K41" s="248">
        <f t="shared" ca="1" si="6"/>
        <v>0.52970218151097526</v>
      </c>
      <c r="L41" s="212" t="s">
        <v>682</v>
      </c>
      <c r="M41" s="212" t="s">
        <v>448</v>
      </c>
      <c r="N41" s="212" t="s">
        <v>470</v>
      </c>
      <c r="O41" s="213">
        <v>41419</v>
      </c>
      <c r="P41" s="212" t="s">
        <v>531</v>
      </c>
      <c r="Q41" s="214">
        <v>100</v>
      </c>
      <c r="R41" s="212" t="s">
        <v>445</v>
      </c>
      <c r="S41" s="212" t="s">
        <v>532</v>
      </c>
      <c r="T41" s="212" t="s">
        <v>445</v>
      </c>
      <c r="U41" s="212" t="s">
        <v>446</v>
      </c>
      <c r="V41" s="214" t="b">
        <v>1</v>
      </c>
      <c r="W41" s="214">
        <v>1989</v>
      </c>
      <c r="X41" s="214">
        <v>5</v>
      </c>
      <c r="Y41" s="214">
        <v>2</v>
      </c>
      <c r="Z41" s="214">
        <v>4</v>
      </c>
      <c r="AA41" s="212" t="s">
        <v>447</v>
      </c>
      <c r="AB41" s="212" t="s">
        <v>531</v>
      </c>
      <c r="AC41" s="212" t="s">
        <v>533</v>
      </c>
      <c r="AD41" s="214">
        <v>1.089618</v>
      </c>
      <c r="AE41" s="214">
        <v>550</v>
      </c>
      <c r="AF41" s="214">
        <v>0.46210000000000001</v>
      </c>
      <c r="AG41" s="214">
        <v>-99</v>
      </c>
      <c r="AH41" s="212" t="s">
        <v>224</v>
      </c>
      <c r="AI41" s="212" t="s">
        <v>449</v>
      </c>
      <c r="AJ41" s="212" t="s">
        <v>348</v>
      </c>
      <c r="AK41" s="212" t="s">
        <v>531</v>
      </c>
      <c r="AL41" s="212" t="s">
        <v>396</v>
      </c>
      <c r="AM41" s="214" t="b">
        <v>1</v>
      </c>
      <c r="AN41" s="214" t="b">
        <v>0</v>
      </c>
      <c r="AO41" s="212" t="s">
        <v>349</v>
      </c>
      <c r="AP41" s="212" t="s">
        <v>350</v>
      </c>
      <c r="AQ41" s="214">
        <v>98.186059999999998</v>
      </c>
      <c r="AR41" s="214" t="b">
        <v>0</v>
      </c>
      <c r="AS41" s="212" t="s">
        <v>534</v>
      </c>
      <c r="AU41" s="195" t="s">
        <v>819</v>
      </c>
    </row>
    <row r="42" spans="1:47" x14ac:dyDescent="0.25">
      <c r="A42" s="245">
        <f t="shared" si="7"/>
        <v>42</v>
      </c>
      <c r="B42" s="246" t="str">
        <f t="shared" si="0"/>
        <v>Oil Field - Dehydration Tank</v>
      </c>
      <c r="C42" s="246" t="str">
        <f ca="1">IF(B42="","",VLOOKUP(D42,'Species Data'!B:E,4,FALSE))</f>
        <v>methcycpen</v>
      </c>
      <c r="D42" s="246">
        <f t="shared" ca="1" si="2"/>
        <v>551</v>
      </c>
      <c r="E42" s="246">
        <f t="shared" ca="1" si="3"/>
        <v>2.5628000000000002</v>
      </c>
      <c r="F42" s="246" t="str">
        <f t="shared" ca="1" si="4"/>
        <v>Methylcyclopentane</v>
      </c>
      <c r="G42" s="246">
        <f t="shared" ca="1" si="5"/>
        <v>84.159480000000002</v>
      </c>
      <c r="H42" s="204">
        <f ca="1">IF(G42="","",IF(VLOOKUP(Dehydration_Tank!F42,'Species Data'!D:F,3,FALSE)=0,"X",IF(G42&lt;44.1,2,1)))</f>
        <v>1</v>
      </c>
      <c r="I42" s="204">
        <f t="shared" ca="1" si="1"/>
        <v>2.5628000000000006</v>
      </c>
      <c r="J42" s="247">
        <f ca="1">IF(I42="","",IF(COUNTIF($D$12:D42,D42)=1,IF(H42=1,I42*H42,IF(H42="X","X",0)),0))</f>
        <v>2.5628000000000006</v>
      </c>
      <c r="K42" s="248">
        <f t="shared" ca="1" si="6"/>
        <v>2.9377207331234096</v>
      </c>
      <c r="L42" s="212" t="s">
        <v>682</v>
      </c>
      <c r="M42" s="212" t="s">
        <v>448</v>
      </c>
      <c r="N42" s="212" t="s">
        <v>470</v>
      </c>
      <c r="O42" s="213">
        <v>41419</v>
      </c>
      <c r="P42" s="212" t="s">
        <v>531</v>
      </c>
      <c r="Q42" s="214">
        <v>100</v>
      </c>
      <c r="R42" s="212" t="s">
        <v>445</v>
      </c>
      <c r="S42" s="212" t="s">
        <v>532</v>
      </c>
      <c r="T42" s="212" t="s">
        <v>445</v>
      </c>
      <c r="U42" s="212" t="s">
        <v>446</v>
      </c>
      <c r="V42" s="214" t="b">
        <v>1</v>
      </c>
      <c r="W42" s="214">
        <v>1989</v>
      </c>
      <c r="X42" s="214">
        <v>5</v>
      </c>
      <c r="Y42" s="214">
        <v>2</v>
      </c>
      <c r="Z42" s="214">
        <v>4</v>
      </c>
      <c r="AA42" s="212" t="s">
        <v>447</v>
      </c>
      <c r="AB42" s="212" t="s">
        <v>531</v>
      </c>
      <c r="AC42" s="212" t="s">
        <v>533</v>
      </c>
      <c r="AD42" s="214">
        <v>1.089618</v>
      </c>
      <c r="AE42" s="214">
        <v>551</v>
      </c>
      <c r="AF42" s="214">
        <v>2.5628000000000002</v>
      </c>
      <c r="AG42" s="214">
        <v>-99</v>
      </c>
      <c r="AH42" s="212" t="s">
        <v>224</v>
      </c>
      <c r="AI42" s="212" t="s">
        <v>449</v>
      </c>
      <c r="AJ42" s="212" t="s">
        <v>351</v>
      </c>
      <c r="AK42" s="212" t="s">
        <v>531</v>
      </c>
      <c r="AL42" s="212" t="s">
        <v>397</v>
      </c>
      <c r="AM42" s="214" t="b">
        <v>1</v>
      </c>
      <c r="AN42" s="214" t="b">
        <v>0</v>
      </c>
      <c r="AO42" s="212" t="s">
        <v>352</v>
      </c>
      <c r="AP42" s="212" t="s">
        <v>353</v>
      </c>
      <c r="AQ42" s="214">
        <v>84.159480000000002</v>
      </c>
      <c r="AR42" s="214" t="b">
        <v>0</v>
      </c>
      <c r="AS42" s="212" t="s">
        <v>534</v>
      </c>
      <c r="AU42" s="195" t="s">
        <v>819</v>
      </c>
    </row>
    <row r="43" spans="1:47" x14ac:dyDescent="0.25">
      <c r="A43" s="245">
        <f t="shared" si="7"/>
        <v>43</v>
      </c>
      <c r="B43" s="246" t="str">
        <f t="shared" si="0"/>
        <v>Oil Field - Dehydration Tank</v>
      </c>
      <c r="C43" s="246" t="str">
        <f ca="1">IF(B43="","",VLOOKUP(D43,'Species Data'!B:E,4,FALSE))</f>
        <v>N_but</v>
      </c>
      <c r="D43" s="246">
        <f t="shared" ca="1" si="2"/>
        <v>592</v>
      </c>
      <c r="E43" s="246">
        <f t="shared" ca="1" si="3"/>
        <v>6.6176000000000004</v>
      </c>
      <c r="F43" s="246" t="str">
        <f t="shared" ca="1" si="4"/>
        <v>N-butane</v>
      </c>
      <c r="G43" s="246">
        <f t="shared" ca="1" si="5"/>
        <v>58.122199999999992</v>
      </c>
      <c r="H43" s="204">
        <f ca="1">IF(G43="","",IF(VLOOKUP(Dehydration_Tank!F43,'Species Data'!D:F,3,FALSE)=0,"X",IF(G43&lt;44.1,2,1)))</f>
        <v>1</v>
      </c>
      <c r="I43" s="204">
        <f t="shared" ca="1" si="1"/>
        <v>6.6176000000000013</v>
      </c>
      <c r="J43" s="247">
        <f ca="1">IF(I43="","",IF(COUNTIF($D$12:D43,D43)=1,IF(H43=1,I43*H43,IF(H43="X","X",0)),0))</f>
        <v>6.6176000000000013</v>
      </c>
      <c r="K43" s="248">
        <f t="shared" ca="1" si="6"/>
        <v>7.5857112234733393</v>
      </c>
      <c r="L43" s="212" t="s">
        <v>682</v>
      </c>
      <c r="M43" s="212" t="s">
        <v>448</v>
      </c>
      <c r="N43" s="212" t="s">
        <v>470</v>
      </c>
      <c r="O43" s="213">
        <v>41419</v>
      </c>
      <c r="P43" s="212" t="s">
        <v>531</v>
      </c>
      <c r="Q43" s="214">
        <v>100</v>
      </c>
      <c r="R43" s="212" t="s">
        <v>445</v>
      </c>
      <c r="S43" s="212" t="s">
        <v>532</v>
      </c>
      <c r="T43" s="212" t="s">
        <v>445</v>
      </c>
      <c r="U43" s="212" t="s">
        <v>446</v>
      </c>
      <c r="V43" s="214" t="b">
        <v>1</v>
      </c>
      <c r="W43" s="214">
        <v>1989</v>
      </c>
      <c r="X43" s="214">
        <v>5</v>
      </c>
      <c r="Y43" s="214">
        <v>2</v>
      </c>
      <c r="Z43" s="214">
        <v>4</v>
      </c>
      <c r="AA43" s="212" t="s">
        <v>447</v>
      </c>
      <c r="AB43" s="212" t="s">
        <v>531</v>
      </c>
      <c r="AC43" s="212" t="s">
        <v>533</v>
      </c>
      <c r="AD43" s="214">
        <v>1.089618</v>
      </c>
      <c r="AE43" s="214">
        <v>592</v>
      </c>
      <c r="AF43" s="214">
        <v>6.6176000000000004</v>
      </c>
      <c r="AG43" s="214">
        <v>-99</v>
      </c>
      <c r="AH43" s="212" t="s">
        <v>224</v>
      </c>
      <c r="AI43" s="212" t="s">
        <v>449</v>
      </c>
      <c r="AJ43" s="212" t="s">
        <v>273</v>
      </c>
      <c r="AK43" s="212" t="s">
        <v>531</v>
      </c>
      <c r="AL43" s="212" t="s">
        <v>377</v>
      </c>
      <c r="AM43" s="214" t="b">
        <v>1</v>
      </c>
      <c r="AN43" s="214" t="b">
        <v>0</v>
      </c>
      <c r="AO43" s="212" t="s">
        <v>274</v>
      </c>
      <c r="AP43" s="212" t="s">
        <v>275</v>
      </c>
      <c r="AQ43" s="214">
        <v>58.122199999999992</v>
      </c>
      <c r="AR43" s="214" t="b">
        <v>0</v>
      </c>
      <c r="AS43" s="212" t="s">
        <v>534</v>
      </c>
      <c r="AU43" s="195" t="s">
        <v>819</v>
      </c>
    </row>
    <row r="44" spans="1:47" x14ac:dyDescent="0.25">
      <c r="A44" s="245">
        <f t="shared" si="7"/>
        <v>44</v>
      </c>
      <c r="B44" s="246" t="str">
        <f t="shared" si="0"/>
        <v>Oil Field - Dehydration Tank</v>
      </c>
      <c r="C44" s="246" t="str">
        <f ca="1">IF(B44="","",VLOOKUP(D44,'Species Data'!B:E,4,FALSE))</f>
        <v>N_dec</v>
      </c>
      <c r="D44" s="246">
        <f t="shared" ca="1" si="2"/>
        <v>598</v>
      </c>
      <c r="E44" s="246">
        <f t="shared" ca="1" si="3"/>
        <v>5.9900000000000002E-2</v>
      </c>
      <c r="F44" s="246" t="str">
        <f t="shared" ca="1" si="4"/>
        <v>N-decane</v>
      </c>
      <c r="G44" s="246">
        <f t="shared" ca="1" si="5"/>
        <v>142.28167999999999</v>
      </c>
      <c r="H44" s="204">
        <f ca="1">IF(G44="","",IF(VLOOKUP(Dehydration_Tank!F44,'Species Data'!D:F,3,FALSE)=0,"X",IF(G44&lt;44.1,2,1)))</f>
        <v>1</v>
      </c>
      <c r="I44" s="204">
        <f t="shared" ref="I44:I63" ca="1" si="8">IF(H44="","",SUMIF(D:D,D44,E:E)/($E$9/100))</f>
        <v>5.9900000000000009E-2</v>
      </c>
      <c r="J44" s="247">
        <f ca="1">IF(I44="","",IF(COUNTIF($D$12:D44,D44)=1,IF(H44=1,I44*H44,IF(H44="X","X",0)),0))</f>
        <v>5.9900000000000009E-2</v>
      </c>
      <c r="K44" s="248">
        <f t="shared" ca="1" si="6"/>
        <v>6.8662974837713525E-2</v>
      </c>
      <c r="L44" s="212" t="s">
        <v>682</v>
      </c>
      <c r="M44" s="212" t="s">
        <v>448</v>
      </c>
      <c r="N44" s="212" t="s">
        <v>470</v>
      </c>
      <c r="O44" s="213">
        <v>41419</v>
      </c>
      <c r="P44" s="212" t="s">
        <v>531</v>
      </c>
      <c r="Q44" s="214">
        <v>100</v>
      </c>
      <c r="R44" s="212" t="s">
        <v>445</v>
      </c>
      <c r="S44" s="212" t="s">
        <v>532</v>
      </c>
      <c r="T44" s="212" t="s">
        <v>445</v>
      </c>
      <c r="U44" s="212" t="s">
        <v>446</v>
      </c>
      <c r="V44" s="214" t="b">
        <v>1</v>
      </c>
      <c r="W44" s="214">
        <v>1989</v>
      </c>
      <c r="X44" s="214">
        <v>5</v>
      </c>
      <c r="Y44" s="214">
        <v>2</v>
      </c>
      <c r="Z44" s="214">
        <v>4</v>
      </c>
      <c r="AA44" s="212" t="s">
        <v>447</v>
      </c>
      <c r="AB44" s="212" t="s">
        <v>531</v>
      </c>
      <c r="AC44" s="212" t="s">
        <v>533</v>
      </c>
      <c r="AD44" s="214">
        <v>1.089618</v>
      </c>
      <c r="AE44" s="214">
        <v>598</v>
      </c>
      <c r="AF44" s="214">
        <v>5.9900000000000002E-2</v>
      </c>
      <c r="AG44" s="214">
        <v>-99</v>
      </c>
      <c r="AH44" s="212" t="s">
        <v>224</v>
      </c>
      <c r="AI44" s="212" t="s">
        <v>449</v>
      </c>
      <c r="AJ44" s="212" t="s">
        <v>414</v>
      </c>
      <c r="AK44" s="212" t="s">
        <v>531</v>
      </c>
      <c r="AL44" s="212" t="s">
        <v>452</v>
      </c>
      <c r="AM44" s="214" t="b">
        <v>1</v>
      </c>
      <c r="AN44" s="214" t="b">
        <v>0</v>
      </c>
      <c r="AO44" s="212" t="s">
        <v>415</v>
      </c>
      <c r="AP44" s="212" t="s">
        <v>416</v>
      </c>
      <c r="AQ44" s="214">
        <v>142.28167999999999</v>
      </c>
      <c r="AR44" s="214" t="b">
        <v>0</v>
      </c>
      <c r="AS44" s="212" t="s">
        <v>534</v>
      </c>
      <c r="AU44" s="195" t="s">
        <v>819</v>
      </c>
    </row>
    <row r="45" spans="1:47" x14ac:dyDescent="0.25">
      <c r="A45" s="245">
        <f t="shared" si="7"/>
        <v>45</v>
      </c>
      <c r="B45" s="246" t="str">
        <f t="shared" si="0"/>
        <v>Oil Field - Dehydration Tank</v>
      </c>
      <c r="C45" s="246" t="str">
        <f ca="1">IF(B45="","",VLOOKUP(D45,'Species Data'!B:E,4,FALSE))</f>
        <v>N_hep</v>
      </c>
      <c r="D45" s="246">
        <f t="shared" ca="1" si="2"/>
        <v>600</v>
      </c>
      <c r="E45" s="246">
        <f t="shared" ca="1" si="3"/>
        <v>1.36</v>
      </c>
      <c r="F45" s="246" t="str">
        <f t="shared" ca="1" si="4"/>
        <v>N-heptane</v>
      </c>
      <c r="G45" s="246">
        <f t="shared" ca="1" si="5"/>
        <v>100.20194000000001</v>
      </c>
      <c r="H45" s="204">
        <f ca="1">IF(G45="","",IF(VLOOKUP(Dehydration_Tank!F45,'Species Data'!D:F,3,FALSE)=0,"X",IF(G45&lt;44.1,2,1)))</f>
        <v>1</v>
      </c>
      <c r="I45" s="204">
        <f t="shared" ca="1" si="8"/>
        <v>1.3600000000000003</v>
      </c>
      <c r="J45" s="247">
        <f ca="1">IF(I45="","",IF(COUNTIF($D$12:D45,D45)=1,IF(H45=1,I45*H45,IF(H45="X","X",0)),0))</f>
        <v>1.3600000000000003</v>
      </c>
      <c r="K45" s="248">
        <f t="shared" ca="1" si="6"/>
        <v>1.5589590280348982</v>
      </c>
      <c r="L45" s="212" t="s">
        <v>682</v>
      </c>
      <c r="M45" s="212" t="s">
        <v>448</v>
      </c>
      <c r="N45" s="212" t="s">
        <v>470</v>
      </c>
      <c r="O45" s="213">
        <v>41419</v>
      </c>
      <c r="P45" s="212" t="s">
        <v>531</v>
      </c>
      <c r="Q45" s="214">
        <v>100</v>
      </c>
      <c r="R45" s="212" t="s">
        <v>445</v>
      </c>
      <c r="S45" s="212" t="s">
        <v>532</v>
      </c>
      <c r="T45" s="212" t="s">
        <v>445</v>
      </c>
      <c r="U45" s="212" t="s">
        <v>446</v>
      </c>
      <c r="V45" s="214" t="b">
        <v>1</v>
      </c>
      <c r="W45" s="214">
        <v>1989</v>
      </c>
      <c r="X45" s="214">
        <v>5</v>
      </c>
      <c r="Y45" s="214">
        <v>2</v>
      </c>
      <c r="Z45" s="214">
        <v>4</v>
      </c>
      <c r="AA45" s="212" t="s">
        <v>447</v>
      </c>
      <c r="AB45" s="212" t="s">
        <v>531</v>
      </c>
      <c r="AC45" s="212" t="s">
        <v>533</v>
      </c>
      <c r="AD45" s="214">
        <v>1.089618</v>
      </c>
      <c r="AE45" s="214">
        <v>600</v>
      </c>
      <c r="AF45" s="214">
        <v>1.36</v>
      </c>
      <c r="AG45" s="214">
        <v>-99</v>
      </c>
      <c r="AH45" s="212" t="s">
        <v>224</v>
      </c>
      <c r="AI45" s="212" t="s">
        <v>449</v>
      </c>
      <c r="AJ45" s="212" t="s">
        <v>276</v>
      </c>
      <c r="AK45" s="212" t="s">
        <v>531</v>
      </c>
      <c r="AL45" s="212" t="s">
        <v>378</v>
      </c>
      <c r="AM45" s="214" t="b">
        <v>1</v>
      </c>
      <c r="AN45" s="214" t="b">
        <v>0</v>
      </c>
      <c r="AO45" s="212" t="s">
        <v>277</v>
      </c>
      <c r="AP45" s="212" t="s">
        <v>278</v>
      </c>
      <c r="AQ45" s="214">
        <v>100.20194000000001</v>
      </c>
      <c r="AR45" s="214" t="b">
        <v>0</v>
      </c>
      <c r="AS45" s="212" t="s">
        <v>534</v>
      </c>
      <c r="AU45" s="195" t="s">
        <v>819</v>
      </c>
    </row>
    <row r="46" spans="1:47" x14ac:dyDescent="0.25">
      <c r="A46" s="245">
        <f t="shared" si="7"/>
        <v>46</v>
      </c>
      <c r="B46" s="246" t="str">
        <f t="shared" si="0"/>
        <v>Oil Field - Dehydration Tank</v>
      </c>
      <c r="C46" s="246" t="str">
        <f ca="1">IF(B46="","",VLOOKUP(D46,'Species Data'!B:E,4,FALSE))</f>
        <v>N_hex</v>
      </c>
      <c r="D46" s="246">
        <f t="shared" ca="1" si="2"/>
        <v>601</v>
      </c>
      <c r="E46" s="246">
        <f t="shared" ca="1" si="3"/>
        <v>2.3155999999999999</v>
      </c>
      <c r="F46" s="246" t="str">
        <f t="shared" ca="1" si="4"/>
        <v>N-hexane</v>
      </c>
      <c r="G46" s="246">
        <f t="shared" ca="1" si="5"/>
        <v>86.175359999999998</v>
      </c>
      <c r="H46" s="204">
        <f ca="1">IF(G46="","",IF(VLOOKUP(Dehydration_Tank!F46,'Species Data'!D:F,3,FALSE)=0,"X",IF(G46&lt;44.1,2,1)))</f>
        <v>1</v>
      </c>
      <c r="I46" s="204">
        <f t="shared" ca="1" si="8"/>
        <v>2.3156000000000003</v>
      </c>
      <c r="J46" s="247">
        <f ca="1">IF(I46="","",IF(COUNTIF($D$12:D46,D46)=1,IF(H46=1,I46*H46,IF(H46="X","X",0)),0))</f>
        <v>2.3156000000000003</v>
      </c>
      <c r="K46" s="248">
        <f t="shared" ca="1" si="6"/>
        <v>2.6543570039100071</v>
      </c>
      <c r="L46" s="212" t="s">
        <v>682</v>
      </c>
      <c r="M46" s="212" t="s">
        <v>448</v>
      </c>
      <c r="N46" s="212" t="s">
        <v>470</v>
      </c>
      <c r="O46" s="213">
        <v>41419</v>
      </c>
      <c r="P46" s="212" t="s">
        <v>531</v>
      </c>
      <c r="Q46" s="214">
        <v>100</v>
      </c>
      <c r="R46" s="212" t="s">
        <v>445</v>
      </c>
      <c r="S46" s="212" t="s">
        <v>532</v>
      </c>
      <c r="T46" s="212" t="s">
        <v>445</v>
      </c>
      <c r="U46" s="212" t="s">
        <v>446</v>
      </c>
      <c r="V46" s="214" t="b">
        <v>1</v>
      </c>
      <c r="W46" s="214">
        <v>1989</v>
      </c>
      <c r="X46" s="214">
        <v>5</v>
      </c>
      <c r="Y46" s="214">
        <v>2</v>
      </c>
      <c r="Z46" s="214">
        <v>4</v>
      </c>
      <c r="AA46" s="212" t="s">
        <v>447</v>
      </c>
      <c r="AB46" s="212" t="s">
        <v>531</v>
      </c>
      <c r="AC46" s="212" t="s">
        <v>533</v>
      </c>
      <c r="AD46" s="214">
        <v>1.089618</v>
      </c>
      <c r="AE46" s="214">
        <v>601</v>
      </c>
      <c r="AF46" s="214">
        <v>2.3155999999999999</v>
      </c>
      <c r="AG46" s="214">
        <v>-99</v>
      </c>
      <c r="AH46" s="212" t="s">
        <v>224</v>
      </c>
      <c r="AI46" s="212" t="s">
        <v>449</v>
      </c>
      <c r="AJ46" s="212" t="s">
        <v>279</v>
      </c>
      <c r="AK46" s="212" t="s">
        <v>531</v>
      </c>
      <c r="AL46" s="212" t="s">
        <v>379</v>
      </c>
      <c r="AM46" s="214" t="b">
        <v>1</v>
      </c>
      <c r="AN46" s="214" t="b">
        <v>1</v>
      </c>
      <c r="AO46" s="212" t="s">
        <v>280</v>
      </c>
      <c r="AP46" s="212" t="s">
        <v>281</v>
      </c>
      <c r="AQ46" s="214">
        <v>86.175359999999998</v>
      </c>
      <c r="AR46" s="214" t="b">
        <v>0</v>
      </c>
      <c r="AS46" s="212" t="s">
        <v>534</v>
      </c>
      <c r="AU46" s="195" t="s">
        <v>819</v>
      </c>
    </row>
    <row r="47" spans="1:47" x14ac:dyDescent="0.25">
      <c r="A47" s="245">
        <f t="shared" si="7"/>
        <v>47</v>
      </c>
      <c r="B47" s="246" t="str">
        <f t="shared" si="0"/>
        <v>Oil Field - Dehydration Tank</v>
      </c>
      <c r="C47" s="246" t="str">
        <f ca="1">IF(B47="","",VLOOKUP(D47,'Species Data'!B:E,4,FALSE))</f>
        <v>N_nonane</v>
      </c>
      <c r="D47" s="246">
        <f t="shared" ca="1" si="2"/>
        <v>603</v>
      </c>
      <c r="E47" s="246">
        <f t="shared" ca="1" si="3"/>
        <v>0.2195</v>
      </c>
      <c r="F47" s="246" t="str">
        <f t="shared" ca="1" si="4"/>
        <v>N-nonane</v>
      </c>
      <c r="G47" s="246">
        <f t="shared" ca="1" si="5"/>
        <v>128.2551</v>
      </c>
      <c r="H47" s="204">
        <f ca="1">IF(G47="","",IF(VLOOKUP(Dehydration_Tank!F47,'Species Data'!D:F,3,FALSE)=0,"X",IF(G47&lt;44.1,2,1)))</f>
        <v>1</v>
      </c>
      <c r="I47" s="204">
        <f t="shared" ca="1" si="8"/>
        <v>0.21950000000000003</v>
      </c>
      <c r="J47" s="247">
        <f ca="1">IF(I47="","",IF(COUNTIF($D$12:D47,D47)=1,IF(H47=1,I47*H47,IF(H47="X","X",0)),0))</f>
        <v>0.21950000000000003</v>
      </c>
      <c r="K47" s="248">
        <f t="shared" ca="1" si="6"/>
        <v>0.25161140195122061</v>
      </c>
      <c r="L47" s="212" t="s">
        <v>682</v>
      </c>
      <c r="M47" s="212" t="s">
        <v>448</v>
      </c>
      <c r="N47" s="212" t="s">
        <v>470</v>
      </c>
      <c r="O47" s="213">
        <v>41419</v>
      </c>
      <c r="P47" s="212" t="s">
        <v>531</v>
      </c>
      <c r="Q47" s="214">
        <v>100</v>
      </c>
      <c r="R47" s="212" t="s">
        <v>445</v>
      </c>
      <c r="S47" s="212" t="s">
        <v>532</v>
      </c>
      <c r="T47" s="212" t="s">
        <v>445</v>
      </c>
      <c r="U47" s="212" t="s">
        <v>446</v>
      </c>
      <c r="V47" s="214" t="b">
        <v>1</v>
      </c>
      <c r="W47" s="214">
        <v>1989</v>
      </c>
      <c r="X47" s="214">
        <v>5</v>
      </c>
      <c r="Y47" s="214">
        <v>2</v>
      </c>
      <c r="Z47" s="214">
        <v>4</v>
      </c>
      <c r="AA47" s="212" t="s">
        <v>447</v>
      </c>
      <c r="AB47" s="212" t="s">
        <v>531</v>
      </c>
      <c r="AC47" s="212" t="s">
        <v>533</v>
      </c>
      <c r="AD47" s="214">
        <v>1.089618</v>
      </c>
      <c r="AE47" s="214">
        <v>603</v>
      </c>
      <c r="AF47" s="214">
        <v>0.2195</v>
      </c>
      <c r="AG47" s="214">
        <v>-99</v>
      </c>
      <c r="AH47" s="212" t="s">
        <v>224</v>
      </c>
      <c r="AI47" s="212" t="s">
        <v>449</v>
      </c>
      <c r="AJ47" s="212" t="s">
        <v>417</v>
      </c>
      <c r="AK47" s="212" t="s">
        <v>531</v>
      </c>
      <c r="AL47" s="212" t="s">
        <v>453</v>
      </c>
      <c r="AM47" s="214" t="b">
        <v>1</v>
      </c>
      <c r="AN47" s="214" t="b">
        <v>0</v>
      </c>
      <c r="AO47" s="212" t="s">
        <v>418</v>
      </c>
      <c r="AP47" s="212" t="s">
        <v>419</v>
      </c>
      <c r="AQ47" s="214">
        <v>128.2551</v>
      </c>
      <c r="AR47" s="214" t="b">
        <v>0</v>
      </c>
      <c r="AS47" s="212" t="s">
        <v>534</v>
      </c>
      <c r="AU47" s="195" t="s">
        <v>819</v>
      </c>
    </row>
    <row r="48" spans="1:47" x14ac:dyDescent="0.25">
      <c r="A48" s="245">
        <f t="shared" si="7"/>
        <v>48</v>
      </c>
      <c r="B48" s="246" t="str">
        <f t="shared" si="0"/>
        <v>Oil Field - Dehydration Tank</v>
      </c>
      <c r="C48" s="246" t="str">
        <f ca="1">IF(B48="","",VLOOKUP(D48,'Species Data'!B:E,4,FALSE))</f>
        <v>N_octane</v>
      </c>
      <c r="D48" s="246">
        <f t="shared" ca="1" si="2"/>
        <v>604</v>
      </c>
      <c r="E48" s="246">
        <f t="shared" ca="1" si="3"/>
        <v>1.3665</v>
      </c>
      <c r="F48" s="246" t="str">
        <f t="shared" ca="1" si="4"/>
        <v>N-octane</v>
      </c>
      <c r="G48" s="246">
        <f t="shared" ca="1" si="5"/>
        <v>114.22852</v>
      </c>
      <c r="H48" s="204">
        <f ca="1">IF(G48="","",IF(VLOOKUP(Dehydration_Tank!F48,'Species Data'!D:F,3,FALSE)=0,"X",IF(G48&lt;44.1,2,1)))</f>
        <v>1</v>
      </c>
      <c r="I48" s="204">
        <f t="shared" ca="1" si="8"/>
        <v>1.3665000000000003</v>
      </c>
      <c r="J48" s="247">
        <f ca="1">IF(I48="","",IF(COUNTIF($D$12:D48,D48)=1,IF(H48=1,I48*H48,IF(H48="X","X",0)),0))</f>
        <v>1.3665000000000003</v>
      </c>
      <c r="K48" s="248">
        <f t="shared" ca="1" si="6"/>
        <v>1.5664099351541825</v>
      </c>
      <c r="L48" s="212" t="s">
        <v>682</v>
      </c>
      <c r="M48" s="212" t="s">
        <v>448</v>
      </c>
      <c r="N48" s="212" t="s">
        <v>470</v>
      </c>
      <c r="O48" s="213">
        <v>41419</v>
      </c>
      <c r="P48" s="212" t="s">
        <v>531</v>
      </c>
      <c r="Q48" s="214">
        <v>100</v>
      </c>
      <c r="R48" s="212" t="s">
        <v>445</v>
      </c>
      <c r="S48" s="212" t="s">
        <v>532</v>
      </c>
      <c r="T48" s="212" t="s">
        <v>445</v>
      </c>
      <c r="U48" s="212" t="s">
        <v>446</v>
      </c>
      <c r="V48" s="214" t="b">
        <v>1</v>
      </c>
      <c r="W48" s="214">
        <v>1989</v>
      </c>
      <c r="X48" s="214">
        <v>5</v>
      </c>
      <c r="Y48" s="214">
        <v>2</v>
      </c>
      <c r="Z48" s="214">
        <v>4</v>
      </c>
      <c r="AA48" s="212" t="s">
        <v>447</v>
      </c>
      <c r="AB48" s="212" t="s">
        <v>531</v>
      </c>
      <c r="AC48" s="212" t="s">
        <v>533</v>
      </c>
      <c r="AD48" s="214">
        <v>1.089618</v>
      </c>
      <c r="AE48" s="214">
        <v>604</v>
      </c>
      <c r="AF48" s="214">
        <v>1.3665</v>
      </c>
      <c r="AG48" s="214">
        <v>-99</v>
      </c>
      <c r="AH48" s="212" t="s">
        <v>224</v>
      </c>
      <c r="AI48" s="212" t="s">
        <v>449</v>
      </c>
      <c r="AJ48" s="212" t="s">
        <v>282</v>
      </c>
      <c r="AK48" s="212" t="s">
        <v>531</v>
      </c>
      <c r="AL48" s="212" t="s">
        <v>380</v>
      </c>
      <c r="AM48" s="214" t="b">
        <v>1</v>
      </c>
      <c r="AN48" s="214" t="b">
        <v>0</v>
      </c>
      <c r="AO48" s="212" t="s">
        <v>283</v>
      </c>
      <c r="AP48" s="212" t="s">
        <v>284</v>
      </c>
      <c r="AQ48" s="214">
        <v>114.22852</v>
      </c>
      <c r="AR48" s="214" t="b">
        <v>0</v>
      </c>
      <c r="AS48" s="212" t="s">
        <v>534</v>
      </c>
      <c r="AU48" s="195" t="s">
        <v>819</v>
      </c>
    </row>
    <row r="49" spans="1:47" x14ac:dyDescent="0.25">
      <c r="A49" s="245">
        <f t="shared" si="7"/>
        <v>49</v>
      </c>
      <c r="B49" s="246" t="str">
        <f t="shared" si="0"/>
        <v>Oil Field - Dehydration Tank</v>
      </c>
      <c r="C49" s="246" t="str">
        <f ca="1">IF(B49="","",VLOOKUP(D49,'Species Data'!B:E,4,FALSE))</f>
        <v>N_pentane</v>
      </c>
      <c r="D49" s="246">
        <f t="shared" ca="1" si="2"/>
        <v>605</v>
      </c>
      <c r="E49" s="246">
        <f t="shared" ca="1" si="3"/>
        <v>4.3558000000000003</v>
      </c>
      <c r="F49" s="246" t="str">
        <f t="shared" ca="1" si="4"/>
        <v>N-pentane</v>
      </c>
      <c r="G49" s="246">
        <f t="shared" ca="1" si="5"/>
        <v>72.148780000000002</v>
      </c>
      <c r="H49" s="204">
        <f ca="1">IF(G49="","",IF(VLOOKUP(Dehydration_Tank!F49,'Species Data'!D:F,3,FALSE)=0,"X",IF(G49&lt;44.1,2,1)))</f>
        <v>1</v>
      </c>
      <c r="I49" s="204">
        <f t="shared" ca="1" si="8"/>
        <v>4.3558000000000012</v>
      </c>
      <c r="J49" s="247">
        <f ca="1">IF(I49="","",IF(COUNTIF($D$12:D49,D49)=1,IF(H49=1,I49*H49,IF(H49="X","X",0)),0))</f>
        <v>4.3558000000000012</v>
      </c>
      <c r="K49" s="248">
        <f t="shared" ca="1" si="6"/>
        <v>4.993024804642948</v>
      </c>
      <c r="L49" s="212" t="s">
        <v>682</v>
      </c>
      <c r="M49" s="212" t="s">
        <v>448</v>
      </c>
      <c r="N49" s="212" t="s">
        <v>470</v>
      </c>
      <c r="O49" s="213">
        <v>41419</v>
      </c>
      <c r="P49" s="212" t="s">
        <v>531</v>
      </c>
      <c r="Q49" s="214">
        <v>100</v>
      </c>
      <c r="R49" s="212" t="s">
        <v>445</v>
      </c>
      <c r="S49" s="212" t="s">
        <v>532</v>
      </c>
      <c r="T49" s="212" t="s">
        <v>445</v>
      </c>
      <c r="U49" s="212" t="s">
        <v>446</v>
      </c>
      <c r="V49" s="214" t="b">
        <v>1</v>
      </c>
      <c r="W49" s="214">
        <v>1989</v>
      </c>
      <c r="X49" s="214">
        <v>5</v>
      </c>
      <c r="Y49" s="214">
        <v>2</v>
      </c>
      <c r="Z49" s="214">
        <v>4</v>
      </c>
      <c r="AA49" s="212" t="s">
        <v>447</v>
      </c>
      <c r="AB49" s="212" t="s">
        <v>531</v>
      </c>
      <c r="AC49" s="212" t="s">
        <v>533</v>
      </c>
      <c r="AD49" s="214">
        <v>1.089618</v>
      </c>
      <c r="AE49" s="214">
        <v>605</v>
      </c>
      <c r="AF49" s="214">
        <v>4.3558000000000003</v>
      </c>
      <c r="AG49" s="214">
        <v>-99</v>
      </c>
      <c r="AH49" s="212" t="s">
        <v>224</v>
      </c>
      <c r="AI49" s="212" t="s">
        <v>449</v>
      </c>
      <c r="AJ49" s="212" t="s">
        <v>285</v>
      </c>
      <c r="AK49" s="212" t="s">
        <v>531</v>
      </c>
      <c r="AL49" s="212" t="s">
        <v>381</v>
      </c>
      <c r="AM49" s="214" t="b">
        <v>1</v>
      </c>
      <c r="AN49" s="214" t="b">
        <v>0</v>
      </c>
      <c r="AO49" s="212" t="s">
        <v>286</v>
      </c>
      <c r="AP49" s="212" t="s">
        <v>287</v>
      </c>
      <c r="AQ49" s="214">
        <v>72.148780000000002</v>
      </c>
      <c r="AR49" s="214" t="b">
        <v>0</v>
      </c>
      <c r="AS49" s="212" t="s">
        <v>534</v>
      </c>
      <c r="AU49" s="195" t="s">
        <v>819</v>
      </c>
    </row>
    <row r="50" spans="1:47" x14ac:dyDescent="0.25">
      <c r="A50" s="245">
        <f t="shared" si="7"/>
        <v>50</v>
      </c>
      <c r="B50" s="246" t="str">
        <f t="shared" si="0"/>
        <v>Oil Field - Dehydration Tank</v>
      </c>
      <c r="C50" s="246" t="str">
        <f ca="1">IF(B50="","",VLOOKUP(D50,'Species Data'!B:E,4,FALSE))</f>
        <v>N_proben</v>
      </c>
      <c r="D50" s="246">
        <f t="shared" ca="1" si="2"/>
        <v>608</v>
      </c>
      <c r="E50" s="246">
        <f t="shared" ca="1" si="3"/>
        <v>0.4</v>
      </c>
      <c r="F50" s="246" t="str">
        <f t="shared" ca="1" si="4"/>
        <v>N-propylbenzene</v>
      </c>
      <c r="G50" s="246">
        <f t="shared" ca="1" si="5"/>
        <v>120.19158</v>
      </c>
      <c r="H50" s="204">
        <f ca="1">IF(G50="","",IF(VLOOKUP(Dehydration_Tank!F50,'Species Data'!D:F,3,FALSE)=0,"X",IF(G50&lt;44.1,2,1)))</f>
        <v>1</v>
      </c>
      <c r="I50" s="204">
        <f t="shared" ca="1" si="8"/>
        <v>0.40000000000000008</v>
      </c>
      <c r="J50" s="247">
        <f ca="1">IF(I50="","",IF(COUNTIF($D$12:D50,D50)=1,IF(H50=1,I50*H50,IF(H50="X","X",0)),0))</f>
        <v>0.40000000000000008</v>
      </c>
      <c r="K50" s="248">
        <f t="shared" ca="1" si="6"/>
        <v>0.45851736118673475</v>
      </c>
      <c r="L50" s="212" t="s">
        <v>682</v>
      </c>
      <c r="M50" s="212" t="s">
        <v>448</v>
      </c>
      <c r="N50" s="212" t="s">
        <v>470</v>
      </c>
      <c r="O50" s="213">
        <v>41419</v>
      </c>
      <c r="P50" s="212" t="s">
        <v>531</v>
      </c>
      <c r="Q50" s="214">
        <v>100</v>
      </c>
      <c r="R50" s="212" t="s">
        <v>445</v>
      </c>
      <c r="S50" s="212" t="s">
        <v>532</v>
      </c>
      <c r="T50" s="212" t="s">
        <v>445</v>
      </c>
      <c r="U50" s="212" t="s">
        <v>446</v>
      </c>
      <c r="V50" s="214" t="b">
        <v>1</v>
      </c>
      <c r="W50" s="214">
        <v>1989</v>
      </c>
      <c r="X50" s="214">
        <v>5</v>
      </c>
      <c r="Y50" s="214">
        <v>2</v>
      </c>
      <c r="Z50" s="214">
        <v>4</v>
      </c>
      <c r="AA50" s="212" t="s">
        <v>447</v>
      </c>
      <c r="AB50" s="212" t="s">
        <v>531</v>
      </c>
      <c r="AC50" s="212" t="s">
        <v>533</v>
      </c>
      <c r="AD50" s="214">
        <v>1.089618</v>
      </c>
      <c r="AE50" s="214">
        <v>608</v>
      </c>
      <c r="AF50" s="214">
        <v>0.4</v>
      </c>
      <c r="AG50" s="214">
        <v>-99</v>
      </c>
      <c r="AH50" s="212" t="s">
        <v>224</v>
      </c>
      <c r="AI50" s="212" t="s">
        <v>449</v>
      </c>
      <c r="AJ50" s="212" t="s">
        <v>420</v>
      </c>
      <c r="AK50" s="212" t="s">
        <v>531</v>
      </c>
      <c r="AL50" s="212" t="s">
        <v>454</v>
      </c>
      <c r="AM50" s="214" t="b">
        <v>1</v>
      </c>
      <c r="AN50" s="214" t="b">
        <v>0</v>
      </c>
      <c r="AO50" s="212" t="s">
        <v>421</v>
      </c>
      <c r="AP50" s="212" t="s">
        <v>422</v>
      </c>
      <c r="AQ50" s="214">
        <v>120.19158</v>
      </c>
      <c r="AR50" s="214" t="b">
        <v>0</v>
      </c>
      <c r="AS50" s="212" t="s">
        <v>534</v>
      </c>
      <c r="AU50" s="195" t="s">
        <v>819</v>
      </c>
    </row>
    <row r="51" spans="1:47" x14ac:dyDescent="0.25">
      <c r="A51" s="245">
        <f t="shared" si="7"/>
        <v>51</v>
      </c>
      <c r="B51" s="246" t="str">
        <f t="shared" si="0"/>
        <v>Oil Field - Dehydration Tank</v>
      </c>
      <c r="C51" s="246" t="str">
        <f ca="1">IF(B51="","",VLOOKUP(D51,'Species Data'!B:E,4,FALSE))</f>
        <v>N_und</v>
      </c>
      <c r="D51" s="246">
        <f t="shared" ca="1" si="2"/>
        <v>610</v>
      </c>
      <c r="E51" s="246">
        <f t="shared" ca="1" si="3"/>
        <v>9.9900000000000003E-2</v>
      </c>
      <c r="F51" s="246" t="str">
        <f t="shared" ca="1" si="4"/>
        <v>N-undecane</v>
      </c>
      <c r="G51" s="246">
        <f t="shared" ca="1" si="5"/>
        <v>156.30826000000002</v>
      </c>
      <c r="H51" s="204">
        <f ca="1">IF(G51="","",IF(VLOOKUP(Dehydration_Tank!F51,'Species Data'!D:F,3,FALSE)=0,"X",IF(G51&lt;44.1,2,1)))</f>
        <v>1</v>
      </c>
      <c r="I51" s="204">
        <f t="shared" ca="1" si="8"/>
        <v>9.9900000000000017E-2</v>
      </c>
      <c r="J51" s="247">
        <f ca="1">IF(I51="","",IF(COUNTIF($D$12:D51,D51)=1,IF(H51=1,I51*H51,IF(H51="X","X",0)),0))</f>
        <v>9.9900000000000017E-2</v>
      </c>
      <c r="K51" s="248">
        <f t="shared" ca="1" si="6"/>
        <v>0.11451471095638699</v>
      </c>
      <c r="L51" s="212" t="s">
        <v>682</v>
      </c>
      <c r="M51" s="212" t="s">
        <v>448</v>
      </c>
      <c r="N51" s="212" t="s">
        <v>470</v>
      </c>
      <c r="O51" s="213">
        <v>41419</v>
      </c>
      <c r="P51" s="212" t="s">
        <v>531</v>
      </c>
      <c r="Q51" s="214">
        <v>100</v>
      </c>
      <c r="R51" s="212" t="s">
        <v>445</v>
      </c>
      <c r="S51" s="212" t="s">
        <v>532</v>
      </c>
      <c r="T51" s="212" t="s">
        <v>445</v>
      </c>
      <c r="U51" s="212" t="s">
        <v>446</v>
      </c>
      <c r="V51" s="214" t="b">
        <v>1</v>
      </c>
      <c r="W51" s="214">
        <v>1989</v>
      </c>
      <c r="X51" s="214">
        <v>5</v>
      </c>
      <c r="Y51" s="214">
        <v>2</v>
      </c>
      <c r="Z51" s="214">
        <v>4</v>
      </c>
      <c r="AA51" s="212" t="s">
        <v>447</v>
      </c>
      <c r="AB51" s="212" t="s">
        <v>531</v>
      </c>
      <c r="AC51" s="212" t="s">
        <v>533</v>
      </c>
      <c r="AD51" s="214">
        <v>1.089618</v>
      </c>
      <c r="AE51" s="214">
        <v>610</v>
      </c>
      <c r="AF51" s="214">
        <v>9.9900000000000003E-2</v>
      </c>
      <c r="AG51" s="214">
        <v>-99</v>
      </c>
      <c r="AH51" s="212" t="s">
        <v>224</v>
      </c>
      <c r="AI51" s="212" t="s">
        <v>449</v>
      </c>
      <c r="AJ51" s="212" t="s">
        <v>430</v>
      </c>
      <c r="AK51" s="212" t="s">
        <v>531</v>
      </c>
      <c r="AL51" s="212" t="s">
        <v>458</v>
      </c>
      <c r="AM51" s="214" t="b">
        <v>1</v>
      </c>
      <c r="AN51" s="214" t="b">
        <v>0</v>
      </c>
      <c r="AO51" s="212" t="s">
        <v>431</v>
      </c>
      <c r="AP51" s="212" t="s">
        <v>432</v>
      </c>
      <c r="AQ51" s="214">
        <v>156.30826000000002</v>
      </c>
      <c r="AR51" s="214" t="b">
        <v>0</v>
      </c>
      <c r="AS51" s="212" t="s">
        <v>534</v>
      </c>
      <c r="AU51" s="195" t="s">
        <v>819</v>
      </c>
    </row>
    <row r="52" spans="1:47" x14ac:dyDescent="0.25">
      <c r="A52" s="245">
        <f t="shared" si="7"/>
        <v>52</v>
      </c>
      <c r="B52" s="246" t="str">
        <f t="shared" si="0"/>
        <v>Oil Field - Dehydration Tank</v>
      </c>
      <c r="C52" s="246" t="str">
        <f ca="1">IF(B52="","",VLOOKUP(D52,'Species Data'!B:E,4,FALSE))</f>
        <v>O_xylene</v>
      </c>
      <c r="D52" s="246">
        <f t="shared" ca="1" si="2"/>
        <v>620</v>
      </c>
      <c r="E52" s="246">
        <f t="shared" ca="1" si="3"/>
        <v>0.27829999999999999</v>
      </c>
      <c r="F52" s="246" t="str">
        <f t="shared" ca="1" si="4"/>
        <v>O-xylene</v>
      </c>
      <c r="G52" s="246">
        <f t="shared" ca="1" si="5"/>
        <v>106.16500000000001</v>
      </c>
      <c r="H52" s="204">
        <f ca="1">IF(G52="","",IF(VLOOKUP(Dehydration_Tank!F52,'Species Data'!D:F,3,FALSE)=0,"X",IF(G52&lt;44.1,2,1)))</f>
        <v>1</v>
      </c>
      <c r="I52" s="204">
        <f t="shared" ca="1" si="8"/>
        <v>0.27830000000000005</v>
      </c>
      <c r="J52" s="247">
        <f ca="1">IF(I52="","",IF(COUNTIF($D$12:D52,D52)=1,IF(H52=1,I52*H52,IF(H52="X","X",0)),0))</f>
        <v>0.27830000000000005</v>
      </c>
      <c r="K52" s="248">
        <f t="shared" ca="1" si="6"/>
        <v>0.31901345404567066</v>
      </c>
      <c r="L52" s="212" t="s">
        <v>682</v>
      </c>
      <c r="M52" s="212" t="s">
        <v>448</v>
      </c>
      <c r="N52" s="212" t="s">
        <v>470</v>
      </c>
      <c r="O52" s="213">
        <v>41419</v>
      </c>
      <c r="P52" s="212" t="s">
        <v>531</v>
      </c>
      <c r="Q52" s="214">
        <v>100</v>
      </c>
      <c r="R52" s="212" t="s">
        <v>445</v>
      </c>
      <c r="S52" s="212" t="s">
        <v>532</v>
      </c>
      <c r="T52" s="212" t="s">
        <v>445</v>
      </c>
      <c r="U52" s="212" t="s">
        <v>446</v>
      </c>
      <c r="V52" s="214" t="b">
        <v>1</v>
      </c>
      <c r="W52" s="214">
        <v>1989</v>
      </c>
      <c r="X52" s="214">
        <v>5</v>
      </c>
      <c r="Y52" s="214">
        <v>2</v>
      </c>
      <c r="Z52" s="214">
        <v>4</v>
      </c>
      <c r="AA52" s="212" t="s">
        <v>447</v>
      </c>
      <c r="AB52" s="212" t="s">
        <v>531</v>
      </c>
      <c r="AC52" s="212" t="s">
        <v>533</v>
      </c>
      <c r="AD52" s="214">
        <v>1.089618</v>
      </c>
      <c r="AE52" s="214">
        <v>620</v>
      </c>
      <c r="AF52" s="214">
        <v>0.27829999999999999</v>
      </c>
      <c r="AG52" s="214">
        <v>-99</v>
      </c>
      <c r="AH52" s="212" t="s">
        <v>224</v>
      </c>
      <c r="AI52" s="212" t="s">
        <v>449</v>
      </c>
      <c r="AJ52" s="212" t="s">
        <v>354</v>
      </c>
      <c r="AK52" s="212" t="s">
        <v>531</v>
      </c>
      <c r="AL52" s="212" t="s">
        <v>398</v>
      </c>
      <c r="AM52" s="214" t="b">
        <v>1</v>
      </c>
      <c r="AN52" s="214" t="b">
        <v>1</v>
      </c>
      <c r="AO52" s="212" t="s">
        <v>355</v>
      </c>
      <c r="AP52" s="212" t="s">
        <v>356</v>
      </c>
      <c r="AQ52" s="214">
        <v>106.16500000000001</v>
      </c>
      <c r="AR52" s="214" t="b">
        <v>0</v>
      </c>
      <c r="AS52" s="212" t="s">
        <v>534</v>
      </c>
      <c r="AT52" s="301" t="s">
        <v>820</v>
      </c>
      <c r="AU52" s="195" t="s">
        <v>819</v>
      </c>
    </row>
    <row r="53" spans="1:47" x14ac:dyDescent="0.25">
      <c r="A53" s="245">
        <f t="shared" si="7"/>
        <v>53</v>
      </c>
      <c r="B53" s="246" t="str">
        <f t="shared" si="0"/>
        <v>Oil Field - Dehydration Tank</v>
      </c>
      <c r="C53" s="246" t="str">
        <f ca="1">IF(B53="","",VLOOKUP(D53,'Species Data'!B:E,4,FALSE))</f>
        <v>P_xylene</v>
      </c>
      <c r="D53" s="246">
        <f t="shared" ca="1" si="2"/>
        <v>648</v>
      </c>
      <c r="E53" s="246">
        <f t="shared" ca="1" si="3"/>
        <v>0.27629999999999999</v>
      </c>
      <c r="F53" s="246" t="str">
        <f t="shared" ca="1" si="4"/>
        <v>P-xylene</v>
      </c>
      <c r="G53" s="246">
        <f t="shared" ca="1" si="5"/>
        <v>106.16500000000001</v>
      </c>
      <c r="H53" s="204">
        <f ca="1">IF(G53="","",IF(VLOOKUP(Dehydration_Tank!F53,'Species Data'!D:F,3,FALSE)=0,"X",IF(G53&lt;44.1,2,1)))</f>
        <v>1</v>
      </c>
      <c r="I53" s="204">
        <f t="shared" ca="1" si="8"/>
        <v>0.27630000000000005</v>
      </c>
      <c r="J53" s="247">
        <f ca="1">IF(I53="","",IF(COUNTIF($D$12:D53,D53)=1,IF(H53=1,I53*H53,IF(H53="X","X",0)),0))</f>
        <v>0.27630000000000005</v>
      </c>
      <c r="K53" s="248">
        <f t="shared" ca="1" si="6"/>
        <v>0.31672086723973697</v>
      </c>
      <c r="L53" s="212" t="s">
        <v>682</v>
      </c>
      <c r="M53" s="212" t="s">
        <v>448</v>
      </c>
      <c r="N53" s="212" t="s">
        <v>470</v>
      </c>
      <c r="O53" s="213">
        <v>41419</v>
      </c>
      <c r="P53" s="212" t="s">
        <v>531</v>
      </c>
      <c r="Q53" s="214">
        <v>100</v>
      </c>
      <c r="R53" s="212" t="s">
        <v>445</v>
      </c>
      <c r="S53" s="212" t="s">
        <v>532</v>
      </c>
      <c r="T53" s="212" t="s">
        <v>445</v>
      </c>
      <c r="U53" s="212" t="s">
        <v>446</v>
      </c>
      <c r="V53" s="214" t="b">
        <v>1</v>
      </c>
      <c r="W53" s="214">
        <v>1989</v>
      </c>
      <c r="X53" s="214">
        <v>5</v>
      </c>
      <c r="Y53" s="214">
        <v>2</v>
      </c>
      <c r="Z53" s="214">
        <v>4</v>
      </c>
      <c r="AA53" s="212" t="s">
        <v>447</v>
      </c>
      <c r="AB53" s="212" t="s">
        <v>531</v>
      </c>
      <c r="AC53" s="212" t="s">
        <v>533</v>
      </c>
      <c r="AD53" s="214">
        <v>1.089618</v>
      </c>
      <c r="AE53" s="214">
        <v>648</v>
      </c>
      <c r="AF53" s="214">
        <v>0.27629999999999999</v>
      </c>
      <c r="AG53" s="214">
        <v>-99</v>
      </c>
      <c r="AH53" s="212" t="s">
        <v>224</v>
      </c>
      <c r="AI53" s="212" t="s">
        <v>449</v>
      </c>
      <c r="AJ53" s="212" t="s">
        <v>433</v>
      </c>
      <c r="AK53" s="212" t="s">
        <v>531</v>
      </c>
      <c r="AL53" s="212" t="s">
        <v>459</v>
      </c>
      <c r="AM53" s="214" t="b">
        <v>0</v>
      </c>
      <c r="AN53" s="214" t="b">
        <v>1</v>
      </c>
      <c r="AO53" s="212" t="s">
        <v>434</v>
      </c>
      <c r="AP53" s="212" t="s">
        <v>435</v>
      </c>
      <c r="AQ53" s="214">
        <v>106.16500000000001</v>
      </c>
      <c r="AR53" s="214" t="b">
        <v>0</v>
      </c>
      <c r="AS53" s="212" t="s">
        <v>534</v>
      </c>
      <c r="AT53" s="301" t="s">
        <v>820</v>
      </c>
      <c r="AU53" s="195" t="s">
        <v>819</v>
      </c>
    </row>
    <row r="54" spans="1:47" ht="15" customHeight="1" x14ac:dyDescent="0.25">
      <c r="A54" s="245">
        <f t="shared" si="7"/>
        <v>54</v>
      </c>
      <c r="B54" s="246" t="str">
        <f t="shared" si="0"/>
        <v>Oil Field - Dehydration Tank</v>
      </c>
      <c r="C54" s="246" t="str">
        <f ca="1">IF(B54="","",VLOOKUP(D54,'Species Data'!B:E,4,FALSE))</f>
        <v>propane</v>
      </c>
      <c r="D54" s="246">
        <f t="shared" ca="1" si="2"/>
        <v>671</v>
      </c>
      <c r="E54" s="246">
        <f t="shared" ca="1" si="3"/>
        <v>4.5376000000000003</v>
      </c>
      <c r="F54" s="246" t="str">
        <f t="shared" ca="1" si="4"/>
        <v>Propane</v>
      </c>
      <c r="G54" s="246">
        <f t="shared" ca="1" si="5"/>
        <v>44.095619999999997</v>
      </c>
      <c r="H54" s="204">
        <f ca="1">IF(G54="","",IF(VLOOKUP(Dehydration_Tank!F54,'Species Data'!D:F,3,FALSE)=0,"X",IF(G54&lt;44.1,2,1)))</f>
        <v>2</v>
      </c>
      <c r="I54" s="204">
        <f t="shared" ca="1" si="8"/>
        <v>4.5376000000000012</v>
      </c>
      <c r="J54" s="247">
        <f ca="1">IF(I54="","",IF(COUNTIF($D$12:D54,D54)=1,IF(H54=1,I54*H54,IF(H54="X","X",0)),0))</f>
        <v>0</v>
      </c>
      <c r="K54" s="248">
        <f t="shared" ca="1" si="6"/>
        <v>0</v>
      </c>
      <c r="L54" s="212" t="s">
        <v>682</v>
      </c>
      <c r="M54" s="212" t="s">
        <v>448</v>
      </c>
      <c r="N54" s="212" t="s">
        <v>470</v>
      </c>
      <c r="O54" s="213">
        <v>41419</v>
      </c>
      <c r="P54" s="212" t="s">
        <v>531</v>
      </c>
      <c r="Q54" s="214">
        <v>100</v>
      </c>
      <c r="R54" s="212" t="s">
        <v>445</v>
      </c>
      <c r="S54" s="212" t="s">
        <v>532</v>
      </c>
      <c r="T54" s="212" t="s">
        <v>445</v>
      </c>
      <c r="U54" s="212" t="s">
        <v>446</v>
      </c>
      <c r="V54" s="214" t="b">
        <v>1</v>
      </c>
      <c r="W54" s="214">
        <v>1989</v>
      </c>
      <c r="X54" s="214">
        <v>5</v>
      </c>
      <c r="Y54" s="214">
        <v>2</v>
      </c>
      <c r="Z54" s="214">
        <v>4</v>
      </c>
      <c r="AA54" s="212" t="s">
        <v>447</v>
      </c>
      <c r="AB54" s="212" t="s">
        <v>531</v>
      </c>
      <c r="AC54" s="212" t="s">
        <v>533</v>
      </c>
      <c r="AD54" s="214">
        <v>1.089618</v>
      </c>
      <c r="AE54" s="214">
        <v>671</v>
      </c>
      <c r="AF54" s="214">
        <v>4.5376000000000003</v>
      </c>
      <c r="AG54" s="214">
        <v>-99</v>
      </c>
      <c r="AH54" s="212" t="s">
        <v>224</v>
      </c>
      <c r="AI54" s="212" t="s">
        <v>449</v>
      </c>
      <c r="AJ54" s="212" t="s">
        <v>288</v>
      </c>
      <c r="AK54" s="212" t="s">
        <v>531</v>
      </c>
      <c r="AL54" s="212" t="s">
        <v>382</v>
      </c>
      <c r="AM54" s="214" t="b">
        <v>1</v>
      </c>
      <c r="AN54" s="214" t="b">
        <v>0</v>
      </c>
      <c r="AO54" s="212" t="s">
        <v>289</v>
      </c>
      <c r="AP54" s="212" t="s">
        <v>290</v>
      </c>
      <c r="AQ54" s="214">
        <v>44.095619999999997</v>
      </c>
      <c r="AR54" s="214" t="b">
        <v>0</v>
      </c>
      <c r="AS54" s="212" t="s">
        <v>534</v>
      </c>
      <c r="AU54" s="195" t="s">
        <v>819</v>
      </c>
    </row>
    <row r="55" spans="1:47" x14ac:dyDescent="0.25">
      <c r="A55" s="245">
        <f t="shared" si="7"/>
        <v>55</v>
      </c>
      <c r="B55" s="246" t="str">
        <f t="shared" si="0"/>
        <v>Oil Field - Dehydration Tank</v>
      </c>
      <c r="C55" s="246" t="str">
        <f ca="1">IF(B55="","",VLOOKUP(D55,'Species Data'!B:E,4,FALSE))</f>
        <v>T_butben</v>
      </c>
      <c r="D55" s="246">
        <f t="shared" ca="1" si="2"/>
        <v>703</v>
      </c>
      <c r="E55" s="246">
        <f t="shared" ca="1" si="3"/>
        <v>0.21029999999999999</v>
      </c>
      <c r="F55" s="246" t="str">
        <f t="shared" ca="1" si="4"/>
        <v>T-butylbenzene</v>
      </c>
      <c r="G55" s="246">
        <f t="shared" ca="1" si="5"/>
        <v>134.21816000000001</v>
      </c>
      <c r="H55" s="204" t="str">
        <f ca="1">IF(G55="","",IF(VLOOKUP(Dehydration_Tank!F55,'Species Data'!D:F,3,FALSE)=0,"X",IF(G55&lt;44.1,2,1)))</f>
        <v>X</v>
      </c>
      <c r="I55" s="204">
        <f t="shared" ca="1" si="8"/>
        <v>0.21030000000000001</v>
      </c>
      <c r="J55" s="247" t="str">
        <f ca="1">IF(I55="","",IF(COUNTIF($D$12:D55,D55)=1,IF(H55=1,I55*H55,IF(H55="X","X",0)),0))</f>
        <v>X</v>
      </c>
      <c r="K55" s="248">
        <f t="shared" ca="1" si="6"/>
        <v>0</v>
      </c>
      <c r="L55" s="212" t="s">
        <v>682</v>
      </c>
      <c r="M55" s="212" t="s">
        <v>448</v>
      </c>
      <c r="N55" s="212" t="s">
        <v>470</v>
      </c>
      <c r="O55" s="213">
        <v>41419</v>
      </c>
      <c r="P55" s="212" t="s">
        <v>531</v>
      </c>
      <c r="Q55" s="214">
        <v>100</v>
      </c>
      <c r="R55" s="212" t="s">
        <v>445</v>
      </c>
      <c r="S55" s="212" t="s">
        <v>532</v>
      </c>
      <c r="T55" s="212" t="s">
        <v>445</v>
      </c>
      <c r="U55" s="212" t="s">
        <v>446</v>
      </c>
      <c r="V55" s="214" t="b">
        <v>1</v>
      </c>
      <c r="W55" s="214">
        <v>1989</v>
      </c>
      <c r="X55" s="214">
        <v>5</v>
      </c>
      <c r="Y55" s="214">
        <v>2</v>
      </c>
      <c r="Z55" s="214">
        <v>4</v>
      </c>
      <c r="AA55" s="212" t="s">
        <v>447</v>
      </c>
      <c r="AB55" s="212" t="s">
        <v>531</v>
      </c>
      <c r="AC55" s="212" t="s">
        <v>533</v>
      </c>
      <c r="AD55" s="214">
        <v>1.089618</v>
      </c>
      <c r="AE55" s="214">
        <v>703</v>
      </c>
      <c r="AF55" s="214">
        <v>0.21029999999999999</v>
      </c>
      <c r="AG55" s="214">
        <v>-99</v>
      </c>
      <c r="AH55" s="212" t="s">
        <v>224</v>
      </c>
      <c r="AI55" s="212" t="s">
        <v>449</v>
      </c>
      <c r="AJ55" s="212" t="s">
        <v>423</v>
      </c>
      <c r="AK55" s="212" t="s">
        <v>531</v>
      </c>
      <c r="AL55" s="212" t="s">
        <v>455</v>
      </c>
      <c r="AM55" s="214" t="b">
        <v>0</v>
      </c>
      <c r="AN55" s="214" t="b">
        <v>0</v>
      </c>
      <c r="AO55" s="212" t="s">
        <v>424</v>
      </c>
      <c r="AP55" s="212" t="s">
        <v>531</v>
      </c>
      <c r="AQ55" s="214">
        <v>134.21816000000001</v>
      </c>
      <c r="AR55" s="214" t="b">
        <v>0</v>
      </c>
      <c r="AS55" s="212" t="s">
        <v>534</v>
      </c>
      <c r="AU55" s="195" t="s">
        <v>819</v>
      </c>
    </row>
    <row r="56" spans="1:47" x14ac:dyDescent="0.25">
      <c r="A56" s="245">
        <f t="shared" si="7"/>
        <v>56</v>
      </c>
      <c r="B56" s="246" t="str">
        <f t="shared" si="0"/>
        <v>Oil Field - Dehydration Tank</v>
      </c>
      <c r="C56" s="246" t="str">
        <f ca="1">IF(B56="","",VLOOKUP(D56,'Species Data'!B:E,4,FALSE))</f>
        <v>toluene</v>
      </c>
      <c r="D56" s="246">
        <f t="shared" ca="1" si="2"/>
        <v>717</v>
      </c>
      <c r="E56" s="246">
        <f t="shared" ca="1" si="3"/>
        <v>0.49</v>
      </c>
      <c r="F56" s="246" t="str">
        <f t="shared" ca="1" si="4"/>
        <v>Toluene</v>
      </c>
      <c r="G56" s="246">
        <f t="shared" ca="1" si="5"/>
        <v>92.138419999999996</v>
      </c>
      <c r="H56" s="204">
        <f ca="1">IF(G56="","",IF(VLOOKUP(Dehydration_Tank!F56,'Species Data'!D:F,3,FALSE)=0,"X",IF(G56&lt;44.1,2,1)))</f>
        <v>1</v>
      </c>
      <c r="I56" s="204">
        <f t="shared" ca="1" si="8"/>
        <v>0.49000000000000005</v>
      </c>
      <c r="J56" s="247">
        <f ca="1">IF(I56="","",IF(COUNTIF($D$12:D56,D56)=1,IF(H56=1,I56*H56,IF(H56="X","X",0)),0))</f>
        <v>0.49000000000000005</v>
      </c>
      <c r="K56" s="248">
        <f t="shared" ca="1" si="6"/>
        <v>0.56168376745374993</v>
      </c>
      <c r="L56" s="212" t="s">
        <v>682</v>
      </c>
      <c r="M56" s="212" t="s">
        <v>448</v>
      </c>
      <c r="N56" s="212" t="s">
        <v>470</v>
      </c>
      <c r="O56" s="213">
        <v>41419</v>
      </c>
      <c r="P56" s="212" t="s">
        <v>531</v>
      </c>
      <c r="Q56" s="214">
        <v>100</v>
      </c>
      <c r="R56" s="212" t="s">
        <v>445</v>
      </c>
      <c r="S56" s="212" t="s">
        <v>532</v>
      </c>
      <c r="T56" s="212" t="s">
        <v>445</v>
      </c>
      <c r="U56" s="212" t="s">
        <v>446</v>
      </c>
      <c r="V56" s="214" t="b">
        <v>1</v>
      </c>
      <c r="W56" s="214">
        <v>1989</v>
      </c>
      <c r="X56" s="214">
        <v>5</v>
      </c>
      <c r="Y56" s="214">
        <v>2</v>
      </c>
      <c r="Z56" s="214">
        <v>4</v>
      </c>
      <c r="AA56" s="212" t="s">
        <v>447</v>
      </c>
      <c r="AB56" s="212" t="s">
        <v>531</v>
      </c>
      <c r="AC56" s="212" t="s">
        <v>533</v>
      </c>
      <c r="AD56" s="214">
        <v>1.089618</v>
      </c>
      <c r="AE56" s="214">
        <v>717</v>
      </c>
      <c r="AF56" s="214">
        <v>0.49</v>
      </c>
      <c r="AG56" s="214">
        <v>-99</v>
      </c>
      <c r="AH56" s="212" t="s">
        <v>224</v>
      </c>
      <c r="AI56" s="212" t="s">
        <v>449</v>
      </c>
      <c r="AJ56" s="212" t="s">
        <v>294</v>
      </c>
      <c r="AK56" s="212" t="s">
        <v>531</v>
      </c>
      <c r="AL56" s="212" t="s">
        <v>383</v>
      </c>
      <c r="AM56" s="214" t="b">
        <v>1</v>
      </c>
      <c r="AN56" s="214" t="b">
        <v>1</v>
      </c>
      <c r="AO56" s="212" t="s">
        <v>295</v>
      </c>
      <c r="AP56" s="212" t="s">
        <v>296</v>
      </c>
      <c r="AQ56" s="214">
        <v>92.138419999999996</v>
      </c>
      <c r="AR56" s="214" t="b">
        <v>0</v>
      </c>
      <c r="AS56" s="212" t="s">
        <v>534</v>
      </c>
      <c r="AU56" s="195" t="s">
        <v>819</v>
      </c>
    </row>
    <row r="57" spans="1:47" x14ac:dyDescent="0.25">
      <c r="A57" s="245">
        <f t="shared" si="7"/>
        <v>57</v>
      </c>
      <c r="B57" s="246" t="str">
        <f t="shared" si="0"/>
        <v>Oil Field - Dehydration Tank</v>
      </c>
      <c r="C57" s="246" t="str">
        <f ca="1">IF(B57="","",VLOOKUP(D57,'Species Data'!B:E,4,FALSE))</f>
        <v>c10_comp</v>
      </c>
      <c r="D57" s="246">
        <f t="shared" ca="1" si="2"/>
        <v>1924</v>
      </c>
      <c r="E57" s="246">
        <f t="shared" ca="1" si="3"/>
        <v>1.3815</v>
      </c>
      <c r="F57" s="246" t="str">
        <f t="shared" ca="1" si="4"/>
        <v>C-10 Compounds</v>
      </c>
      <c r="G57" s="246">
        <f t="shared" ca="1" si="5"/>
        <v>142.28167999999999</v>
      </c>
      <c r="H57" s="204" t="str">
        <f ca="1">IF(G57="","",IF(VLOOKUP(Dehydration_Tank!F57,'Species Data'!D:F,3,FALSE)=0,"X",IF(G57&lt;44.1,2,1)))</f>
        <v>X</v>
      </c>
      <c r="I57" s="204">
        <f t="shared" ca="1" si="8"/>
        <v>1.3815000000000002</v>
      </c>
      <c r="J57" s="247" t="str">
        <f ca="1">IF(I57="","",IF(COUNTIF($D$12:D57,D57)=1,IF(H57=1,I57*H57,IF(H57="X","X",0)),0))</f>
        <v>X</v>
      </c>
      <c r="K57" s="248">
        <f t="shared" ca="1" si="6"/>
        <v>0</v>
      </c>
      <c r="L57" s="212" t="s">
        <v>682</v>
      </c>
      <c r="M57" s="212" t="s">
        <v>448</v>
      </c>
      <c r="N57" s="212" t="s">
        <v>470</v>
      </c>
      <c r="O57" s="213">
        <v>41419</v>
      </c>
      <c r="P57" s="212" t="s">
        <v>531</v>
      </c>
      <c r="Q57" s="214">
        <v>100</v>
      </c>
      <c r="R57" s="212" t="s">
        <v>445</v>
      </c>
      <c r="S57" s="212" t="s">
        <v>532</v>
      </c>
      <c r="T57" s="212" t="s">
        <v>445</v>
      </c>
      <c r="U57" s="212" t="s">
        <v>446</v>
      </c>
      <c r="V57" s="214" t="b">
        <v>1</v>
      </c>
      <c r="W57" s="214">
        <v>1989</v>
      </c>
      <c r="X57" s="214">
        <v>5</v>
      </c>
      <c r="Y57" s="214">
        <v>2</v>
      </c>
      <c r="Z57" s="214">
        <v>4</v>
      </c>
      <c r="AA57" s="212" t="s">
        <v>447</v>
      </c>
      <c r="AB57" s="212" t="s">
        <v>531</v>
      </c>
      <c r="AC57" s="212" t="s">
        <v>533</v>
      </c>
      <c r="AD57" s="214">
        <v>1.089618</v>
      </c>
      <c r="AE57" s="214">
        <v>1924</v>
      </c>
      <c r="AF57" s="214">
        <v>1.3815</v>
      </c>
      <c r="AG57" s="214">
        <v>-99</v>
      </c>
      <c r="AH57" s="212" t="s">
        <v>224</v>
      </c>
      <c r="AI57" s="212" t="s">
        <v>449</v>
      </c>
      <c r="AJ57" s="212" t="s">
        <v>224</v>
      </c>
      <c r="AK57" s="212" t="s">
        <v>531</v>
      </c>
      <c r="AL57" s="212" t="s">
        <v>466</v>
      </c>
      <c r="AM57" s="214" t="b">
        <v>0</v>
      </c>
      <c r="AN57" s="214" t="b">
        <v>0</v>
      </c>
      <c r="AO57" s="212" t="s">
        <v>535</v>
      </c>
      <c r="AP57" s="212" t="s">
        <v>536</v>
      </c>
      <c r="AQ57" s="214">
        <v>142.28167999999999</v>
      </c>
      <c r="AR57" s="214" t="b">
        <v>0</v>
      </c>
      <c r="AS57" s="212" t="s">
        <v>534</v>
      </c>
      <c r="AU57" s="195" t="s">
        <v>819</v>
      </c>
    </row>
    <row r="58" spans="1:47" x14ac:dyDescent="0.25">
      <c r="A58" s="245">
        <f t="shared" si="7"/>
        <v>58</v>
      </c>
      <c r="B58" s="246" t="str">
        <f t="shared" si="0"/>
        <v>Oil Field - Dehydration Tank</v>
      </c>
      <c r="C58" s="246" t="str">
        <f ca="1">IF(B58="","",VLOOKUP(D58,'Species Data'!B:E,4,FALSE))</f>
        <v>c11_comp</v>
      </c>
      <c r="D58" s="246">
        <f t="shared" ca="1" si="2"/>
        <v>1929</v>
      </c>
      <c r="E58" s="246">
        <f t="shared" ca="1" si="3"/>
        <v>0.34699999999999998</v>
      </c>
      <c r="F58" s="246" t="str">
        <f t="shared" ca="1" si="4"/>
        <v>C-11 Compounds</v>
      </c>
      <c r="G58" s="246">
        <f t="shared" ca="1" si="5"/>
        <v>156.30826000000002</v>
      </c>
      <c r="H58" s="204" t="str">
        <f ca="1">IF(G58="","",IF(VLOOKUP(Dehydration_Tank!F58,'Species Data'!D:F,3,FALSE)=0,"X",IF(G58&lt;44.1,2,1)))</f>
        <v>X</v>
      </c>
      <c r="I58" s="204">
        <f t="shared" ca="1" si="8"/>
        <v>0.34700000000000003</v>
      </c>
      <c r="J58" s="247" t="str">
        <f ca="1">IF(I58="","",IF(COUNTIF($D$12:D58,D58)=1,IF(H58=1,I58*H58,IF(H58="X","X",0)),0))</f>
        <v>X</v>
      </c>
      <c r="K58" s="248">
        <f t="shared" ca="1" si="6"/>
        <v>0</v>
      </c>
      <c r="L58" s="212" t="s">
        <v>682</v>
      </c>
      <c r="M58" s="212" t="s">
        <v>448</v>
      </c>
      <c r="N58" s="212" t="s">
        <v>470</v>
      </c>
      <c r="O58" s="213">
        <v>41419</v>
      </c>
      <c r="P58" s="212" t="s">
        <v>531</v>
      </c>
      <c r="Q58" s="214">
        <v>100</v>
      </c>
      <c r="R58" s="212" t="s">
        <v>445</v>
      </c>
      <c r="S58" s="212" t="s">
        <v>532</v>
      </c>
      <c r="T58" s="212" t="s">
        <v>445</v>
      </c>
      <c r="U58" s="212" t="s">
        <v>446</v>
      </c>
      <c r="V58" s="214" t="b">
        <v>1</v>
      </c>
      <c r="W58" s="214">
        <v>1989</v>
      </c>
      <c r="X58" s="214">
        <v>5</v>
      </c>
      <c r="Y58" s="214">
        <v>2</v>
      </c>
      <c r="Z58" s="214">
        <v>4</v>
      </c>
      <c r="AA58" s="212" t="s">
        <v>447</v>
      </c>
      <c r="AB58" s="212" t="s">
        <v>531</v>
      </c>
      <c r="AC58" s="212" t="s">
        <v>533</v>
      </c>
      <c r="AD58" s="214">
        <v>1.089618</v>
      </c>
      <c r="AE58" s="214">
        <v>1929</v>
      </c>
      <c r="AF58" s="214">
        <v>0.34699999999999998</v>
      </c>
      <c r="AG58" s="214">
        <v>-99</v>
      </c>
      <c r="AH58" s="212" t="s">
        <v>224</v>
      </c>
      <c r="AI58" s="212" t="s">
        <v>449</v>
      </c>
      <c r="AJ58" s="212" t="s">
        <v>224</v>
      </c>
      <c r="AK58" s="212" t="s">
        <v>531</v>
      </c>
      <c r="AL58" s="212" t="s">
        <v>467</v>
      </c>
      <c r="AM58" s="214" t="b">
        <v>0</v>
      </c>
      <c r="AN58" s="214" t="b">
        <v>0</v>
      </c>
      <c r="AO58" s="212" t="s">
        <v>468</v>
      </c>
      <c r="AP58" s="212" t="s">
        <v>469</v>
      </c>
      <c r="AQ58" s="214">
        <v>156.30826000000002</v>
      </c>
      <c r="AR58" s="214" t="b">
        <v>0</v>
      </c>
      <c r="AS58" s="212" t="s">
        <v>534</v>
      </c>
      <c r="AU58" s="195" t="s">
        <v>819</v>
      </c>
    </row>
    <row r="59" spans="1:47" x14ac:dyDescent="0.25">
      <c r="A59" s="245">
        <f t="shared" si="7"/>
        <v>59</v>
      </c>
      <c r="B59" s="246" t="str">
        <f t="shared" si="0"/>
        <v>Oil Field - Dehydration Tank</v>
      </c>
      <c r="C59" s="246" t="str">
        <f ca="1">IF(B59="","",VLOOKUP(D59,'Species Data'!B:E,4,FALSE))</f>
        <v>c5_comp</v>
      </c>
      <c r="D59" s="246">
        <f t="shared" ca="1" si="2"/>
        <v>1986</v>
      </c>
      <c r="E59" s="246">
        <f t="shared" ca="1" si="3"/>
        <v>1.3806</v>
      </c>
      <c r="F59" s="246" t="str">
        <f t="shared" ca="1" si="4"/>
        <v>C-5 Compounds</v>
      </c>
      <c r="G59" s="246">
        <f t="shared" ca="1" si="5"/>
        <v>72.148780000000002</v>
      </c>
      <c r="H59" s="204" t="str">
        <f ca="1">IF(G59="","",IF(VLOOKUP(Dehydration_Tank!F59,'Species Data'!D:F,3,FALSE)=0,"X",IF(G59&lt;44.1,2,1)))</f>
        <v>X</v>
      </c>
      <c r="I59" s="204">
        <f t="shared" ca="1" si="8"/>
        <v>1.3806000000000003</v>
      </c>
      <c r="J59" s="247" t="str">
        <f ca="1">IF(I59="","",IF(COUNTIF($D$12:D59,D59)=1,IF(H59=1,I59*H59,IF(H59="X","X",0)),0))</f>
        <v>X</v>
      </c>
      <c r="K59" s="248">
        <f t="shared" ca="1" si="6"/>
        <v>0</v>
      </c>
      <c r="L59" s="212" t="s">
        <v>682</v>
      </c>
      <c r="M59" s="212" t="s">
        <v>448</v>
      </c>
      <c r="N59" s="212" t="s">
        <v>470</v>
      </c>
      <c r="O59" s="213">
        <v>41419</v>
      </c>
      <c r="P59" s="212" t="s">
        <v>531</v>
      </c>
      <c r="Q59" s="214">
        <v>100</v>
      </c>
      <c r="R59" s="212" t="s">
        <v>445</v>
      </c>
      <c r="S59" s="212" t="s">
        <v>532</v>
      </c>
      <c r="T59" s="212" t="s">
        <v>445</v>
      </c>
      <c r="U59" s="212" t="s">
        <v>446</v>
      </c>
      <c r="V59" s="214" t="b">
        <v>1</v>
      </c>
      <c r="W59" s="214">
        <v>1989</v>
      </c>
      <c r="X59" s="214">
        <v>5</v>
      </c>
      <c r="Y59" s="214">
        <v>2</v>
      </c>
      <c r="Z59" s="214">
        <v>4</v>
      </c>
      <c r="AA59" s="212" t="s">
        <v>447</v>
      </c>
      <c r="AB59" s="212" t="s">
        <v>531</v>
      </c>
      <c r="AC59" s="212" t="s">
        <v>533</v>
      </c>
      <c r="AD59" s="214">
        <v>1.089618</v>
      </c>
      <c r="AE59" s="214">
        <v>1986</v>
      </c>
      <c r="AF59" s="214">
        <v>1.3806</v>
      </c>
      <c r="AG59" s="214">
        <v>-99</v>
      </c>
      <c r="AH59" s="212" t="s">
        <v>224</v>
      </c>
      <c r="AI59" s="212" t="s">
        <v>449</v>
      </c>
      <c r="AJ59" s="212" t="s">
        <v>224</v>
      </c>
      <c r="AK59" s="212" t="s">
        <v>531</v>
      </c>
      <c r="AL59" s="212" t="s">
        <v>537</v>
      </c>
      <c r="AM59" s="214" t="b">
        <v>0</v>
      </c>
      <c r="AN59" s="214" t="b">
        <v>0</v>
      </c>
      <c r="AO59" s="212" t="s">
        <v>538</v>
      </c>
      <c r="AP59" s="212" t="s">
        <v>539</v>
      </c>
      <c r="AQ59" s="214">
        <v>72.148780000000002</v>
      </c>
      <c r="AR59" s="214" t="b">
        <v>0</v>
      </c>
      <c r="AS59" s="212" t="s">
        <v>534</v>
      </c>
      <c r="AU59" s="195" t="s">
        <v>819</v>
      </c>
    </row>
    <row r="60" spans="1:47" x14ac:dyDescent="0.25">
      <c r="A60" s="245">
        <f t="shared" si="7"/>
        <v>60</v>
      </c>
      <c r="B60" s="246" t="str">
        <f t="shared" si="0"/>
        <v>Oil Field - Dehydration Tank</v>
      </c>
      <c r="C60" s="246" t="str">
        <f ca="1">IF(B60="","",VLOOKUP(D60,'Species Data'!B:E,4,FALSE))</f>
        <v>c6_comp</v>
      </c>
      <c r="D60" s="246">
        <f t="shared" ca="1" si="2"/>
        <v>1999</v>
      </c>
      <c r="E60" s="246">
        <f t="shared" ca="1" si="3"/>
        <v>8.7053999999999991</v>
      </c>
      <c r="F60" s="246" t="str">
        <f t="shared" ca="1" si="4"/>
        <v>C-6 Compounds</v>
      </c>
      <c r="G60" s="246">
        <f t="shared" ca="1" si="5"/>
        <v>86.175359999999998</v>
      </c>
      <c r="H60" s="204" t="str">
        <f ca="1">IF(G60="","",IF(VLOOKUP(Dehydration_Tank!F60,'Species Data'!D:F,3,FALSE)=0,"X",IF(G60&lt;44.1,2,1)))</f>
        <v>X</v>
      </c>
      <c r="I60" s="204">
        <f t="shared" ca="1" si="8"/>
        <v>8.7054000000000009</v>
      </c>
      <c r="J60" s="247" t="str">
        <f ca="1">IF(I60="","",IF(COUNTIF($D$12:D60,D60)=1,IF(H60=1,I60*H60,IF(H60="X","X",0)),0))</f>
        <v>X</v>
      </c>
      <c r="K60" s="248">
        <f t="shared" ca="1" si="6"/>
        <v>0</v>
      </c>
      <c r="L60" s="212" t="s">
        <v>682</v>
      </c>
      <c r="M60" s="212" t="s">
        <v>448</v>
      </c>
      <c r="N60" s="212" t="s">
        <v>470</v>
      </c>
      <c r="O60" s="213">
        <v>41419</v>
      </c>
      <c r="P60" s="212" t="s">
        <v>531</v>
      </c>
      <c r="Q60" s="214">
        <v>100</v>
      </c>
      <c r="R60" s="212" t="s">
        <v>445</v>
      </c>
      <c r="S60" s="212" t="s">
        <v>532</v>
      </c>
      <c r="T60" s="212" t="s">
        <v>445</v>
      </c>
      <c r="U60" s="212" t="s">
        <v>446</v>
      </c>
      <c r="V60" s="214" t="b">
        <v>1</v>
      </c>
      <c r="W60" s="214">
        <v>1989</v>
      </c>
      <c r="X60" s="214">
        <v>5</v>
      </c>
      <c r="Y60" s="214">
        <v>2</v>
      </c>
      <c r="Z60" s="214">
        <v>4</v>
      </c>
      <c r="AA60" s="212" t="s">
        <v>447</v>
      </c>
      <c r="AB60" s="212" t="s">
        <v>531</v>
      </c>
      <c r="AC60" s="212" t="s">
        <v>533</v>
      </c>
      <c r="AD60" s="214">
        <v>1.089618</v>
      </c>
      <c r="AE60" s="214">
        <v>1999</v>
      </c>
      <c r="AF60" s="214">
        <v>8.7053999999999991</v>
      </c>
      <c r="AG60" s="214">
        <v>-99</v>
      </c>
      <c r="AH60" s="212" t="s">
        <v>224</v>
      </c>
      <c r="AI60" s="212" t="s">
        <v>449</v>
      </c>
      <c r="AJ60" s="212" t="s">
        <v>224</v>
      </c>
      <c r="AK60" s="212" t="s">
        <v>531</v>
      </c>
      <c r="AL60" s="212" t="s">
        <v>540</v>
      </c>
      <c r="AM60" s="214" t="b">
        <v>0</v>
      </c>
      <c r="AN60" s="214" t="b">
        <v>0</v>
      </c>
      <c r="AO60" s="212" t="s">
        <v>541</v>
      </c>
      <c r="AP60" s="212" t="s">
        <v>542</v>
      </c>
      <c r="AQ60" s="214">
        <v>86.175359999999998</v>
      </c>
      <c r="AR60" s="214" t="b">
        <v>0</v>
      </c>
      <c r="AS60" s="212" t="s">
        <v>534</v>
      </c>
      <c r="AU60" s="195" t="s">
        <v>819</v>
      </c>
    </row>
    <row r="61" spans="1:47" x14ac:dyDescent="0.25">
      <c r="A61" s="245">
        <f t="shared" si="7"/>
        <v>61</v>
      </c>
      <c r="B61" s="246" t="str">
        <f t="shared" si="0"/>
        <v>Oil Field - Dehydration Tank</v>
      </c>
      <c r="C61" s="246" t="str">
        <f ca="1">IF(B61="","",VLOOKUP(D61,'Species Data'!B:E,4,FALSE))</f>
        <v>c7_comp</v>
      </c>
      <c r="D61" s="246">
        <f t="shared" ca="1" si="2"/>
        <v>2005</v>
      </c>
      <c r="E61" s="246">
        <f t="shared" ca="1" si="3"/>
        <v>15.506</v>
      </c>
      <c r="F61" s="246" t="str">
        <f t="shared" ca="1" si="4"/>
        <v>C-7 Compounds</v>
      </c>
      <c r="G61" s="246">
        <f t="shared" ca="1" si="5"/>
        <v>100.20194000000001</v>
      </c>
      <c r="H61" s="204" t="str">
        <f ca="1">IF(G61="","",IF(VLOOKUP(Dehydration_Tank!F61,'Species Data'!D:F,3,FALSE)=0,"X",IF(G61&lt;44.1,2,1)))</f>
        <v>X</v>
      </c>
      <c r="I61" s="204">
        <f t="shared" ca="1" si="8"/>
        <v>15.506000000000002</v>
      </c>
      <c r="J61" s="247" t="str">
        <f ca="1">IF(I61="","",IF(COUNTIF($D$12:D61,D61)=1,IF(H61=1,I61*H61,IF(H61="X","X",0)),0))</f>
        <v>X</v>
      </c>
      <c r="K61" s="248">
        <f t="shared" ca="1" si="6"/>
        <v>0</v>
      </c>
      <c r="L61" s="212" t="s">
        <v>682</v>
      </c>
      <c r="M61" s="212" t="s">
        <v>448</v>
      </c>
      <c r="N61" s="212" t="s">
        <v>470</v>
      </c>
      <c r="O61" s="213">
        <v>41419</v>
      </c>
      <c r="P61" s="212" t="s">
        <v>531</v>
      </c>
      <c r="Q61" s="214">
        <v>100</v>
      </c>
      <c r="R61" s="212" t="s">
        <v>445</v>
      </c>
      <c r="S61" s="212" t="s">
        <v>532</v>
      </c>
      <c r="T61" s="212" t="s">
        <v>445</v>
      </c>
      <c r="U61" s="212" t="s">
        <v>446</v>
      </c>
      <c r="V61" s="214" t="b">
        <v>1</v>
      </c>
      <c r="W61" s="214">
        <v>1989</v>
      </c>
      <c r="X61" s="214">
        <v>5</v>
      </c>
      <c r="Y61" s="214">
        <v>2</v>
      </c>
      <c r="Z61" s="214">
        <v>4</v>
      </c>
      <c r="AA61" s="212" t="s">
        <v>447</v>
      </c>
      <c r="AB61" s="212" t="s">
        <v>531</v>
      </c>
      <c r="AC61" s="212" t="s">
        <v>533</v>
      </c>
      <c r="AD61" s="214">
        <v>1.089618</v>
      </c>
      <c r="AE61" s="214">
        <v>2005</v>
      </c>
      <c r="AF61" s="214">
        <v>15.506</v>
      </c>
      <c r="AG61" s="214">
        <v>-99</v>
      </c>
      <c r="AH61" s="212" t="s">
        <v>224</v>
      </c>
      <c r="AI61" s="212" t="s">
        <v>449</v>
      </c>
      <c r="AJ61" s="212" t="s">
        <v>224</v>
      </c>
      <c r="AK61" s="212" t="s">
        <v>531</v>
      </c>
      <c r="AL61" s="212" t="s">
        <v>543</v>
      </c>
      <c r="AM61" s="214" t="b">
        <v>0</v>
      </c>
      <c r="AN61" s="214" t="b">
        <v>0</v>
      </c>
      <c r="AO61" s="212" t="s">
        <v>544</v>
      </c>
      <c r="AP61" s="212" t="s">
        <v>545</v>
      </c>
      <c r="AQ61" s="214">
        <v>100.20194000000001</v>
      </c>
      <c r="AR61" s="214" t="b">
        <v>0</v>
      </c>
      <c r="AS61" s="212" t="s">
        <v>534</v>
      </c>
      <c r="AU61" s="195" t="s">
        <v>819</v>
      </c>
    </row>
    <row r="62" spans="1:47" x14ac:dyDescent="0.25">
      <c r="A62" s="245">
        <f t="shared" si="7"/>
        <v>62</v>
      </c>
      <c r="B62" s="246" t="str">
        <f t="shared" si="0"/>
        <v>Oil Field - Dehydration Tank</v>
      </c>
      <c r="C62" s="246" t="str">
        <f ca="1">IF(B62="","",VLOOKUP(D62,'Species Data'!B:E,4,FALSE))</f>
        <v>c8_comp</v>
      </c>
      <c r="D62" s="246">
        <f t="shared" ca="1" si="2"/>
        <v>2011</v>
      </c>
      <c r="E62" s="246">
        <f t="shared" ca="1" si="3"/>
        <v>11.9369</v>
      </c>
      <c r="F62" s="246" t="str">
        <f t="shared" ca="1" si="4"/>
        <v>C-8 Compounds</v>
      </c>
      <c r="G62" s="246">
        <f t="shared" ca="1" si="5"/>
        <v>113.21160686946486</v>
      </c>
      <c r="H62" s="204" t="str">
        <f ca="1">IF(G62="","",IF(VLOOKUP(Dehydration_Tank!F62,'Species Data'!D:F,3,FALSE)=0,"X",IF(G62&lt;44.1,2,1)))</f>
        <v>X</v>
      </c>
      <c r="I62" s="204">
        <f t="shared" ca="1" si="8"/>
        <v>11.936900000000001</v>
      </c>
      <c r="J62" s="247" t="str">
        <f ca="1">IF(I62="","",IF(COUNTIF($D$12:D62,D62)=1,IF(H62=1,I62*H62,IF(H62="X","X",0)),0))</f>
        <v>X</v>
      </c>
      <c r="K62" s="248">
        <f t="shared" ca="1" si="6"/>
        <v>0</v>
      </c>
      <c r="L62" s="212" t="s">
        <v>682</v>
      </c>
      <c r="M62" s="212" t="s">
        <v>448</v>
      </c>
      <c r="N62" s="212" t="s">
        <v>470</v>
      </c>
      <c r="O62" s="213">
        <v>41419</v>
      </c>
      <c r="P62" s="212" t="s">
        <v>531</v>
      </c>
      <c r="Q62" s="214">
        <v>100</v>
      </c>
      <c r="R62" s="212" t="s">
        <v>445</v>
      </c>
      <c r="S62" s="212" t="s">
        <v>532</v>
      </c>
      <c r="T62" s="212" t="s">
        <v>445</v>
      </c>
      <c r="U62" s="212" t="s">
        <v>446</v>
      </c>
      <c r="V62" s="214" t="b">
        <v>1</v>
      </c>
      <c r="W62" s="214">
        <v>1989</v>
      </c>
      <c r="X62" s="214">
        <v>5</v>
      </c>
      <c r="Y62" s="214">
        <v>2</v>
      </c>
      <c r="Z62" s="214">
        <v>4</v>
      </c>
      <c r="AA62" s="212" t="s">
        <v>447</v>
      </c>
      <c r="AB62" s="212" t="s">
        <v>531</v>
      </c>
      <c r="AC62" s="212" t="s">
        <v>533</v>
      </c>
      <c r="AD62" s="214">
        <v>1.089618</v>
      </c>
      <c r="AE62" s="214">
        <v>2011</v>
      </c>
      <c r="AF62" s="214">
        <v>11.9369</v>
      </c>
      <c r="AG62" s="214">
        <v>-99</v>
      </c>
      <c r="AH62" s="212" t="s">
        <v>224</v>
      </c>
      <c r="AI62" s="212" t="s">
        <v>449</v>
      </c>
      <c r="AJ62" s="212" t="s">
        <v>224</v>
      </c>
      <c r="AK62" s="212" t="s">
        <v>531</v>
      </c>
      <c r="AL62" s="212" t="s">
        <v>546</v>
      </c>
      <c r="AM62" s="214" t="b">
        <v>0</v>
      </c>
      <c r="AN62" s="214" t="b">
        <v>0</v>
      </c>
      <c r="AO62" s="212" t="s">
        <v>547</v>
      </c>
      <c r="AP62" s="212" t="s">
        <v>548</v>
      </c>
      <c r="AQ62" s="214">
        <v>113.21160686946486</v>
      </c>
      <c r="AR62" s="214" t="b">
        <v>0</v>
      </c>
      <c r="AS62" s="212" t="s">
        <v>534</v>
      </c>
      <c r="AU62" s="195" t="s">
        <v>819</v>
      </c>
    </row>
    <row r="63" spans="1:47" ht="15" customHeight="1" thickBot="1" x14ac:dyDescent="0.3">
      <c r="A63" s="249">
        <f t="shared" si="7"/>
        <v>63</v>
      </c>
      <c r="B63" s="250" t="str">
        <f t="shared" si="0"/>
        <v>Oil Field - Dehydration Tank</v>
      </c>
      <c r="C63" s="250" t="str">
        <f ca="1">IF(B63="","",VLOOKUP(D63,'Species Data'!B:E,4,FALSE))</f>
        <v>c9_comp</v>
      </c>
      <c r="D63" s="250">
        <f t="shared" ca="1" si="2"/>
        <v>2018</v>
      </c>
      <c r="E63" s="250">
        <f t="shared" ca="1" si="3"/>
        <v>6.6642999999999999</v>
      </c>
      <c r="F63" s="250" t="str">
        <f t="shared" ca="1" si="4"/>
        <v>C-9 Compounds</v>
      </c>
      <c r="G63" s="250">
        <f t="shared" ca="1" si="5"/>
        <v>127.23917598649743</v>
      </c>
      <c r="H63" s="251" t="str">
        <f ca="1">IF(G63="","",IF(VLOOKUP(Dehydration_Tank!F63,'Species Data'!D:F,3,FALSE)=0,"X",IF(G63&lt;44.1,2,1)))</f>
        <v>X</v>
      </c>
      <c r="I63" s="251">
        <f t="shared" ca="1" si="8"/>
        <v>6.6643000000000008</v>
      </c>
      <c r="J63" s="252" t="str">
        <f ca="1">IF(I63="","",IF(COUNTIF($D$12:D63,D63)=1,IF(H63=1,I63*H63,IF(H63="X","X",0)),0))</f>
        <v>X</v>
      </c>
      <c r="K63" s="253">
        <f t="shared" ca="1" si="6"/>
        <v>0</v>
      </c>
      <c r="L63" s="212" t="s">
        <v>682</v>
      </c>
      <c r="M63" s="212" t="s">
        <v>448</v>
      </c>
      <c r="N63" s="212" t="s">
        <v>470</v>
      </c>
      <c r="O63" s="213">
        <v>41419</v>
      </c>
      <c r="P63" s="212" t="s">
        <v>531</v>
      </c>
      <c r="Q63" s="214">
        <v>100</v>
      </c>
      <c r="R63" s="212" t="s">
        <v>445</v>
      </c>
      <c r="S63" s="212" t="s">
        <v>532</v>
      </c>
      <c r="T63" s="212" t="s">
        <v>445</v>
      </c>
      <c r="U63" s="212" t="s">
        <v>446</v>
      </c>
      <c r="V63" s="214" t="b">
        <v>1</v>
      </c>
      <c r="W63" s="214">
        <v>1989</v>
      </c>
      <c r="X63" s="214">
        <v>5</v>
      </c>
      <c r="Y63" s="214">
        <v>2</v>
      </c>
      <c r="Z63" s="214">
        <v>4</v>
      </c>
      <c r="AA63" s="212" t="s">
        <v>447</v>
      </c>
      <c r="AB63" s="212" t="s">
        <v>531</v>
      </c>
      <c r="AC63" s="212" t="s">
        <v>533</v>
      </c>
      <c r="AD63" s="214">
        <v>1.089618</v>
      </c>
      <c r="AE63" s="214">
        <v>2018</v>
      </c>
      <c r="AF63" s="214">
        <v>6.6642999999999999</v>
      </c>
      <c r="AG63" s="214">
        <v>-99</v>
      </c>
      <c r="AH63" s="212" t="s">
        <v>224</v>
      </c>
      <c r="AI63" s="212" t="s">
        <v>449</v>
      </c>
      <c r="AJ63" s="212" t="s">
        <v>224</v>
      </c>
      <c r="AK63" s="212" t="s">
        <v>531</v>
      </c>
      <c r="AL63" s="212" t="s">
        <v>464</v>
      </c>
      <c r="AM63" s="214" t="b">
        <v>0</v>
      </c>
      <c r="AN63" s="214" t="b">
        <v>0</v>
      </c>
      <c r="AO63" s="212" t="s">
        <v>549</v>
      </c>
      <c r="AP63" s="212" t="s">
        <v>550</v>
      </c>
      <c r="AQ63" s="214">
        <v>127.23917598649743</v>
      </c>
      <c r="AR63" s="214" t="b">
        <v>0</v>
      </c>
      <c r="AS63" s="212" t="s">
        <v>534</v>
      </c>
      <c r="AU63" s="195" t="s">
        <v>819</v>
      </c>
    </row>
  </sheetData>
  <conditionalFormatting sqref="F1:F9 F11:F1048576">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5" t="s">
        <v>20</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87" t="s">
        <v>222</v>
      </c>
      <c r="D3" s="187" t="s">
        <v>9</v>
      </c>
    </row>
    <row r="4" spans="1:38" ht="28.5" customHeight="1" x14ac:dyDescent="0.2">
      <c r="C4" s="189">
        <v>1</v>
      </c>
      <c r="D4" s="457" t="s">
        <v>696</v>
      </c>
      <c r="E4" s="458"/>
      <c r="F4" s="458"/>
      <c r="G4" s="458"/>
      <c r="H4" s="458"/>
      <c r="I4" s="458"/>
      <c r="J4" s="458"/>
      <c r="K4" s="458"/>
      <c r="L4" s="458"/>
    </row>
    <row r="5" spans="1:38" ht="15" x14ac:dyDescent="0.2">
      <c r="C5" s="189">
        <v>2</v>
      </c>
      <c r="D5" s="457" t="s">
        <v>695</v>
      </c>
      <c r="E5" s="458"/>
      <c r="F5" s="458"/>
      <c r="G5" s="458"/>
      <c r="H5" s="458"/>
      <c r="I5" s="458"/>
      <c r="J5" s="458"/>
      <c r="K5" s="458"/>
      <c r="L5" s="458"/>
    </row>
    <row r="6" spans="1:38" ht="15" x14ac:dyDescent="0.2">
      <c r="C6" s="189">
        <v>3</v>
      </c>
      <c r="D6" s="457" t="s">
        <v>699</v>
      </c>
      <c r="E6" s="458"/>
      <c r="F6" s="458"/>
      <c r="G6" s="458"/>
      <c r="H6" s="458"/>
      <c r="I6" s="458"/>
      <c r="J6" s="458"/>
      <c r="K6" s="458"/>
      <c r="L6" s="458"/>
    </row>
    <row r="7" spans="1:38" ht="15" x14ac:dyDescent="0.2">
      <c r="C7" s="189">
        <v>4</v>
      </c>
      <c r="D7" s="457" t="s">
        <v>700</v>
      </c>
      <c r="E7" s="458"/>
      <c r="F7" s="458"/>
      <c r="G7" s="458"/>
      <c r="H7" s="458"/>
      <c r="I7" s="458"/>
      <c r="J7" s="458"/>
      <c r="K7" s="458"/>
      <c r="L7" s="458"/>
    </row>
    <row r="8" spans="1:38" ht="15" x14ac:dyDescent="0.2">
      <c r="C8" s="279">
        <v>5</v>
      </c>
      <c r="D8" s="459" t="s">
        <v>766</v>
      </c>
      <c r="E8" s="460"/>
      <c r="F8" s="460"/>
      <c r="G8" s="460"/>
      <c r="H8" s="460"/>
      <c r="I8" s="460"/>
      <c r="J8" s="460"/>
      <c r="K8" s="460"/>
      <c r="L8" s="460"/>
    </row>
    <row r="9" spans="1:38" ht="15" x14ac:dyDescent="0.2">
      <c r="C9" s="189"/>
      <c r="D9" s="457"/>
      <c r="E9" s="458"/>
      <c r="F9" s="458"/>
      <c r="G9" s="458"/>
      <c r="H9" s="458"/>
      <c r="I9" s="458"/>
      <c r="J9" s="458"/>
      <c r="K9" s="458"/>
      <c r="L9" s="458"/>
    </row>
    <row r="10" spans="1:38" ht="15" x14ac:dyDescent="0.2">
      <c r="C10" s="189"/>
      <c r="D10" s="457"/>
      <c r="E10" s="458"/>
      <c r="F10" s="458"/>
      <c r="G10" s="458"/>
      <c r="H10" s="458"/>
      <c r="I10" s="458"/>
      <c r="J10" s="458"/>
      <c r="K10" s="458"/>
      <c r="L10" s="458"/>
    </row>
    <row r="11" spans="1:38" ht="15" x14ac:dyDescent="0.2">
      <c r="C11" s="189"/>
      <c r="D11" s="457"/>
      <c r="E11" s="458"/>
      <c r="F11" s="458"/>
      <c r="G11" s="458"/>
      <c r="H11" s="458"/>
      <c r="I11" s="458"/>
      <c r="J11" s="458"/>
      <c r="K11" s="458"/>
      <c r="L11" s="458"/>
    </row>
    <row r="12" spans="1:38" ht="15" x14ac:dyDescent="0.2">
      <c r="C12" s="189"/>
      <c r="D12" s="457"/>
      <c r="E12" s="458"/>
      <c r="F12" s="458"/>
      <c r="G12" s="458"/>
      <c r="H12" s="458"/>
      <c r="I12" s="458"/>
      <c r="J12" s="458"/>
      <c r="K12" s="458"/>
      <c r="L12" s="458"/>
    </row>
    <row r="13" spans="1:38" ht="15" x14ac:dyDescent="0.2">
      <c r="C13" s="189"/>
      <c r="D13" s="457"/>
      <c r="E13" s="458"/>
      <c r="F13" s="458"/>
      <c r="G13" s="458"/>
      <c r="H13" s="458"/>
      <c r="I13" s="458"/>
      <c r="J13" s="458"/>
      <c r="K13" s="458"/>
      <c r="L13" s="458"/>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97"/>
  <sheetViews>
    <sheetView tabSelected="1" topLeftCell="A150" workbookViewId="0">
      <selection activeCell="I161" sqref="I161:I229"/>
    </sheetView>
  </sheetViews>
  <sheetFormatPr defaultColWidth="9.140625" defaultRowHeight="15" x14ac:dyDescent="0.25"/>
  <cols>
    <col min="1" max="1" width="1.85546875" style="192" customWidth="1"/>
    <col min="2" max="2" width="3.5703125" style="192" customWidth="1"/>
    <col min="3" max="3" width="29.5703125" style="192" customWidth="1"/>
    <col min="4" max="4" width="55.85546875" style="192" customWidth="1"/>
    <col min="5" max="6" width="12.42578125" style="192" customWidth="1"/>
    <col min="7" max="7" width="12.85546875" style="192" customWidth="1"/>
    <col min="8" max="8" width="13.5703125" style="192" customWidth="1"/>
    <col min="9" max="9" width="12.5703125" style="192" customWidth="1"/>
    <col min="10" max="10" width="14.42578125" style="192" customWidth="1"/>
    <col min="11" max="11" width="12" style="192" customWidth="1"/>
    <col min="12" max="12" width="11.42578125" style="192" customWidth="1"/>
    <col min="13" max="13" width="11.5703125" style="192" bestFit="1" customWidth="1"/>
    <col min="14" max="14" width="14.5703125" style="192" customWidth="1"/>
    <col min="15" max="15" width="13" style="192" customWidth="1"/>
    <col min="16" max="16" width="49" style="192" customWidth="1"/>
    <col min="17" max="17" width="2.140625" style="192" customWidth="1"/>
    <col min="18" max="16384" width="9.140625" style="192"/>
  </cols>
  <sheetData>
    <row r="1" spans="1:25" ht="20.25" x14ac:dyDescent="0.3">
      <c r="A1" s="2"/>
      <c r="B1" s="350" t="s">
        <v>0</v>
      </c>
      <c r="C1" s="350"/>
      <c r="D1" s="350"/>
      <c r="E1" s="350"/>
      <c r="F1" s="350"/>
      <c r="G1" s="350"/>
      <c r="H1" s="350"/>
      <c r="I1" s="350"/>
      <c r="J1" s="350"/>
      <c r="K1" s="350"/>
      <c r="L1" s="350"/>
      <c r="M1" s="350"/>
      <c r="N1" s="350"/>
      <c r="O1" s="350"/>
      <c r="P1" s="350"/>
      <c r="Q1" s="350"/>
      <c r="R1" s="2"/>
      <c r="S1" s="2"/>
      <c r="T1" s="2"/>
      <c r="U1" s="2"/>
      <c r="V1" s="2"/>
      <c r="W1" s="2"/>
      <c r="X1" s="2"/>
      <c r="Y1" s="2"/>
    </row>
    <row r="2" spans="1:25" ht="20.25" x14ac:dyDescent="0.3">
      <c r="A2" s="2"/>
      <c r="B2" s="350" t="s">
        <v>37</v>
      </c>
      <c r="C2" s="350"/>
      <c r="D2" s="350"/>
      <c r="E2" s="350"/>
      <c r="F2" s="350"/>
      <c r="G2" s="350"/>
      <c r="H2" s="350"/>
      <c r="I2" s="350"/>
      <c r="J2" s="350"/>
      <c r="K2" s="350"/>
      <c r="L2" s="350"/>
      <c r="M2" s="350"/>
      <c r="N2" s="350"/>
      <c r="O2" s="350"/>
      <c r="P2" s="350"/>
      <c r="Q2" s="350"/>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78" t="s">
        <v>38</v>
      </c>
      <c r="C4" s="378"/>
      <c r="D4" s="336" t="s">
        <v>834</v>
      </c>
      <c r="E4" s="337"/>
      <c r="F4" s="17"/>
      <c r="G4" s="17"/>
      <c r="H4" s="17"/>
      <c r="I4" s="17"/>
      <c r="J4" s="17"/>
      <c r="K4" s="17"/>
      <c r="L4" s="17"/>
      <c r="M4" s="17"/>
      <c r="N4" s="17"/>
      <c r="O4" s="17"/>
      <c r="P4" s="2"/>
      <c r="Q4" s="2"/>
      <c r="R4" s="2"/>
      <c r="S4" s="2"/>
      <c r="T4" s="2"/>
      <c r="U4" s="2"/>
      <c r="V4" s="2"/>
      <c r="W4" s="2"/>
      <c r="X4" s="2"/>
      <c r="Y4" s="2"/>
    </row>
    <row r="5" spans="1:25" ht="15.75" thickBot="1" x14ac:dyDescent="0.3">
      <c r="A5" s="2"/>
      <c r="B5" s="378" t="s">
        <v>39</v>
      </c>
      <c r="C5" s="378"/>
      <c r="D5" s="338">
        <v>1</v>
      </c>
      <c r="E5" s="338" t="s">
        <v>40</v>
      </c>
      <c r="F5" s="339" t="s">
        <v>41</v>
      </c>
      <c r="G5" s="380" t="s">
        <v>613</v>
      </c>
      <c r="H5" s="380"/>
      <c r="I5" s="380"/>
      <c r="J5" s="380"/>
      <c r="K5" s="17"/>
      <c r="L5" s="17"/>
      <c r="M5" s="340" t="s">
        <v>17</v>
      </c>
      <c r="N5" s="341" t="str">
        <f>DQI!I8</f>
        <v>2,4,4,3,2</v>
      </c>
      <c r="O5" s="342"/>
      <c r="P5" s="17" t="s">
        <v>42</v>
      </c>
      <c r="Q5" s="2"/>
      <c r="R5" s="2"/>
      <c r="S5" s="2"/>
      <c r="T5" s="2"/>
      <c r="U5" s="2"/>
      <c r="V5" s="2"/>
      <c r="W5" s="2"/>
      <c r="X5" s="2"/>
      <c r="Y5" s="2"/>
    </row>
    <row r="6" spans="1:25" ht="27.75" customHeight="1" x14ac:dyDescent="0.25">
      <c r="A6" s="2"/>
      <c r="B6" s="381" t="s">
        <v>43</v>
      </c>
      <c r="C6" s="382"/>
      <c r="D6" s="383" t="s">
        <v>754</v>
      </c>
      <c r="E6" s="384"/>
      <c r="F6" s="384"/>
      <c r="G6" s="384"/>
      <c r="H6" s="384"/>
      <c r="I6" s="384"/>
      <c r="J6" s="384"/>
      <c r="K6" s="384"/>
      <c r="L6" s="384"/>
      <c r="M6" s="384"/>
      <c r="N6" s="384"/>
      <c r="O6" s="385"/>
      <c r="P6" s="2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22"/>
      <c r="B8" s="386" t="s">
        <v>44</v>
      </c>
      <c r="C8" s="387"/>
      <c r="D8" s="387"/>
      <c r="E8" s="387"/>
      <c r="F8" s="387"/>
      <c r="G8" s="387"/>
      <c r="H8" s="387"/>
      <c r="I8" s="387"/>
      <c r="J8" s="387"/>
      <c r="K8" s="387"/>
      <c r="L8" s="387"/>
      <c r="M8" s="387"/>
      <c r="N8" s="387"/>
      <c r="O8" s="387"/>
      <c r="P8" s="388"/>
      <c r="Q8" s="22"/>
      <c r="R8" s="22"/>
      <c r="S8" s="22"/>
      <c r="T8" s="22"/>
      <c r="U8" s="22"/>
      <c r="V8" s="22"/>
      <c r="W8" s="22"/>
      <c r="X8" s="22"/>
      <c r="Y8" s="2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78" t="s">
        <v>45</v>
      </c>
      <c r="C10" s="378"/>
      <c r="D10" s="389" t="s">
        <v>223</v>
      </c>
      <c r="E10" s="390"/>
      <c r="F10" s="2"/>
      <c r="G10" s="23" t="s">
        <v>46</v>
      </c>
      <c r="H10" s="24"/>
      <c r="I10" s="24"/>
      <c r="J10" s="24"/>
      <c r="K10" s="24"/>
      <c r="L10" s="24"/>
      <c r="M10" s="24"/>
      <c r="N10" s="24"/>
      <c r="O10" s="25"/>
      <c r="P10" s="2"/>
      <c r="Q10" s="2"/>
      <c r="R10" s="2"/>
      <c r="S10" s="2"/>
      <c r="T10" s="2"/>
      <c r="U10" s="2"/>
      <c r="V10" s="2"/>
      <c r="W10" s="2"/>
      <c r="X10" s="2"/>
      <c r="Y10" s="2"/>
    </row>
    <row r="11" spans="1:25" x14ac:dyDescent="0.25">
      <c r="A11" s="2"/>
      <c r="B11" s="391" t="s">
        <v>47</v>
      </c>
      <c r="C11" s="392"/>
      <c r="D11" s="366" t="s">
        <v>224</v>
      </c>
      <c r="E11" s="390"/>
      <c r="F11" s="2"/>
      <c r="G11" s="26" t="str">
        <f>CONCATENATE("Reference Flow: ",D5," ",E5," of ",G5)</f>
        <v>Reference Flow: 1 kg of emitted associated gas</v>
      </c>
      <c r="H11" s="27"/>
      <c r="I11" s="27"/>
      <c r="J11" s="27"/>
      <c r="K11" s="27"/>
      <c r="L11" s="27"/>
      <c r="M11" s="27"/>
      <c r="N11" s="27"/>
      <c r="O11" s="28"/>
      <c r="P11" s="2"/>
      <c r="Q11" s="2"/>
      <c r="R11" s="2"/>
      <c r="S11" s="2"/>
      <c r="T11" s="2"/>
      <c r="U11" s="2"/>
      <c r="V11" s="2"/>
      <c r="W11" s="2"/>
      <c r="X11" s="2"/>
      <c r="Y11" s="2"/>
    </row>
    <row r="12" spans="1:25" x14ac:dyDescent="0.25">
      <c r="A12" s="2"/>
      <c r="B12" s="378" t="s">
        <v>48</v>
      </c>
      <c r="C12" s="378"/>
      <c r="D12" s="379">
        <v>2010</v>
      </c>
      <c r="E12" s="379"/>
      <c r="F12" s="2"/>
      <c r="G12" s="26"/>
      <c r="H12" s="27"/>
      <c r="I12" s="27"/>
      <c r="J12" s="27"/>
      <c r="K12" s="27"/>
      <c r="L12" s="27"/>
      <c r="M12" s="27"/>
      <c r="N12" s="27"/>
      <c r="O12" s="28"/>
      <c r="P12" s="2"/>
      <c r="Q12" s="2"/>
      <c r="R12" s="2"/>
      <c r="S12" s="2"/>
      <c r="T12" s="2"/>
      <c r="U12" s="2"/>
      <c r="V12" s="2"/>
      <c r="W12" s="2"/>
      <c r="X12" s="2"/>
      <c r="Y12" s="2"/>
    </row>
    <row r="13" spans="1:25" ht="12.75" customHeight="1" x14ac:dyDescent="0.25">
      <c r="A13" s="2"/>
      <c r="B13" s="378" t="s">
        <v>49</v>
      </c>
      <c r="C13" s="378"/>
      <c r="D13" s="379" t="s">
        <v>99</v>
      </c>
      <c r="E13" s="379"/>
      <c r="F13" s="2"/>
      <c r="G13" s="393" t="s">
        <v>826</v>
      </c>
      <c r="H13" s="394"/>
      <c r="I13" s="394"/>
      <c r="J13" s="394"/>
      <c r="K13" s="394"/>
      <c r="L13" s="394"/>
      <c r="M13" s="394"/>
      <c r="N13" s="394"/>
      <c r="O13" s="395"/>
      <c r="P13" s="2"/>
      <c r="Q13" s="2"/>
      <c r="R13" s="2"/>
      <c r="S13" s="2"/>
      <c r="T13" s="2"/>
      <c r="U13" s="2"/>
      <c r="V13" s="2"/>
      <c r="W13" s="2"/>
      <c r="X13" s="2"/>
      <c r="Y13" s="2"/>
    </row>
    <row r="14" spans="1:25" x14ac:dyDescent="0.25">
      <c r="A14" s="2"/>
      <c r="B14" s="378" t="s">
        <v>50</v>
      </c>
      <c r="C14" s="378"/>
      <c r="D14" s="379" t="s">
        <v>96</v>
      </c>
      <c r="E14" s="379"/>
      <c r="F14" s="2"/>
      <c r="G14" s="393"/>
      <c r="H14" s="394"/>
      <c r="I14" s="394"/>
      <c r="J14" s="394"/>
      <c r="K14" s="394"/>
      <c r="L14" s="394"/>
      <c r="M14" s="394"/>
      <c r="N14" s="394"/>
      <c r="O14" s="395"/>
      <c r="P14" s="2"/>
      <c r="Q14" s="2"/>
      <c r="R14" s="2"/>
      <c r="S14" s="2"/>
      <c r="T14" s="2"/>
      <c r="U14" s="2"/>
      <c r="V14" s="2"/>
      <c r="W14" s="2"/>
      <c r="X14" s="2"/>
      <c r="Y14" s="2"/>
    </row>
    <row r="15" spans="1:25" x14ac:dyDescent="0.25">
      <c r="A15" s="2"/>
      <c r="B15" s="378" t="s">
        <v>51</v>
      </c>
      <c r="C15" s="378"/>
      <c r="D15" s="379" t="s">
        <v>225</v>
      </c>
      <c r="E15" s="379"/>
      <c r="F15" s="2"/>
      <c r="G15" s="393"/>
      <c r="H15" s="394"/>
      <c r="I15" s="394"/>
      <c r="J15" s="394"/>
      <c r="K15" s="394"/>
      <c r="L15" s="394"/>
      <c r="M15" s="394"/>
      <c r="N15" s="394"/>
      <c r="O15" s="395"/>
      <c r="P15" s="2"/>
      <c r="Q15" s="2"/>
      <c r="R15" s="2"/>
      <c r="S15" s="2"/>
      <c r="T15" s="2"/>
      <c r="U15" s="2"/>
      <c r="V15" s="2"/>
      <c r="W15" s="2"/>
      <c r="X15" s="2"/>
      <c r="Y15" s="2"/>
    </row>
    <row r="16" spans="1:25" x14ac:dyDescent="0.25">
      <c r="A16" s="2"/>
      <c r="B16" s="378" t="s">
        <v>52</v>
      </c>
      <c r="C16" s="378"/>
      <c r="D16" s="379" t="s">
        <v>97</v>
      </c>
      <c r="E16" s="379"/>
      <c r="F16" s="2"/>
      <c r="G16" s="393"/>
      <c r="H16" s="394"/>
      <c r="I16" s="394"/>
      <c r="J16" s="394"/>
      <c r="K16" s="394"/>
      <c r="L16" s="394"/>
      <c r="M16" s="394"/>
      <c r="N16" s="394"/>
      <c r="O16" s="395"/>
      <c r="P16" s="2"/>
      <c r="Q16" s="2"/>
      <c r="R16" s="2"/>
      <c r="S16" s="2"/>
      <c r="T16" s="2"/>
      <c r="U16" s="2"/>
      <c r="V16" s="2"/>
      <c r="W16" s="2"/>
      <c r="X16" s="2"/>
      <c r="Y16" s="2"/>
    </row>
    <row r="17" spans="1:25" ht="23.45" customHeight="1" x14ac:dyDescent="0.25">
      <c r="A17" s="2"/>
      <c r="B17" s="396" t="s">
        <v>53</v>
      </c>
      <c r="C17" s="397"/>
      <c r="D17" s="398"/>
      <c r="E17" s="398"/>
      <c r="F17" s="2"/>
      <c r="G17" s="29" t="s">
        <v>614</v>
      </c>
      <c r="H17" s="30"/>
      <c r="I17" s="30"/>
      <c r="J17" s="30"/>
      <c r="K17" s="30"/>
      <c r="L17" s="30"/>
      <c r="M17" s="30"/>
      <c r="N17" s="30"/>
      <c r="O17" s="3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2"/>
      <c r="B20" s="386" t="s">
        <v>54</v>
      </c>
      <c r="C20" s="387"/>
      <c r="D20" s="387"/>
      <c r="E20" s="387"/>
      <c r="F20" s="387"/>
      <c r="G20" s="387"/>
      <c r="H20" s="387"/>
      <c r="I20" s="387"/>
      <c r="J20" s="387"/>
      <c r="K20" s="387"/>
      <c r="L20" s="387"/>
      <c r="M20" s="387"/>
      <c r="N20" s="387"/>
      <c r="O20" s="387"/>
      <c r="P20" s="388"/>
      <c r="Q20" s="22"/>
      <c r="R20" s="22"/>
      <c r="S20" s="22"/>
      <c r="T20" s="22"/>
      <c r="U20" s="22"/>
      <c r="V20" s="22"/>
      <c r="W20" s="22"/>
      <c r="X20" s="22"/>
      <c r="Y20" s="22"/>
    </row>
    <row r="21" spans="1:25" x14ac:dyDescent="0.25">
      <c r="A21" s="2"/>
      <c r="B21" s="9"/>
      <c r="C21" s="2"/>
      <c r="D21" s="2"/>
      <c r="E21" s="2"/>
      <c r="F21" s="2"/>
      <c r="G21" s="32" t="s">
        <v>55</v>
      </c>
      <c r="H21" s="2"/>
      <c r="I21" s="2"/>
      <c r="J21" s="2"/>
      <c r="K21" s="2"/>
      <c r="L21" s="2"/>
      <c r="M21" s="2"/>
      <c r="N21" s="2"/>
      <c r="O21" s="2"/>
      <c r="P21" s="2"/>
      <c r="Q21" s="2"/>
      <c r="R21" s="2"/>
      <c r="S21" s="2"/>
      <c r="T21" s="2"/>
      <c r="U21" s="2"/>
      <c r="V21" s="2"/>
      <c r="W21" s="2"/>
      <c r="X21" s="2"/>
      <c r="Y21" s="2"/>
    </row>
    <row r="22" spans="1:25" x14ac:dyDescent="0.25">
      <c r="A22" s="2"/>
      <c r="B22" s="9"/>
      <c r="C22" s="33" t="s">
        <v>56</v>
      </c>
      <c r="D22" s="33" t="s">
        <v>57</v>
      </c>
      <c r="E22" s="33" t="s">
        <v>58</v>
      </c>
      <c r="F22" s="33" t="s">
        <v>59</v>
      </c>
      <c r="G22" s="33" t="s">
        <v>60</v>
      </c>
      <c r="H22" s="33" t="s">
        <v>61</v>
      </c>
      <c r="I22" s="33" t="s">
        <v>62</v>
      </c>
      <c r="J22" s="399" t="s">
        <v>63</v>
      </c>
      <c r="K22" s="400"/>
      <c r="L22" s="400"/>
      <c r="M22" s="400"/>
      <c r="N22" s="400"/>
      <c r="O22" s="400"/>
      <c r="P22" s="401"/>
      <c r="Q22" s="2"/>
      <c r="R22" s="2"/>
      <c r="S22" s="2"/>
      <c r="T22" s="2"/>
      <c r="U22" s="2"/>
      <c r="V22" s="2"/>
      <c r="W22" s="2"/>
      <c r="X22" s="2"/>
      <c r="Y22" s="2"/>
    </row>
    <row r="23" spans="1:25" s="190" customFormat="1" ht="12.75" x14ac:dyDescent="0.2">
      <c r="A23" s="2"/>
      <c r="B23" s="17">
        <f t="shared" ref="B23" si="0">LEN(C23)</f>
        <v>10</v>
      </c>
      <c r="C23" s="256" t="s">
        <v>803</v>
      </c>
      <c r="D23" s="35"/>
      <c r="E23" s="257">
        <f ca="1">PS!C8</f>
        <v>95.34505490443847</v>
      </c>
      <c r="F23" s="257"/>
      <c r="G23" s="37"/>
      <c r="H23" s="258" t="s">
        <v>708</v>
      </c>
      <c r="I23" s="281" t="s">
        <v>795</v>
      </c>
      <c r="J23" s="374" t="s">
        <v>730</v>
      </c>
      <c r="K23" s="375"/>
      <c r="L23" s="375"/>
      <c r="M23" s="375"/>
      <c r="N23" s="375"/>
      <c r="O23" s="375"/>
      <c r="P23" s="376"/>
      <c r="Q23" s="2"/>
      <c r="R23" s="2"/>
      <c r="S23" s="2"/>
      <c r="T23" s="2"/>
      <c r="U23" s="2"/>
      <c r="V23" s="2"/>
      <c r="W23" s="2"/>
      <c r="X23" s="2"/>
      <c r="Y23" s="2"/>
    </row>
    <row r="24" spans="1:25" s="190" customFormat="1" ht="12.75" x14ac:dyDescent="0.2">
      <c r="A24" s="2"/>
      <c r="B24" s="17">
        <f t="shared" ref="B24:B45" si="1">LEN(C24)</f>
        <v>2</v>
      </c>
      <c r="C24" s="256" t="s">
        <v>702</v>
      </c>
      <c r="D24" s="35"/>
      <c r="E24" s="257">
        <v>0.02</v>
      </c>
      <c r="F24" s="257"/>
      <c r="G24" s="37"/>
      <c r="H24" s="258"/>
      <c r="I24" s="37"/>
      <c r="J24" s="374" t="s">
        <v>827</v>
      </c>
      <c r="K24" s="375"/>
      <c r="L24" s="375"/>
      <c r="M24" s="375"/>
      <c r="N24" s="375"/>
      <c r="O24" s="375"/>
      <c r="P24" s="376"/>
      <c r="Q24" s="2"/>
      <c r="R24" s="2"/>
      <c r="S24" s="2"/>
      <c r="T24" s="2"/>
      <c r="U24" s="2"/>
      <c r="V24" s="2"/>
      <c r="W24" s="2"/>
      <c r="X24" s="2"/>
      <c r="Y24" s="2"/>
    </row>
    <row r="25" spans="1:25" s="190" customFormat="1" ht="12.75" x14ac:dyDescent="0.2">
      <c r="A25" s="2"/>
      <c r="B25" s="17">
        <f t="shared" si="1"/>
        <v>3</v>
      </c>
      <c r="C25" s="256" t="s">
        <v>579</v>
      </c>
      <c r="D25" s="35"/>
      <c r="E25" s="257">
        <v>0.06</v>
      </c>
      <c r="F25" s="257"/>
      <c r="G25" s="37"/>
      <c r="H25" s="258"/>
      <c r="I25" s="37"/>
      <c r="J25" s="374" t="s">
        <v>828</v>
      </c>
      <c r="K25" s="375"/>
      <c r="L25" s="375"/>
      <c r="M25" s="375"/>
      <c r="N25" s="375"/>
      <c r="O25" s="375"/>
      <c r="P25" s="376"/>
      <c r="Q25" s="2"/>
      <c r="R25" s="2"/>
      <c r="S25" s="2"/>
      <c r="T25" s="2"/>
      <c r="U25" s="2"/>
      <c r="V25" s="2"/>
      <c r="W25" s="2"/>
      <c r="X25" s="2"/>
      <c r="Y25" s="2"/>
    </row>
    <row r="26" spans="1:25" s="190" customFormat="1" ht="12.75" x14ac:dyDescent="0.2">
      <c r="A26" s="2"/>
      <c r="B26" s="17">
        <f t="shared" si="1"/>
        <v>2</v>
      </c>
      <c r="C26" s="256" t="s">
        <v>703</v>
      </c>
      <c r="D26" s="35"/>
      <c r="E26" s="257">
        <v>0.84</v>
      </c>
      <c r="F26" s="257"/>
      <c r="G26" s="37"/>
      <c r="H26" s="258"/>
      <c r="I26" s="37"/>
      <c r="J26" s="374" t="s">
        <v>829</v>
      </c>
      <c r="K26" s="375"/>
      <c r="L26" s="375"/>
      <c r="M26" s="375"/>
      <c r="N26" s="375"/>
      <c r="O26" s="375"/>
      <c r="P26" s="376"/>
      <c r="Q26" s="2"/>
      <c r="R26" s="2"/>
      <c r="S26" s="2"/>
      <c r="T26" s="2"/>
      <c r="U26" s="2"/>
      <c r="V26" s="2"/>
      <c r="W26" s="2"/>
      <c r="X26" s="2"/>
      <c r="Y26" s="2"/>
    </row>
    <row r="27" spans="1:25" s="190" customFormat="1" ht="12.75" x14ac:dyDescent="0.2">
      <c r="A27" s="2"/>
      <c r="B27" s="17">
        <f t="shared" si="1"/>
        <v>2</v>
      </c>
      <c r="C27" s="256" t="s">
        <v>704</v>
      </c>
      <c r="D27" s="35"/>
      <c r="E27" s="257">
        <v>0.04</v>
      </c>
      <c r="F27" s="257"/>
      <c r="G27" s="37"/>
      <c r="H27" s="258"/>
      <c r="I27" s="37"/>
      <c r="J27" s="374" t="s">
        <v>830</v>
      </c>
      <c r="K27" s="375"/>
      <c r="L27" s="375"/>
      <c r="M27" s="375"/>
      <c r="N27" s="375"/>
      <c r="O27" s="375"/>
      <c r="P27" s="376"/>
      <c r="Q27" s="2"/>
      <c r="R27" s="2"/>
      <c r="S27" s="2"/>
      <c r="T27" s="2"/>
      <c r="U27" s="2"/>
      <c r="V27" s="2"/>
      <c r="W27" s="2"/>
      <c r="X27" s="2"/>
      <c r="Y27" s="2"/>
    </row>
    <row r="28" spans="1:25" s="190" customFormat="1" ht="12.75" x14ac:dyDescent="0.2">
      <c r="A28" s="2"/>
      <c r="B28" s="17">
        <f t="shared" si="1"/>
        <v>2</v>
      </c>
      <c r="C28" s="256" t="s">
        <v>705</v>
      </c>
      <c r="D28" s="35"/>
      <c r="E28" s="257">
        <v>0.02</v>
      </c>
      <c r="F28" s="257"/>
      <c r="G28" s="37"/>
      <c r="H28" s="258"/>
      <c r="I28" s="37"/>
      <c r="J28" s="374" t="s">
        <v>831</v>
      </c>
      <c r="K28" s="375"/>
      <c r="L28" s="375"/>
      <c r="M28" s="375"/>
      <c r="N28" s="375"/>
      <c r="O28" s="375"/>
      <c r="P28" s="376"/>
      <c r="Q28" s="2"/>
      <c r="R28" s="2"/>
      <c r="S28" s="2"/>
      <c r="T28" s="2"/>
      <c r="U28" s="2"/>
      <c r="V28" s="2"/>
      <c r="W28" s="2"/>
      <c r="X28" s="2"/>
      <c r="Y28" s="2"/>
    </row>
    <row r="29" spans="1:25" s="190" customFormat="1" ht="12.75" x14ac:dyDescent="0.2">
      <c r="A29" s="2"/>
      <c r="B29" s="17">
        <f t="shared" si="1"/>
        <v>7</v>
      </c>
      <c r="C29" s="256" t="s">
        <v>673</v>
      </c>
      <c r="D29" s="35"/>
      <c r="E29" s="257">
        <v>0.01</v>
      </c>
      <c r="F29" s="257"/>
      <c r="G29" s="37"/>
      <c r="H29" s="258"/>
      <c r="I29" s="37"/>
      <c r="J29" s="374" t="s">
        <v>832</v>
      </c>
      <c r="K29" s="375"/>
      <c r="L29" s="375"/>
      <c r="M29" s="375"/>
      <c r="N29" s="375"/>
      <c r="O29" s="375"/>
      <c r="P29" s="376"/>
      <c r="Q29" s="2"/>
      <c r="R29" s="2"/>
      <c r="S29" s="2"/>
      <c r="T29" s="2"/>
      <c r="U29" s="2"/>
      <c r="V29" s="2"/>
      <c r="W29" s="2"/>
      <c r="X29" s="2"/>
      <c r="Y29" s="2"/>
    </row>
    <row r="30" spans="1:25" s="190" customFormat="1" ht="12.75" x14ac:dyDescent="0.2">
      <c r="A30" s="2"/>
      <c r="B30" s="17">
        <f t="shared" si="1"/>
        <v>3</v>
      </c>
      <c r="C30" s="256" t="s">
        <v>706</v>
      </c>
      <c r="D30" s="35"/>
      <c r="E30" s="257">
        <v>0.01</v>
      </c>
      <c r="F30" s="257"/>
      <c r="G30" s="37"/>
      <c r="H30" s="258"/>
      <c r="I30" s="37"/>
      <c r="J30" s="374" t="s">
        <v>833</v>
      </c>
      <c r="K30" s="375"/>
      <c r="L30" s="375"/>
      <c r="M30" s="375"/>
      <c r="N30" s="375"/>
      <c r="O30" s="375"/>
      <c r="P30" s="376"/>
      <c r="Q30" s="2"/>
      <c r="R30" s="2"/>
      <c r="S30" s="377"/>
      <c r="T30" s="377"/>
      <c r="U30" s="377"/>
      <c r="V30" s="377"/>
      <c r="W30" s="377"/>
      <c r="X30" s="377"/>
      <c r="Y30" s="377"/>
    </row>
    <row r="31" spans="1:25" s="190" customFormat="1" ht="12.75" x14ac:dyDescent="0.2">
      <c r="A31" s="2"/>
      <c r="B31" s="17">
        <f t="shared" si="1"/>
        <v>4</v>
      </c>
      <c r="C31" s="256" t="s">
        <v>707</v>
      </c>
      <c r="D31" s="257" t="s">
        <v>804</v>
      </c>
      <c r="E31" s="257">
        <f>E24*28.0134</f>
        <v>0.56026799999999999</v>
      </c>
      <c r="F31" s="37"/>
      <c r="G31" s="37"/>
      <c r="H31" s="258" t="s">
        <v>708</v>
      </c>
      <c r="I31" s="37">
        <v>2</v>
      </c>
      <c r="J31" s="374" t="s">
        <v>709</v>
      </c>
      <c r="K31" s="375"/>
      <c r="L31" s="375"/>
      <c r="M31" s="375"/>
      <c r="N31" s="375"/>
      <c r="O31" s="375"/>
      <c r="P31" s="376"/>
      <c r="Q31" s="2"/>
      <c r="R31" s="2"/>
      <c r="S31" s="373"/>
      <c r="T31" s="373"/>
      <c r="U31" s="373"/>
      <c r="V31" s="373"/>
      <c r="W31" s="373"/>
      <c r="X31" s="373"/>
      <c r="Y31" s="373"/>
    </row>
    <row r="32" spans="1:25" s="190" customFormat="1" ht="12.75" x14ac:dyDescent="0.2">
      <c r="A32" s="2"/>
      <c r="B32" s="17">
        <f t="shared" si="1"/>
        <v>5</v>
      </c>
      <c r="C32" s="256" t="s">
        <v>710</v>
      </c>
      <c r="D32" s="257" t="s">
        <v>805</v>
      </c>
      <c r="E32" s="257">
        <f>E25*44.01</f>
        <v>2.6405999999999996</v>
      </c>
      <c r="F32" s="37"/>
      <c r="G32" s="37"/>
      <c r="H32" s="258" t="s">
        <v>708</v>
      </c>
      <c r="I32" s="37">
        <v>2</v>
      </c>
      <c r="J32" s="374" t="s">
        <v>711</v>
      </c>
      <c r="K32" s="375"/>
      <c r="L32" s="375"/>
      <c r="M32" s="375"/>
      <c r="N32" s="375"/>
      <c r="O32" s="375"/>
      <c r="P32" s="376"/>
      <c r="Q32" s="2"/>
      <c r="R32" s="2"/>
      <c r="S32" s="373"/>
      <c r="T32" s="373"/>
      <c r="U32" s="373"/>
      <c r="V32" s="373"/>
      <c r="W32" s="373"/>
      <c r="X32" s="373"/>
      <c r="Y32" s="373"/>
    </row>
    <row r="33" spans="1:25" s="190" customFormat="1" ht="12.75" x14ac:dyDescent="0.2">
      <c r="A33" s="2"/>
      <c r="B33" s="17">
        <f t="shared" si="1"/>
        <v>4</v>
      </c>
      <c r="C33" s="256" t="s">
        <v>712</v>
      </c>
      <c r="D33" s="257" t="s">
        <v>806</v>
      </c>
      <c r="E33" s="257">
        <f>E26*16.04</f>
        <v>13.473599999999999</v>
      </c>
      <c r="F33" s="37"/>
      <c r="G33" s="37"/>
      <c r="H33" s="258" t="s">
        <v>708</v>
      </c>
      <c r="I33" s="37">
        <v>2</v>
      </c>
      <c r="J33" s="374" t="s">
        <v>713</v>
      </c>
      <c r="K33" s="375"/>
      <c r="L33" s="375"/>
      <c r="M33" s="375"/>
      <c r="N33" s="375"/>
      <c r="O33" s="375"/>
      <c r="P33" s="376"/>
      <c r="Q33" s="2"/>
      <c r="R33" s="2"/>
      <c r="S33" s="373"/>
      <c r="T33" s="373"/>
      <c r="U33" s="373"/>
      <c r="V33" s="373"/>
      <c r="W33" s="373"/>
      <c r="X33" s="373"/>
      <c r="Y33" s="373"/>
    </row>
    <row r="34" spans="1:25" s="190" customFormat="1" ht="12.75" x14ac:dyDescent="0.2">
      <c r="A34" s="2"/>
      <c r="B34" s="17">
        <f t="shared" si="1"/>
        <v>4</v>
      </c>
      <c r="C34" s="256" t="s">
        <v>714</v>
      </c>
      <c r="D34" s="257" t="s">
        <v>807</v>
      </c>
      <c r="E34" s="257">
        <f>E27*30.07</f>
        <v>1.2028000000000001</v>
      </c>
      <c r="F34" s="37"/>
      <c r="G34" s="37"/>
      <c r="H34" s="258" t="s">
        <v>708</v>
      </c>
      <c r="I34" s="37">
        <v>2</v>
      </c>
      <c r="J34" s="374" t="s">
        <v>715</v>
      </c>
      <c r="K34" s="375"/>
      <c r="L34" s="375"/>
      <c r="M34" s="375"/>
      <c r="N34" s="375"/>
      <c r="O34" s="375"/>
      <c r="P34" s="376"/>
      <c r="Q34" s="2"/>
      <c r="R34" s="2"/>
      <c r="S34" s="373"/>
      <c r="T34" s="373"/>
      <c r="U34" s="373"/>
      <c r="V34" s="373"/>
      <c r="W34" s="373"/>
      <c r="X34" s="373"/>
      <c r="Y34" s="373"/>
    </row>
    <row r="35" spans="1:25" s="190" customFormat="1" ht="12.75" x14ac:dyDescent="0.2">
      <c r="A35" s="2"/>
      <c r="B35" s="17">
        <f t="shared" si="1"/>
        <v>4</v>
      </c>
      <c r="C35" s="256" t="s">
        <v>716</v>
      </c>
      <c r="D35" s="257" t="s">
        <v>808</v>
      </c>
      <c r="E35" s="257">
        <f>E28*44.1</f>
        <v>0.88200000000000001</v>
      </c>
      <c r="F35" s="37"/>
      <c r="G35" s="37"/>
      <c r="H35" s="258" t="s">
        <v>708</v>
      </c>
      <c r="I35" s="37">
        <v>2</v>
      </c>
      <c r="J35" s="374" t="s">
        <v>717</v>
      </c>
      <c r="K35" s="375"/>
      <c r="L35" s="375"/>
      <c r="M35" s="375"/>
      <c r="N35" s="375"/>
      <c r="O35" s="375"/>
      <c r="P35" s="376"/>
      <c r="Q35" s="2"/>
      <c r="R35" s="2"/>
      <c r="S35" s="373"/>
      <c r="T35" s="373"/>
      <c r="U35" s="373"/>
      <c r="V35" s="373"/>
      <c r="W35" s="373"/>
      <c r="X35" s="373"/>
      <c r="Y35" s="373"/>
    </row>
    <row r="36" spans="1:25" s="190" customFormat="1" ht="12.75" x14ac:dyDescent="0.2">
      <c r="A36" s="2"/>
      <c r="B36" s="17">
        <f t="shared" si="1"/>
        <v>9</v>
      </c>
      <c r="C36" s="256" t="s">
        <v>675</v>
      </c>
      <c r="D36" s="257" t="s">
        <v>809</v>
      </c>
      <c r="E36" s="257">
        <f ca="1">E29*E23</f>
        <v>0.95345054904438475</v>
      </c>
      <c r="F36" s="37"/>
      <c r="G36" s="37"/>
      <c r="H36" s="258" t="s">
        <v>708</v>
      </c>
      <c r="I36" s="37">
        <v>2</v>
      </c>
      <c r="J36" s="374" t="s">
        <v>729</v>
      </c>
      <c r="K36" s="375"/>
      <c r="L36" s="375"/>
      <c r="M36" s="375"/>
      <c r="N36" s="375"/>
      <c r="O36" s="375"/>
      <c r="P36" s="376"/>
      <c r="Q36" s="2"/>
      <c r="R36" s="2"/>
      <c r="S36" s="373"/>
      <c r="T36" s="373"/>
      <c r="U36" s="373"/>
      <c r="V36" s="373"/>
      <c r="W36" s="373"/>
      <c r="X36" s="373"/>
      <c r="Y36" s="373"/>
    </row>
    <row r="37" spans="1:25" s="190" customFormat="1" ht="12.75" x14ac:dyDescent="0.2">
      <c r="A37" s="2"/>
      <c r="B37" s="17">
        <f t="shared" si="1"/>
        <v>5</v>
      </c>
      <c r="C37" s="256" t="s">
        <v>718</v>
      </c>
      <c r="D37" s="257" t="s">
        <v>810</v>
      </c>
      <c r="E37" s="257">
        <f>E30*34.0809</f>
        <v>0.34080900000000003</v>
      </c>
      <c r="F37" s="37"/>
      <c r="G37" s="37"/>
      <c r="H37" s="258" t="s">
        <v>708</v>
      </c>
      <c r="I37" s="37">
        <v>2</v>
      </c>
      <c r="J37" s="374" t="s">
        <v>719</v>
      </c>
      <c r="K37" s="375"/>
      <c r="L37" s="375"/>
      <c r="M37" s="375"/>
      <c r="N37" s="375"/>
      <c r="O37" s="375"/>
      <c r="P37" s="376"/>
      <c r="Q37" s="2"/>
      <c r="R37" s="2"/>
      <c r="S37" s="373"/>
      <c r="T37" s="373"/>
      <c r="U37" s="373"/>
      <c r="V37" s="373"/>
      <c r="W37" s="373"/>
      <c r="X37" s="373"/>
      <c r="Y37" s="373"/>
    </row>
    <row r="38" spans="1:25" s="190" customFormat="1" ht="12.75" x14ac:dyDescent="0.2">
      <c r="A38" s="2"/>
      <c r="B38" s="17">
        <f t="shared" si="1"/>
        <v>12</v>
      </c>
      <c r="C38" s="256" t="s">
        <v>720</v>
      </c>
      <c r="D38" s="257" t="s">
        <v>811</v>
      </c>
      <c r="E38" s="257">
        <f ca="1">E31+E32+E33+E34+E35+E36+E37</f>
        <v>20.053527549044382</v>
      </c>
      <c r="F38" s="37"/>
      <c r="G38" s="37"/>
      <c r="H38" s="258" t="s">
        <v>708</v>
      </c>
      <c r="I38" s="37">
        <v>2</v>
      </c>
      <c r="J38" s="374" t="s">
        <v>721</v>
      </c>
      <c r="K38" s="375"/>
      <c r="L38" s="375"/>
      <c r="M38" s="375"/>
      <c r="N38" s="375"/>
      <c r="O38" s="375"/>
      <c r="P38" s="376"/>
      <c r="Q38" s="2"/>
      <c r="R38" s="2"/>
      <c r="S38" s="2"/>
      <c r="T38" s="2"/>
      <c r="U38" s="2"/>
      <c r="V38" s="2"/>
      <c r="W38" s="2"/>
      <c r="X38" s="2"/>
      <c r="Y38" s="2"/>
    </row>
    <row r="39" spans="1:25" s="190" customFormat="1" ht="12.75" x14ac:dyDescent="0.2">
      <c r="A39" s="2"/>
      <c r="B39" s="17">
        <f t="shared" si="1"/>
        <v>7</v>
      </c>
      <c r="C39" s="256" t="s">
        <v>722</v>
      </c>
      <c r="D39" s="257" t="s">
        <v>812</v>
      </c>
      <c r="E39" s="269">
        <f ca="1">E31/$E$38</f>
        <v>2.7938625692151536E-2</v>
      </c>
      <c r="F39" s="37"/>
      <c r="G39" s="37"/>
      <c r="H39" s="258" t="s">
        <v>530</v>
      </c>
      <c r="I39" s="37">
        <v>2</v>
      </c>
      <c r="J39" s="374" t="s">
        <v>736</v>
      </c>
      <c r="K39" s="375"/>
      <c r="L39" s="375"/>
      <c r="M39" s="375"/>
      <c r="N39" s="375"/>
      <c r="O39" s="375"/>
      <c r="P39" s="376"/>
      <c r="Q39" s="2"/>
      <c r="R39" s="2"/>
      <c r="S39" s="373"/>
      <c r="T39" s="373"/>
      <c r="U39" s="373"/>
      <c r="V39" s="373"/>
      <c r="W39" s="373"/>
      <c r="X39" s="373"/>
      <c r="Y39" s="373"/>
    </row>
    <row r="40" spans="1:25" s="190" customFormat="1" ht="12.75" x14ac:dyDescent="0.2">
      <c r="A40" s="2"/>
      <c r="B40" s="17">
        <f t="shared" si="1"/>
        <v>8</v>
      </c>
      <c r="C40" s="256" t="s">
        <v>723</v>
      </c>
      <c r="D40" s="257" t="s">
        <v>813</v>
      </c>
      <c r="E40" s="269">
        <f t="shared" ref="E40:E45" ca="1" si="2">E32/$E$38</f>
        <v>0.13167758109100525</v>
      </c>
      <c r="F40" s="37"/>
      <c r="G40" s="37"/>
      <c r="H40" s="258" t="s">
        <v>530</v>
      </c>
      <c r="I40" s="37">
        <v>2</v>
      </c>
      <c r="J40" s="374" t="s">
        <v>731</v>
      </c>
      <c r="K40" s="375"/>
      <c r="L40" s="375"/>
      <c r="M40" s="375"/>
      <c r="N40" s="375"/>
      <c r="O40" s="375"/>
      <c r="P40" s="376"/>
      <c r="Q40" s="2"/>
      <c r="R40" s="2"/>
      <c r="S40" s="373"/>
      <c r="T40" s="373"/>
      <c r="U40" s="373"/>
      <c r="V40" s="373"/>
      <c r="W40" s="373"/>
      <c r="X40" s="373"/>
      <c r="Y40" s="373"/>
    </row>
    <row r="41" spans="1:25" s="190" customFormat="1" ht="12.75" x14ac:dyDescent="0.2">
      <c r="A41" s="2"/>
      <c r="B41" s="17">
        <f t="shared" si="1"/>
        <v>8</v>
      </c>
      <c r="C41" s="256" t="s">
        <v>724</v>
      </c>
      <c r="D41" s="257" t="s">
        <v>814</v>
      </c>
      <c r="E41" s="269">
        <f t="shared" ca="1" si="2"/>
        <v>0.67188179072474763</v>
      </c>
      <c r="F41" s="37"/>
      <c r="G41" s="37"/>
      <c r="H41" s="258" t="s">
        <v>530</v>
      </c>
      <c r="I41" s="37">
        <v>2</v>
      </c>
      <c r="J41" s="374" t="s">
        <v>732</v>
      </c>
      <c r="K41" s="375"/>
      <c r="L41" s="375"/>
      <c r="M41" s="375"/>
      <c r="N41" s="375"/>
      <c r="O41" s="375"/>
      <c r="P41" s="376"/>
      <c r="Q41" s="2"/>
      <c r="R41" s="2"/>
      <c r="S41" s="373"/>
      <c r="T41" s="373"/>
      <c r="U41" s="373"/>
      <c r="V41" s="373"/>
      <c r="W41" s="373"/>
      <c r="X41" s="373"/>
      <c r="Y41" s="373"/>
    </row>
    <row r="42" spans="1:25" s="190" customFormat="1" ht="12.75" x14ac:dyDescent="0.2">
      <c r="A42" s="2"/>
      <c r="B42" s="17">
        <f t="shared" si="1"/>
        <v>9</v>
      </c>
      <c r="C42" s="256" t="s">
        <v>725</v>
      </c>
      <c r="D42" s="257" t="s">
        <v>815</v>
      </c>
      <c r="E42" s="269">
        <f t="shared" ca="1" si="2"/>
        <v>5.9979472292759663E-2</v>
      </c>
      <c r="F42" s="37"/>
      <c r="G42" s="37"/>
      <c r="H42" s="258" t="s">
        <v>530</v>
      </c>
      <c r="I42" s="37">
        <v>2</v>
      </c>
      <c r="J42" s="374" t="s">
        <v>732</v>
      </c>
      <c r="K42" s="375"/>
      <c r="L42" s="375"/>
      <c r="M42" s="375"/>
      <c r="N42" s="375"/>
      <c r="O42" s="375"/>
      <c r="P42" s="376"/>
      <c r="Q42" s="2"/>
      <c r="R42" s="2"/>
      <c r="S42" s="373"/>
      <c r="T42" s="373"/>
      <c r="U42" s="373"/>
      <c r="V42" s="373"/>
      <c r="W42" s="373"/>
      <c r="X42" s="373"/>
      <c r="Y42" s="373"/>
    </row>
    <row r="43" spans="1:25" s="190" customFormat="1" ht="12.75" x14ac:dyDescent="0.2">
      <c r="A43" s="2"/>
      <c r="B43" s="17">
        <f t="shared" si="1"/>
        <v>9</v>
      </c>
      <c r="C43" s="256" t="s">
        <v>726</v>
      </c>
      <c r="D43" s="257" t="s">
        <v>816</v>
      </c>
      <c r="E43" s="269">
        <f t="shared" ca="1" si="2"/>
        <v>4.3982286799313285E-2</v>
      </c>
      <c r="F43" s="37"/>
      <c r="G43" s="37"/>
      <c r="H43" s="258" t="s">
        <v>530</v>
      </c>
      <c r="I43" s="37">
        <v>2</v>
      </c>
      <c r="J43" s="374" t="s">
        <v>733</v>
      </c>
      <c r="K43" s="375"/>
      <c r="L43" s="375"/>
      <c r="M43" s="375"/>
      <c r="N43" s="375"/>
      <c r="O43" s="375"/>
      <c r="P43" s="376"/>
      <c r="Q43" s="2"/>
      <c r="R43" s="2"/>
      <c r="S43" s="373"/>
      <c r="T43" s="373"/>
      <c r="U43" s="373"/>
      <c r="V43" s="373"/>
      <c r="W43" s="373"/>
      <c r="X43" s="373"/>
      <c r="Y43" s="373"/>
    </row>
    <row r="44" spans="1:25" s="190" customFormat="1" ht="12.75" x14ac:dyDescent="0.2">
      <c r="A44" s="2"/>
      <c r="B44" s="17">
        <f t="shared" si="1"/>
        <v>12</v>
      </c>
      <c r="C44" s="256" t="s">
        <v>727</v>
      </c>
      <c r="D44" s="257" t="s">
        <v>817</v>
      </c>
      <c r="E44" s="269">
        <f t="shared" ca="1" si="2"/>
        <v>4.7545278341307083E-2</v>
      </c>
      <c r="F44" s="37"/>
      <c r="G44" s="37"/>
      <c r="H44" s="258" t="s">
        <v>530</v>
      </c>
      <c r="I44" s="37">
        <v>2</v>
      </c>
      <c r="J44" s="374" t="s">
        <v>735</v>
      </c>
      <c r="K44" s="375"/>
      <c r="L44" s="375"/>
      <c r="M44" s="375"/>
      <c r="N44" s="375"/>
      <c r="O44" s="375"/>
      <c r="P44" s="376"/>
      <c r="Q44" s="2"/>
      <c r="R44" s="2"/>
      <c r="S44" s="373"/>
      <c r="T44" s="373"/>
      <c r="U44" s="373"/>
      <c r="V44" s="373"/>
      <c r="W44" s="373"/>
      <c r="X44" s="373"/>
      <c r="Y44" s="373"/>
    </row>
    <row r="45" spans="1:25" s="190" customFormat="1" ht="12.75" x14ac:dyDescent="0.2">
      <c r="A45" s="2"/>
      <c r="B45" s="17">
        <f t="shared" si="1"/>
        <v>8</v>
      </c>
      <c r="C45" s="256" t="s">
        <v>728</v>
      </c>
      <c r="D45" s="257" t="s">
        <v>818</v>
      </c>
      <c r="E45" s="269">
        <f t="shared" ca="1" si="2"/>
        <v>1.6994965058715603E-2</v>
      </c>
      <c r="F45" s="37"/>
      <c r="G45" s="270"/>
      <c r="H45" s="258" t="s">
        <v>530</v>
      </c>
      <c r="I45" s="37">
        <v>2</v>
      </c>
      <c r="J45" s="374" t="s">
        <v>734</v>
      </c>
      <c r="K45" s="375"/>
      <c r="L45" s="375"/>
      <c r="M45" s="375"/>
      <c r="N45" s="375"/>
      <c r="O45" s="375"/>
      <c r="P45" s="376"/>
      <c r="Q45" s="2"/>
      <c r="R45" s="2"/>
      <c r="S45" s="373"/>
      <c r="T45" s="373"/>
      <c r="U45" s="373"/>
      <c r="V45" s="373"/>
      <c r="W45" s="373"/>
      <c r="X45" s="373"/>
      <c r="Y45" s="373"/>
    </row>
    <row r="46" spans="1:25" x14ac:dyDescent="0.25">
      <c r="A46" s="2"/>
      <c r="B46" s="17">
        <f t="shared" ref="B46" si="3">LEN(C46)</f>
        <v>13</v>
      </c>
      <c r="C46" s="34" t="str">
        <f>PS!B9</f>
        <v>trimethben123</v>
      </c>
      <c r="D46" s="35"/>
      <c r="E46" s="68">
        <f ca="1">PS!C9</f>
        <v>0</v>
      </c>
      <c r="F46" s="36"/>
      <c r="G46" s="37"/>
      <c r="H46" s="38"/>
      <c r="I46" s="36">
        <v>1</v>
      </c>
      <c r="J46" s="366" t="str">
        <f ca="1">TEXT("[percent] Weight percent of C4+ VOC that is ","")&amp;INDIRECT("'Species Data'!D"&amp;MATCH('Data Summary'!C46,'Species Data'!E:E,0))</f>
        <v>[percent] Weight percent of C4+ VOC that is 1,2,3-trimethylbenzene</v>
      </c>
      <c r="K46" s="367"/>
      <c r="L46" s="367"/>
      <c r="M46" s="367"/>
      <c r="N46" s="367"/>
      <c r="O46" s="367"/>
      <c r="P46" s="368"/>
      <c r="Q46" s="2"/>
      <c r="R46" s="2"/>
      <c r="S46" s="2"/>
      <c r="T46" s="2"/>
      <c r="U46" s="2"/>
      <c r="V46" s="2"/>
      <c r="W46" s="2"/>
      <c r="X46" s="2"/>
      <c r="Y46" s="2"/>
    </row>
    <row r="47" spans="1:25" ht="15" customHeight="1" x14ac:dyDescent="0.25">
      <c r="A47" s="2"/>
      <c r="B47" s="17">
        <f t="shared" ref="B47" si="4">LEN(C47)</f>
        <v>12</v>
      </c>
      <c r="C47" s="34" t="str">
        <f>PS!B10</f>
        <v>trimetben124</v>
      </c>
      <c r="D47" s="35"/>
      <c r="E47" s="68">
        <f ca="1">PS!C10</f>
        <v>0.54953305738230152</v>
      </c>
      <c r="F47" s="36"/>
      <c r="G47" s="37"/>
      <c r="H47" s="38"/>
      <c r="I47" s="36">
        <v>1</v>
      </c>
      <c r="J47" s="366" t="str">
        <f ca="1">TEXT("[percent] Weight percent of C4+ VOC that is ","")&amp;INDIRECT("'Species Data'!D"&amp;MATCH('Data Summary'!C47,'Species Data'!E:E,0))</f>
        <v>[percent] Weight percent of C4+ VOC that is 1,2,4-trimethylbenzene  (1,3,4-trimethylbenzene)</v>
      </c>
      <c r="K47" s="367"/>
      <c r="L47" s="367"/>
      <c r="M47" s="367"/>
      <c r="N47" s="367"/>
      <c r="O47" s="367"/>
      <c r="P47" s="368"/>
      <c r="Q47" s="2"/>
      <c r="R47" s="2"/>
      <c r="S47" s="2"/>
      <c r="T47" s="2"/>
      <c r="U47" s="2"/>
      <c r="V47" s="2"/>
      <c r="W47" s="2"/>
      <c r="X47" s="2"/>
      <c r="Y47" s="2"/>
    </row>
    <row r="48" spans="1:25" ht="15" customHeight="1" x14ac:dyDescent="0.25">
      <c r="A48" s="2"/>
      <c r="B48" s="17">
        <f t="shared" ref="B48" si="5">LEN(C48)</f>
        <v>13</v>
      </c>
      <c r="C48" s="34" t="str">
        <f>PS!B11</f>
        <v>trimethben135</v>
      </c>
      <c r="D48" s="35"/>
      <c r="E48" s="68">
        <f ca="1">PS!C11</f>
        <v>0</v>
      </c>
      <c r="F48" s="36"/>
      <c r="G48" s="37"/>
      <c r="H48" s="38"/>
      <c r="I48" s="36">
        <v>1</v>
      </c>
      <c r="J48" s="366" t="str">
        <f ca="1">TEXT("[percent] Weight percent of C4+ VOC that is ","")&amp;INDIRECT("'Species Data'!D"&amp;MATCH('Data Summary'!C48,'Species Data'!E:E,0))</f>
        <v>[percent] Weight percent of C4+ VOC that is 1,3,5-trimethylbenzene</v>
      </c>
      <c r="K48" s="367"/>
      <c r="L48" s="367"/>
      <c r="M48" s="367"/>
      <c r="N48" s="367"/>
      <c r="O48" s="367"/>
      <c r="P48" s="368"/>
      <c r="Q48" s="2"/>
      <c r="R48" s="2"/>
      <c r="S48" s="2"/>
      <c r="T48" s="2"/>
      <c r="U48" s="2"/>
      <c r="V48" s="2"/>
      <c r="W48" s="2"/>
      <c r="X48" s="2"/>
      <c r="Y48" s="2"/>
    </row>
    <row r="49" spans="1:25" ht="15" customHeight="1" x14ac:dyDescent="0.25">
      <c r="A49" s="2"/>
      <c r="B49" s="17">
        <f t="shared" ref="B49:B145" si="6">LEN(C49)</f>
        <v>8</v>
      </c>
      <c r="C49" s="34" t="str">
        <f>PS!B12</f>
        <v>ethben12</v>
      </c>
      <c r="D49" s="35"/>
      <c r="E49" s="68">
        <f ca="1">PS!C12</f>
        <v>0.19349432642080205</v>
      </c>
      <c r="F49" s="36"/>
      <c r="G49" s="37"/>
      <c r="H49" s="38"/>
      <c r="I49" s="36">
        <v>1</v>
      </c>
      <c r="J49" s="366" t="str">
        <f ca="1">TEXT("[percent] Weight percent of C4+ VOC that is ","")&amp;INDIRECT("'Species Data'!D"&amp;MATCH('Data Summary'!C49,'Species Data'!E:E,0))</f>
        <v>[percent] Weight percent of C4+ VOC that is 1-Methyl-2-ethylbenzene</v>
      </c>
      <c r="K49" s="367"/>
      <c r="L49" s="367"/>
      <c r="M49" s="367"/>
      <c r="N49" s="367"/>
      <c r="O49" s="367"/>
      <c r="P49" s="368"/>
      <c r="Q49" s="2"/>
      <c r="R49" s="2"/>
      <c r="S49" s="2"/>
      <c r="T49" s="2"/>
      <c r="U49" s="2"/>
      <c r="V49" s="2"/>
      <c r="W49" s="2"/>
      <c r="X49" s="2"/>
      <c r="Y49" s="2"/>
    </row>
    <row r="50" spans="1:25" ht="15" customHeight="1" x14ac:dyDescent="0.25">
      <c r="A50" s="2"/>
      <c r="B50" s="17">
        <f t="shared" si="6"/>
        <v>8</v>
      </c>
      <c r="C50" s="34" t="str">
        <f>PS!B13</f>
        <v>ethben13</v>
      </c>
      <c r="D50" s="35"/>
      <c r="E50" s="68">
        <f ca="1">PS!C13</f>
        <v>0.33231045752008592</v>
      </c>
      <c r="F50" s="36"/>
      <c r="G50" s="37"/>
      <c r="H50" s="38"/>
      <c r="I50" s="36">
        <v>1</v>
      </c>
      <c r="J50" s="366" t="str">
        <f ca="1">TEXT("[percent] Weight percent of C4+ VOC that is ","")&amp;INDIRECT("'Species Data'!D"&amp;MATCH('Data Summary'!C50,'Species Data'!E:E,0))</f>
        <v>[percent] Weight percent of C4+ VOC that is 1-Methyl-3-ethylbenzene (3-Ethyltoluene)</v>
      </c>
      <c r="K50" s="367"/>
      <c r="L50" s="367"/>
      <c r="M50" s="367"/>
      <c r="N50" s="367"/>
      <c r="O50" s="367"/>
      <c r="P50" s="368"/>
      <c r="Q50" s="2"/>
      <c r="R50" s="2"/>
      <c r="S50" s="2"/>
      <c r="T50" s="2"/>
      <c r="U50" s="2"/>
      <c r="V50" s="2"/>
      <c r="W50" s="2"/>
      <c r="X50" s="2"/>
      <c r="Y50" s="2"/>
    </row>
    <row r="51" spans="1:25" ht="15" customHeight="1" x14ac:dyDescent="0.25">
      <c r="A51" s="2"/>
      <c r="B51" s="17">
        <f t="shared" si="6"/>
        <v>10</v>
      </c>
      <c r="C51" s="34" t="str">
        <f>PS!B14</f>
        <v>trimetpen2</v>
      </c>
      <c r="D51" s="35"/>
      <c r="E51" s="68">
        <f ca="1">PS!C14</f>
        <v>0</v>
      </c>
      <c r="F51" s="36"/>
      <c r="G51" s="37"/>
      <c r="H51" s="38"/>
      <c r="I51" s="36">
        <v>1</v>
      </c>
      <c r="J51" s="366" t="str">
        <f ca="1">TEXT("[percent] Weight percent of C4+ VOC that is ","")&amp;INDIRECT("'Species Data'!D"&amp;MATCH('Data Summary'!C51,'Species Data'!E:E,0))</f>
        <v>[percent] Weight percent of C4+ VOC that is 2,2,4-trimethylpentane</v>
      </c>
      <c r="K51" s="367"/>
      <c r="L51" s="367"/>
      <c r="M51" s="367"/>
      <c r="N51" s="367"/>
      <c r="O51" s="367"/>
      <c r="P51" s="368"/>
      <c r="Q51" s="2"/>
      <c r="R51" s="2"/>
      <c r="S51" s="2"/>
      <c r="T51" s="2"/>
      <c r="U51" s="2"/>
      <c r="V51" s="2"/>
      <c r="W51" s="2"/>
      <c r="X51" s="2"/>
      <c r="Y51" s="2"/>
    </row>
    <row r="52" spans="1:25" ht="15" customHeight="1" x14ac:dyDescent="0.25">
      <c r="A52" s="2"/>
      <c r="B52" s="17">
        <f t="shared" si="6"/>
        <v>10</v>
      </c>
      <c r="C52" s="34" t="str">
        <f>PS!B15</f>
        <v>dimetbut22</v>
      </c>
      <c r="D52" s="35"/>
      <c r="E52" s="68">
        <f ca="1">PS!C15</f>
        <v>0.28680260942230251</v>
      </c>
      <c r="F52" s="36"/>
      <c r="G52" s="37"/>
      <c r="H52" s="38"/>
      <c r="I52" s="36">
        <v>1</v>
      </c>
      <c r="J52" s="366" t="str">
        <f ca="1">TEXT("[percent] Weight percent of C4+ VOC that is ","")&amp;INDIRECT("'Species Data'!D"&amp;MATCH('Data Summary'!C52,'Species Data'!E:E,0))</f>
        <v>[percent] Weight percent of C4+ VOC that is 2,2-dimethylbutane</v>
      </c>
      <c r="K52" s="367"/>
      <c r="L52" s="367"/>
      <c r="M52" s="367"/>
      <c r="N52" s="367"/>
      <c r="O52" s="367"/>
      <c r="P52" s="368"/>
      <c r="Q52" s="2"/>
      <c r="R52" s="2"/>
      <c r="S52" s="2"/>
      <c r="T52" s="2"/>
      <c r="U52" s="2"/>
      <c r="V52" s="2"/>
      <c r="W52" s="2"/>
      <c r="X52" s="2"/>
      <c r="Y52" s="2"/>
    </row>
    <row r="53" spans="1:25" ht="15" customHeight="1" x14ac:dyDescent="0.25">
      <c r="A53" s="2"/>
      <c r="B53" s="17">
        <f t="shared" si="6"/>
        <v>9</v>
      </c>
      <c r="C53" s="34" t="str">
        <f>PS!B16</f>
        <v>dimethpro</v>
      </c>
      <c r="D53" s="35"/>
      <c r="E53" s="68">
        <f ca="1">PS!C16</f>
        <v>0.23670958771265177</v>
      </c>
      <c r="F53" s="36"/>
      <c r="G53" s="37"/>
      <c r="H53" s="38"/>
      <c r="I53" s="36">
        <v>1</v>
      </c>
      <c r="J53" s="366" t="str">
        <f ca="1">TEXT("[percent] Weight percent of C4+ VOC that is ","")&amp;INDIRECT("'Species Data'!D"&amp;MATCH('Data Summary'!C53,'Species Data'!E:E,0))</f>
        <v>[percent] Weight percent of C4+ VOC that is 2,2-dimethylpropane</v>
      </c>
      <c r="K53" s="367"/>
      <c r="L53" s="367"/>
      <c r="M53" s="367"/>
      <c r="N53" s="367"/>
      <c r="O53" s="367"/>
      <c r="P53" s="368"/>
      <c r="Q53" s="2"/>
      <c r="R53" s="2"/>
      <c r="S53" s="2"/>
      <c r="T53" s="2"/>
      <c r="U53" s="2"/>
      <c r="V53" s="2"/>
      <c r="W53" s="2"/>
      <c r="X53" s="2"/>
      <c r="Y53" s="2"/>
    </row>
    <row r="54" spans="1:25" x14ac:dyDescent="0.25">
      <c r="A54" s="2"/>
      <c r="B54" s="17">
        <f t="shared" si="6"/>
        <v>11</v>
      </c>
      <c r="C54" s="34" t="str">
        <f>PS!B17</f>
        <v>trimentpen3</v>
      </c>
      <c r="D54" s="35"/>
      <c r="E54" s="68">
        <f ca="1">PS!C17</f>
        <v>0.42011653218734563</v>
      </c>
      <c r="F54" s="36"/>
      <c r="G54" s="37"/>
      <c r="H54" s="38"/>
      <c r="I54" s="36">
        <v>1</v>
      </c>
      <c r="J54" s="366" t="str">
        <f ca="1">TEXT("[percent] Weight percent of C4+ VOC that is ","")&amp;INDIRECT("'Species Data'!D"&amp;MATCH('Data Summary'!C54,'Species Data'!E:E,0))</f>
        <v>[percent] Weight percent of C4+ VOC that is 2,3,4-trimethylpentane</v>
      </c>
      <c r="K54" s="367"/>
      <c r="L54" s="367"/>
      <c r="M54" s="367"/>
      <c r="N54" s="367"/>
      <c r="O54" s="367"/>
      <c r="P54" s="368"/>
      <c r="Q54" s="2"/>
      <c r="R54" s="2"/>
      <c r="S54" s="2"/>
      <c r="T54" s="2"/>
      <c r="U54" s="2"/>
      <c r="V54" s="2"/>
      <c r="W54" s="2"/>
      <c r="X54" s="2"/>
      <c r="Y54" s="2"/>
    </row>
    <row r="55" spans="1:25" s="190" customFormat="1" ht="12.75" x14ac:dyDescent="0.2">
      <c r="A55" s="2"/>
      <c r="B55" s="17">
        <f t="shared" ref="B55:B60" si="7">LEN(C55)</f>
        <v>8</v>
      </c>
      <c r="C55" s="34" t="str">
        <f>PS!B18</f>
        <v>dimetbut</v>
      </c>
      <c r="D55" s="35"/>
      <c r="E55" s="68">
        <f ca="1">PS!C18</f>
        <v>0</v>
      </c>
      <c r="F55" s="36"/>
      <c r="G55" s="37"/>
      <c r="H55" s="38"/>
      <c r="I55" s="36">
        <v>1</v>
      </c>
      <c r="J55" s="366" t="str">
        <f ca="1">TEXT("[percent] Weight percent of C4+ VOC that is ","")&amp;INDIRECT("'Species Data'!D"&amp;MATCH('Data Summary'!C55,'Species Data'!E:E,0))</f>
        <v>[percent] Weight percent of C4+ VOC that is 2,3-dimethylbutane</v>
      </c>
      <c r="K55" s="367"/>
      <c r="L55" s="367"/>
      <c r="M55" s="367"/>
      <c r="N55" s="367"/>
      <c r="O55" s="367"/>
      <c r="P55" s="368"/>
      <c r="Q55" s="2"/>
      <c r="R55" s="2"/>
      <c r="S55" s="2"/>
      <c r="T55" s="2"/>
      <c r="U55" s="2"/>
      <c r="V55" s="2"/>
      <c r="W55" s="2"/>
      <c r="X55" s="2"/>
      <c r="Y55" s="2"/>
    </row>
    <row r="56" spans="1:25" s="190" customFormat="1" ht="12.75" x14ac:dyDescent="0.2">
      <c r="A56" s="2"/>
      <c r="B56" s="17">
        <f t="shared" si="7"/>
        <v>11</v>
      </c>
      <c r="C56" s="34" t="str">
        <f>PS!B19</f>
        <v>dimethhex23</v>
      </c>
      <c r="D56" s="35"/>
      <c r="E56" s="68">
        <f ca="1">PS!C19</f>
        <v>0.22902942191277398</v>
      </c>
      <c r="F56" s="36"/>
      <c r="G56" s="37"/>
      <c r="H56" s="38"/>
      <c r="I56" s="36">
        <v>1</v>
      </c>
      <c r="J56" s="366" t="str">
        <f ca="1">TEXT("[percent] Weight percent of C4+ VOC that is ","")&amp;INDIRECT("'Species Data'!D"&amp;MATCH('Data Summary'!C56,'Species Data'!E:E,0))</f>
        <v>[percent] Weight percent of C4+ VOC that is 2,3-dimethylhexane</v>
      </c>
      <c r="K56" s="367"/>
      <c r="L56" s="367"/>
      <c r="M56" s="367"/>
      <c r="N56" s="367"/>
      <c r="O56" s="367"/>
      <c r="P56" s="368"/>
      <c r="Q56" s="2"/>
      <c r="R56" s="2"/>
      <c r="S56" s="2"/>
      <c r="T56" s="2"/>
      <c r="U56" s="2"/>
      <c r="V56" s="2"/>
      <c r="W56" s="2"/>
      <c r="X56" s="2"/>
      <c r="Y56" s="2"/>
    </row>
    <row r="57" spans="1:25" s="190" customFormat="1" ht="12.75" x14ac:dyDescent="0.2">
      <c r="A57" s="2"/>
      <c r="B57" s="17">
        <f t="shared" si="7"/>
        <v>9</v>
      </c>
      <c r="C57" s="34" t="str">
        <f>PS!B20</f>
        <v>dimetpen3</v>
      </c>
      <c r="E57" s="68">
        <f ca="1">PS!C20</f>
        <v>1.0877178100752312</v>
      </c>
      <c r="F57" s="36"/>
      <c r="G57" s="37"/>
      <c r="H57" s="38"/>
      <c r="I57" s="36">
        <v>1</v>
      </c>
      <c r="J57" s="366" t="str">
        <f ca="1">TEXT("[percent] Weight percent of C4+ VOC that is ","")&amp;INDIRECT("'Species Data'!D"&amp;MATCH('Data Summary'!C57,'Species Data'!E:E,0))</f>
        <v>[percent] Weight percent of C4+ VOC that is 2,3-dimethylpentane</v>
      </c>
      <c r="K57" s="367"/>
      <c r="L57" s="367"/>
      <c r="M57" s="367"/>
      <c r="N57" s="367"/>
      <c r="O57" s="367"/>
      <c r="P57" s="368"/>
      <c r="Q57" s="2"/>
      <c r="R57" s="2"/>
      <c r="S57" s="2"/>
      <c r="T57" s="2"/>
      <c r="U57" s="2"/>
      <c r="V57" s="2"/>
      <c r="W57" s="2"/>
      <c r="X57" s="2"/>
      <c r="Y57" s="2"/>
    </row>
    <row r="58" spans="1:25" s="190" customFormat="1" ht="12.75" x14ac:dyDescent="0.2">
      <c r="A58" s="2"/>
      <c r="B58" s="17">
        <f t="shared" si="7"/>
        <v>11</v>
      </c>
      <c r="C58" s="34" t="str">
        <f>PS!B21</f>
        <v>dimethhex24</v>
      </c>
      <c r="D58" s="35"/>
      <c r="E58" s="68">
        <f ca="1">PS!C21</f>
        <v>0.27339097660759054</v>
      </c>
      <c r="F58" s="36"/>
      <c r="G58" s="37"/>
      <c r="H58" s="38"/>
      <c r="I58" s="36">
        <v>1</v>
      </c>
      <c r="J58" s="366" t="str">
        <f ca="1">TEXT("[percent] Weight percent of C4+ VOC that is ","")&amp;INDIRECT("'Species Data'!D"&amp;MATCH('Data Summary'!C58,'Species Data'!E:E,0))</f>
        <v>[percent] Weight percent of C4+ VOC that is 2,4-dimethylhexane</v>
      </c>
      <c r="K58" s="367"/>
      <c r="L58" s="367"/>
      <c r="M58" s="367"/>
      <c r="N58" s="367"/>
      <c r="O58" s="367"/>
      <c r="P58" s="368"/>
      <c r="Q58" s="2"/>
      <c r="R58" s="2"/>
      <c r="S58" s="2"/>
      <c r="T58" s="2"/>
      <c r="U58" s="2"/>
      <c r="V58" s="2"/>
      <c r="W58" s="2"/>
      <c r="X58" s="2"/>
      <c r="Y58" s="2"/>
    </row>
    <row r="59" spans="1:25" s="190" customFormat="1" ht="12.75" x14ac:dyDescent="0.2">
      <c r="A59" s="2"/>
      <c r="B59" s="17"/>
      <c r="C59" s="34" t="str">
        <f>PS!B22</f>
        <v>dimetpen4</v>
      </c>
      <c r="D59" s="35"/>
      <c r="E59" s="68">
        <f ca="1">PS!C22</f>
        <v>0.2693789496972066</v>
      </c>
      <c r="F59" s="36"/>
      <c r="G59" s="37"/>
      <c r="H59" s="38"/>
      <c r="I59" s="36">
        <v>1</v>
      </c>
      <c r="J59" s="366" t="str">
        <f ca="1">TEXT("[percent] Weight percent of C4+ VOC that is ","")&amp;INDIRECT("'Species Data'!D"&amp;MATCH('Data Summary'!C59,'Species Data'!E:E,0))</f>
        <v>[percent] Weight percent of C4+ VOC that is 2,4-dimethylpentane</v>
      </c>
      <c r="K59" s="367"/>
      <c r="L59" s="367"/>
      <c r="M59" s="367"/>
      <c r="N59" s="367"/>
      <c r="O59" s="367"/>
      <c r="P59" s="368"/>
      <c r="Q59" s="2"/>
      <c r="R59" s="2"/>
      <c r="S59" s="2"/>
      <c r="T59" s="2"/>
      <c r="U59" s="2"/>
      <c r="V59" s="2"/>
      <c r="W59" s="2"/>
      <c r="X59" s="2"/>
      <c r="Y59" s="2"/>
    </row>
    <row r="60" spans="1:25" s="190" customFormat="1" ht="12.75" customHeight="1" x14ac:dyDescent="0.2">
      <c r="A60" s="2"/>
      <c r="B60" s="17">
        <f t="shared" si="7"/>
        <v>7</v>
      </c>
      <c r="C60" s="34" t="str">
        <f>PS!B23</f>
        <v>methep2</v>
      </c>
      <c r="D60" s="35"/>
      <c r="E60" s="68">
        <f ca="1">PS!C23</f>
        <v>0.85398858521029342</v>
      </c>
      <c r="F60" s="36"/>
      <c r="G60" s="37"/>
      <c r="H60" s="38"/>
      <c r="I60" s="36">
        <v>1</v>
      </c>
      <c r="J60" s="366" t="str">
        <f ca="1">TEXT("[percent] Weight percent of C4+ VOC that is ","")&amp;INDIRECT("'Species Data'!D"&amp;MATCH('Data Summary'!C60,'Species Data'!E:E,0))</f>
        <v>[percent] Weight percent of C4+ VOC that is 2-methylheptane</v>
      </c>
      <c r="K60" s="367"/>
      <c r="L60" s="367"/>
      <c r="M60" s="367"/>
      <c r="N60" s="367"/>
      <c r="O60" s="367"/>
      <c r="P60" s="368"/>
      <c r="Q60" s="2"/>
      <c r="R60" s="2"/>
      <c r="S60" s="2"/>
      <c r="T60" s="2"/>
      <c r="U60" s="2"/>
      <c r="V60" s="2"/>
      <c r="W60" s="2"/>
      <c r="X60" s="2"/>
      <c r="Y60" s="2"/>
    </row>
    <row r="61" spans="1:25" s="190" customFormat="1" ht="12.75" x14ac:dyDescent="0.2">
      <c r="A61" s="2"/>
      <c r="B61" s="17">
        <f t="shared" ref="B61:B64" si="8">LEN(C61)</f>
        <v>9</v>
      </c>
      <c r="C61" s="34" t="str">
        <f>PS!B24</f>
        <v>twomethex</v>
      </c>
      <c r="D61" s="35"/>
      <c r="E61" s="68">
        <f ca="1">PS!C24</f>
        <v>0.7511660669641681</v>
      </c>
      <c r="F61" s="36"/>
      <c r="G61" s="37"/>
      <c r="H61" s="38"/>
      <c r="I61" s="36">
        <v>1</v>
      </c>
      <c r="J61" s="366" t="str">
        <f ca="1">TEXT("[percent] Weight percent of C4+ VOC that is ","")&amp;INDIRECT("'Species Data'!D"&amp;MATCH('Data Summary'!C61,'Species Data'!E:E,0))</f>
        <v>[percent] Weight percent of C4+ VOC that is 2-methylhexane</v>
      </c>
      <c r="K61" s="367"/>
      <c r="L61" s="367"/>
      <c r="M61" s="367"/>
      <c r="N61" s="367"/>
      <c r="O61" s="367"/>
      <c r="P61" s="368"/>
      <c r="Q61" s="2"/>
      <c r="R61" s="2"/>
      <c r="S61" s="2"/>
      <c r="T61" s="2"/>
      <c r="U61" s="2"/>
      <c r="V61" s="2"/>
      <c r="W61" s="2"/>
      <c r="X61" s="2"/>
      <c r="Y61" s="2"/>
    </row>
    <row r="62" spans="1:25" s="190" customFormat="1" ht="12.75" x14ac:dyDescent="0.2">
      <c r="A62" s="2"/>
      <c r="B62" s="17">
        <f t="shared" si="8"/>
        <v>9</v>
      </c>
      <c r="C62" s="34" t="str">
        <f>PS!B25</f>
        <v>twometpen</v>
      </c>
      <c r="D62" s="35"/>
      <c r="E62" s="68">
        <f ca="1">PS!C25</f>
        <v>2.4389684734925385</v>
      </c>
      <c r="F62" s="36"/>
      <c r="G62" s="37"/>
      <c r="H62" s="38"/>
      <c r="I62" s="36">
        <v>1</v>
      </c>
      <c r="J62" s="366" t="str">
        <f ca="1">TEXT("[percent] Weight percent of C4+ VOC that is ","")&amp;INDIRECT("'Species Data'!D"&amp;MATCH('Data Summary'!C62,'Species Data'!E:E,0))</f>
        <v>[percent] Weight percent of C4+ VOC that is 2-methylpentane (isohexane)</v>
      </c>
      <c r="K62" s="367"/>
      <c r="L62" s="367"/>
      <c r="M62" s="367"/>
      <c r="N62" s="367"/>
      <c r="O62" s="367"/>
      <c r="P62" s="368"/>
      <c r="Q62" s="2"/>
      <c r="R62" s="2"/>
      <c r="S62" s="2"/>
      <c r="T62" s="2"/>
      <c r="U62" s="2"/>
      <c r="V62" s="2"/>
      <c r="W62" s="2"/>
      <c r="X62" s="2"/>
      <c r="Y62" s="2"/>
    </row>
    <row r="63" spans="1:25" s="190" customFormat="1" ht="12.75" x14ac:dyDescent="0.2">
      <c r="A63" s="2"/>
      <c r="B63" s="17">
        <f t="shared" si="8"/>
        <v>7</v>
      </c>
      <c r="C63" s="34" t="str">
        <f>PS!B26</f>
        <v>methep3</v>
      </c>
      <c r="D63" s="35"/>
      <c r="E63" s="68">
        <f ca="1">PS!C26</f>
        <v>0</v>
      </c>
      <c r="F63" s="36"/>
      <c r="G63" s="37"/>
      <c r="H63" s="38"/>
      <c r="I63" s="36">
        <v>1</v>
      </c>
      <c r="J63" s="366" t="str">
        <f ca="1">TEXT("[percent] Weight percent of C4+ VOC that is ","")&amp;INDIRECT("'Species Data'!D"&amp;MATCH('Data Summary'!C63,'Species Data'!E:E,0))</f>
        <v>[percent] Weight percent of C4+ VOC that is 3-methylheptane</v>
      </c>
      <c r="K63" s="367"/>
      <c r="L63" s="367"/>
      <c r="M63" s="367"/>
      <c r="N63" s="367"/>
      <c r="O63" s="367"/>
      <c r="P63" s="368"/>
      <c r="Q63" s="2"/>
      <c r="R63" s="2"/>
      <c r="S63" s="2"/>
      <c r="T63" s="2"/>
      <c r="U63" s="2"/>
      <c r="V63" s="2"/>
      <c r="W63" s="2"/>
      <c r="X63" s="2"/>
      <c r="Y63" s="2"/>
    </row>
    <row r="64" spans="1:25" s="190" customFormat="1" ht="12.75" x14ac:dyDescent="0.2">
      <c r="A64" s="2"/>
      <c r="B64" s="17">
        <f t="shared" si="8"/>
        <v>11</v>
      </c>
      <c r="C64" s="34" t="str">
        <f>PS!B27</f>
        <v>threemethex</v>
      </c>
      <c r="D64" s="35"/>
      <c r="E64" s="68">
        <f ca="1">PS!C27</f>
        <v>1.067199158162125</v>
      </c>
      <c r="F64" s="36"/>
      <c r="G64" s="37"/>
      <c r="H64" s="38"/>
      <c r="I64" s="36">
        <v>1</v>
      </c>
      <c r="J64" s="366" t="str">
        <f ca="1">TEXT("[percent] Weight percent of C4+ VOC that is ","")&amp;INDIRECT("'Species Data'!D"&amp;MATCH('Data Summary'!C64,'Species Data'!E:E,0))</f>
        <v>[percent] Weight percent of C4+ VOC that is 3-methylhexane</v>
      </c>
      <c r="K64" s="367"/>
      <c r="L64" s="367"/>
      <c r="M64" s="367"/>
      <c r="N64" s="367"/>
      <c r="O64" s="367"/>
      <c r="P64" s="368"/>
      <c r="Q64" s="2"/>
      <c r="R64" s="2"/>
      <c r="S64" s="2"/>
      <c r="T64" s="2"/>
      <c r="U64" s="2"/>
      <c r="V64" s="2"/>
      <c r="W64" s="2"/>
      <c r="X64" s="2"/>
      <c r="Y64" s="2"/>
    </row>
    <row r="65" spans="1:25" s="190" customFormat="1" ht="12.75" x14ac:dyDescent="0.2">
      <c r="A65" s="2"/>
      <c r="B65" s="17">
        <f t="shared" ref="B65" si="9">LEN(C65)</f>
        <v>11</v>
      </c>
      <c r="C65" s="34" t="str">
        <f>PS!B28</f>
        <v>threemetpen</v>
      </c>
      <c r="D65" s="35"/>
      <c r="E65" s="68">
        <f ca="1">PS!C28</f>
        <v>1.6189101730100637</v>
      </c>
      <c r="F65" s="36"/>
      <c r="G65" s="37"/>
      <c r="H65" s="38"/>
      <c r="I65" s="36">
        <v>1</v>
      </c>
      <c r="J65" s="366" t="str">
        <f ca="1">TEXT("[percent] Weight percent of C4+ VOC that is ","")&amp;INDIRECT("'Species Data'!D"&amp;MATCH('Data Summary'!C65,'Species Data'!E:E,0))</f>
        <v>[percent] Weight percent of C4+ VOC that is 3-methylpentane</v>
      </c>
      <c r="K65" s="367"/>
      <c r="L65" s="367"/>
      <c r="M65" s="367"/>
      <c r="N65" s="367"/>
      <c r="O65" s="367"/>
      <c r="P65" s="368"/>
      <c r="Q65" s="2"/>
      <c r="R65" s="2"/>
      <c r="S65" s="2"/>
      <c r="T65" s="2"/>
      <c r="U65" s="2"/>
      <c r="V65" s="2"/>
      <c r="W65" s="2"/>
      <c r="X65" s="2"/>
      <c r="Y65" s="2"/>
    </row>
    <row r="66" spans="1:25" s="190" customFormat="1" ht="12.75" x14ac:dyDescent="0.2">
      <c r="A66" s="2"/>
      <c r="B66" s="17">
        <f t="shared" ref="B66" si="10">LEN(C66)</f>
        <v>7</v>
      </c>
      <c r="C66" s="34" t="str">
        <f>PS!B29</f>
        <v>benzene</v>
      </c>
      <c r="D66" s="35"/>
      <c r="E66" s="68">
        <f ca="1">PS!C29</f>
        <v>0.30789440803689233</v>
      </c>
      <c r="F66" s="36"/>
      <c r="G66" s="37"/>
      <c r="H66" s="38"/>
      <c r="I66" s="36">
        <v>1</v>
      </c>
      <c r="J66" s="366" t="str">
        <f ca="1">TEXT("[percent] Weight percent of C4+ VOC that is ","")&amp;INDIRECT("'Species Data'!D"&amp;MATCH('Data Summary'!C66,'Species Data'!E:E,0))</f>
        <v>[percent] Weight percent of C4+ VOC that is Benzene</v>
      </c>
      <c r="K66" s="367"/>
      <c r="L66" s="367"/>
      <c r="M66" s="367"/>
      <c r="N66" s="367"/>
      <c r="O66" s="367"/>
      <c r="P66" s="368"/>
      <c r="Q66" s="2"/>
      <c r="R66" s="2"/>
      <c r="S66" s="2"/>
      <c r="T66" s="2"/>
      <c r="U66" s="2"/>
      <c r="V66" s="2"/>
      <c r="W66" s="2"/>
      <c r="X66" s="2"/>
      <c r="Y66" s="2"/>
    </row>
    <row r="67" spans="1:25" s="190" customFormat="1" ht="12.75" x14ac:dyDescent="0.2">
      <c r="A67" s="2"/>
      <c r="B67" s="17">
        <f t="shared" ref="B67" si="11">LEN(C67)</f>
        <v>11</v>
      </c>
      <c r="C67" s="34" t="str">
        <f>PS!B30</f>
        <v>cyclohexane</v>
      </c>
      <c r="D67" s="35"/>
      <c r="E67" s="68">
        <f ca="1">PS!C30</f>
        <v>0</v>
      </c>
      <c r="F67" s="36"/>
      <c r="G67" s="37"/>
      <c r="H67" s="38"/>
      <c r="I67" s="36">
        <v>1</v>
      </c>
      <c r="J67" s="366" t="str">
        <f ca="1">TEXT("[percent] Weight percent of C4+ VOC that is ","")&amp;INDIRECT("'Species Data'!D"&amp;MATCH('Data Summary'!C67,'Species Data'!E:E,0))</f>
        <v>[percent] Weight percent of C4+ VOC that is Cyclohexane</v>
      </c>
      <c r="K67" s="367"/>
      <c r="L67" s="367"/>
      <c r="M67" s="367"/>
      <c r="N67" s="367"/>
      <c r="O67" s="367"/>
      <c r="P67" s="368"/>
      <c r="Q67" s="2"/>
      <c r="R67" s="2"/>
      <c r="S67" s="2"/>
      <c r="T67" s="2"/>
      <c r="U67" s="2"/>
      <c r="V67" s="2"/>
      <c r="W67" s="2"/>
      <c r="X67" s="2"/>
      <c r="Y67" s="2"/>
    </row>
    <row r="68" spans="1:25" x14ac:dyDescent="0.25">
      <c r="A68" s="2"/>
      <c r="B68" s="17">
        <f t="shared" si="6"/>
        <v>12</v>
      </c>
      <c r="C68" s="34" t="str">
        <f>PS!B31</f>
        <v>cyclopentane</v>
      </c>
      <c r="D68" s="35"/>
      <c r="E68" s="68">
        <f ca="1">PS!C31</f>
        <v>0.75391717113128842</v>
      </c>
      <c r="F68" s="36"/>
      <c r="G68" s="37"/>
      <c r="H68" s="38"/>
      <c r="I68" s="36">
        <v>1</v>
      </c>
      <c r="J68" s="366" t="str">
        <f ca="1">TEXT("[percent] Weight percent of C4+ VOC that is ","")&amp;INDIRECT("'Species Data'!D"&amp;MATCH('Data Summary'!C68,'Species Data'!E:E,0))</f>
        <v>[percent] Weight percent of C4+ VOC that is Cyclopentane</v>
      </c>
      <c r="K68" s="367"/>
      <c r="L68" s="367"/>
      <c r="M68" s="367"/>
      <c r="N68" s="367"/>
      <c r="O68" s="367"/>
      <c r="P68" s="368"/>
      <c r="Q68" s="2"/>
      <c r="R68" s="2"/>
      <c r="S68" s="2"/>
      <c r="T68" s="2"/>
      <c r="U68" s="2"/>
      <c r="V68" s="2"/>
      <c r="W68" s="2"/>
      <c r="X68" s="2"/>
      <c r="Y68" s="2"/>
    </row>
    <row r="69" spans="1:25" x14ac:dyDescent="0.25">
      <c r="A69" s="2"/>
      <c r="B69" s="17">
        <f t="shared" si="6"/>
        <v>10</v>
      </c>
      <c r="C69" s="34" t="str">
        <f>PS!B32</f>
        <v>ethyl_benz</v>
      </c>
      <c r="D69" s="35"/>
      <c r="E69" s="68">
        <f ca="1">PS!C32</f>
        <v>1.2514085080188955</v>
      </c>
      <c r="F69" s="36"/>
      <c r="G69" s="37"/>
      <c r="H69" s="38"/>
      <c r="I69" s="36">
        <v>1</v>
      </c>
      <c r="J69" s="366" t="str">
        <f ca="1">TEXT("[percent] Weight percent of C4+ VOC that is ","")&amp;INDIRECT("'Species Data'!D"&amp;MATCH('Data Summary'!C69,'Species Data'!E:E,0))</f>
        <v>[percent] Weight percent of C4+ VOC that is Ethylbenzene</v>
      </c>
      <c r="K69" s="367"/>
      <c r="L69" s="367"/>
      <c r="M69" s="367"/>
      <c r="N69" s="367"/>
      <c r="O69" s="367"/>
      <c r="P69" s="368"/>
      <c r="Q69" s="2"/>
      <c r="R69" s="2"/>
      <c r="S69" s="2"/>
      <c r="T69" s="2"/>
      <c r="U69" s="2"/>
      <c r="V69" s="2"/>
      <c r="W69" s="2"/>
      <c r="X69" s="2"/>
      <c r="Y69" s="2"/>
    </row>
    <row r="70" spans="1:25" x14ac:dyDescent="0.25">
      <c r="A70" s="2"/>
      <c r="B70" s="17">
        <f t="shared" si="6"/>
        <v>10</v>
      </c>
      <c r="C70" s="34" t="str">
        <f>PS!B33</f>
        <v>ethcyclhex</v>
      </c>
      <c r="D70" s="35"/>
      <c r="E70" s="68">
        <f ca="1">PS!C33</f>
        <v>0</v>
      </c>
      <c r="F70" s="36"/>
      <c r="G70" s="37"/>
      <c r="H70" s="38"/>
      <c r="I70" s="36">
        <v>1</v>
      </c>
      <c r="J70" s="366" t="str">
        <f ca="1">TEXT("[percent] Weight percent of C4+ VOC that is ","")&amp;INDIRECT("'Species Data'!D"&amp;MATCH('Data Summary'!C70,'Species Data'!E:E,0))</f>
        <v>[percent] Weight percent of C4+ VOC that is Ethylcyclohexane</v>
      </c>
      <c r="K70" s="367"/>
      <c r="L70" s="367"/>
      <c r="M70" s="367"/>
      <c r="N70" s="367"/>
      <c r="O70" s="367"/>
      <c r="P70" s="368"/>
      <c r="Q70" s="2"/>
      <c r="R70" s="2"/>
      <c r="S70" s="2"/>
      <c r="T70" s="2"/>
      <c r="U70" s="2"/>
      <c r="V70" s="2"/>
      <c r="W70" s="2"/>
      <c r="X70" s="2"/>
      <c r="Y70" s="2"/>
    </row>
    <row r="71" spans="1:25" x14ac:dyDescent="0.25">
      <c r="A71" s="2"/>
      <c r="B71" s="17">
        <f t="shared" si="6"/>
        <v>6</v>
      </c>
      <c r="C71" s="34" t="str">
        <f>PS!B34</f>
        <v>isobut</v>
      </c>
      <c r="D71" s="35"/>
      <c r="E71" s="68">
        <f ca="1">PS!C34</f>
        <v>2.4193668563018056</v>
      </c>
      <c r="F71" s="36"/>
      <c r="G71" s="37"/>
      <c r="H71" s="38"/>
      <c r="I71" s="36">
        <v>1</v>
      </c>
      <c r="J71" s="366" t="str">
        <f ca="1">TEXT("[percent] Weight percent of C4+ VOC that is ","")&amp;INDIRECT("'Species Data'!D"&amp;MATCH('Data Summary'!C71,'Species Data'!E:E,0))</f>
        <v>[percent] Weight percent of C4+ VOC that is Isobutane</v>
      </c>
      <c r="K71" s="367"/>
      <c r="L71" s="367"/>
      <c r="M71" s="367"/>
      <c r="N71" s="367"/>
      <c r="O71" s="367"/>
      <c r="P71" s="368"/>
      <c r="Q71" s="2"/>
      <c r="R71" s="2"/>
      <c r="S71" s="2"/>
      <c r="T71" s="2"/>
      <c r="U71" s="2"/>
      <c r="V71" s="2"/>
      <c r="W71" s="2"/>
      <c r="X71" s="2"/>
      <c r="Y71" s="2"/>
    </row>
    <row r="72" spans="1:25" x14ac:dyDescent="0.25">
      <c r="A72" s="2"/>
      <c r="B72" s="17">
        <f t="shared" si="6"/>
        <v>5</v>
      </c>
      <c r="C72" s="34" t="str">
        <f>PS!B35</f>
        <v>i_but</v>
      </c>
      <c r="D72" s="35"/>
      <c r="E72" s="68">
        <f ca="1">PS!C35</f>
        <v>0.10064456078048828</v>
      </c>
      <c r="F72" s="36"/>
      <c r="G72" s="37"/>
      <c r="H72" s="38"/>
      <c r="I72" s="36">
        <v>1</v>
      </c>
      <c r="J72" s="366" t="str">
        <f ca="1">TEXT("[percent] Weight percent of C4+ VOC that is ","")&amp;INDIRECT("'Species Data'!D"&amp;MATCH('Data Summary'!C72,'Species Data'!E:E,0))</f>
        <v>[percent] Weight percent of C4+ VOC that is Isomers of butylbenzene</v>
      </c>
      <c r="K72" s="367"/>
      <c r="L72" s="367"/>
      <c r="M72" s="367"/>
      <c r="N72" s="367"/>
      <c r="O72" s="367"/>
      <c r="P72" s="368"/>
      <c r="Q72" s="2"/>
      <c r="R72" s="2"/>
      <c r="S72" s="2"/>
      <c r="T72" s="2"/>
      <c r="U72" s="2"/>
      <c r="V72" s="2"/>
      <c r="W72" s="2"/>
      <c r="X72" s="2"/>
      <c r="Y72" s="2"/>
    </row>
    <row r="73" spans="1:25" x14ac:dyDescent="0.25">
      <c r="A73" s="2"/>
      <c r="B73" s="17">
        <f t="shared" si="6"/>
        <v>10</v>
      </c>
      <c r="C73" s="34" t="str">
        <f>PS!B36</f>
        <v>isopentane</v>
      </c>
      <c r="D73" s="35"/>
      <c r="E73" s="68">
        <f ca="1">PS!C36</f>
        <v>6.1684340600451417</v>
      </c>
      <c r="F73" s="36"/>
      <c r="G73" s="37"/>
      <c r="H73" s="38"/>
      <c r="I73" s="36">
        <v>1</v>
      </c>
      <c r="J73" s="366" t="str">
        <f ca="1">TEXT("[percent] Weight percent of C4+ VOC that is ","")&amp;INDIRECT("'Species Data'!D"&amp;MATCH('Data Summary'!C73,'Species Data'!E:E,0))</f>
        <v>[percent] Weight percent of C4+ VOC that is Isopentane (2-Methylbutane)</v>
      </c>
      <c r="K73" s="367"/>
      <c r="L73" s="367"/>
      <c r="M73" s="367"/>
      <c r="N73" s="367"/>
      <c r="O73" s="367"/>
      <c r="P73" s="368"/>
      <c r="Q73" s="2"/>
      <c r="R73" s="2"/>
      <c r="S73" s="2"/>
      <c r="T73" s="2"/>
      <c r="U73" s="2"/>
      <c r="V73" s="2"/>
      <c r="W73" s="2"/>
      <c r="X73" s="2"/>
      <c r="Y73" s="2"/>
    </row>
    <row r="74" spans="1:25" x14ac:dyDescent="0.25">
      <c r="A74" s="2"/>
      <c r="B74" s="17">
        <f t="shared" si="6"/>
        <v>7</v>
      </c>
      <c r="C74" s="34" t="str">
        <f>PS!B37</f>
        <v>isopben</v>
      </c>
      <c r="D74" s="35"/>
      <c r="E74" s="68">
        <f ca="1">PS!C37</f>
        <v>8.5169599840435983E-2</v>
      </c>
      <c r="F74" s="36"/>
      <c r="G74" s="37"/>
      <c r="H74" s="38"/>
      <c r="I74" s="36">
        <v>1</v>
      </c>
      <c r="J74" s="366" t="str">
        <f ca="1">TEXT("[percent] Weight percent of C4+ VOC that is ","")&amp;INDIRECT("'Species Data'!D"&amp;MATCH('Data Summary'!C74,'Species Data'!E:E,0))</f>
        <v>[percent] Weight percent of C4+ VOC that is Isopropylbenzene (cumene)</v>
      </c>
      <c r="K74" s="367"/>
      <c r="L74" s="367"/>
      <c r="M74" s="367"/>
      <c r="N74" s="367"/>
      <c r="O74" s="367"/>
      <c r="P74" s="368"/>
      <c r="Q74" s="2"/>
      <c r="R74" s="2"/>
      <c r="S74" s="2"/>
      <c r="T74" s="2"/>
      <c r="U74" s="2"/>
      <c r="V74" s="2"/>
      <c r="W74" s="2"/>
      <c r="X74" s="2"/>
      <c r="Y74" s="2"/>
    </row>
    <row r="75" spans="1:25" x14ac:dyDescent="0.25">
      <c r="A75" s="2"/>
      <c r="B75" s="17">
        <f t="shared" si="6"/>
        <v>6</v>
      </c>
      <c r="C75" s="34" t="str">
        <f>PS!B38</f>
        <v>xylene</v>
      </c>
      <c r="D75" s="35"/>
      <c r="E75" s="68">
        <f ca="1">PS!C38</f>
        <v>0</v>
      </c>
      <c r="F75" s="36"/>
      <c r="G75" s="37"/>
      <c r="H75" s="38"/>
      <c r="I75" s="36">
        <v>1</v>
      </c>
      <c r="J75" s="366" t="str">
        <f ca="1">TEXT("[percent] Weight percent of C4+ VOC that is ","")&amp;INDIRECT("'Species Data'!D"&amp;MATCH('Data Summary'!C75,'Species Data'!E:E,0))</f>
        <v>[percent] Weight percent of C4+ VOC that is M &amp; p-xylene</v>
      </c>
      <c r="K75" s="367"/>
      <c r="L75" s="367"/>
      <c r="M75" s="367"/>
      <c r="N75" s="367"/>
      <c r="O75" s="367"/>
      <c r="P75" s="368"/>
      <c r="Q75" s="2"/>
      <c r="R75" s="2"/>
      <c r="S75" s="2"/>
      <c r="T75" s="2"/>
      <c r="U75" s="2"/>
      <c r="V75" s="2"/>
      <c r="W75" s="2"/>
      <c r="X75" s="2"/>
      <c r="Y75" s="2"/>
    </row>
    <row r="76" spans="1:25" x14ac:dyDescent="0.25">
      <c r="A76" s="2"/>
      <c r="B76" s="17">
        <f t="shared" si="6"/>
        <v>8</v>
      </c>
      <c r="C76" s="34" t="str">
        <f>PS!B39</f>
        <v>M_xylene</v>
      </c>
      <c r="D76" s="35"/>
      <c r="E76" s="68">
        <f ca="1">PS!C39</f>
        <v>0.54254066762420383</v>
      </c>
      <c r="F76" s="36"/>
      <c r="G76" s="37"/>
      <c r="H76" s="38"/>
      <c r="I76" s="36">
        <v>1</v>
      </c>
      <c r="J76" s="366" t="str">
        <f ca="1">TEXT("[percent] Weight percent of C4+ VOC that is ","")&amp;INDIRECT("'Species Data'!D"&amp;MATCH('Data Summary'!C76,'Species Data'!E:E,0))</f>
        <v>[percent] Weight percent of C4+ VOC that is M-xylene</v>
      </c>
      <c r="K76" s="367"/>
      <c r="L76" s="367"/>
      <c r="M76" s="367"/>
      <c r="N76" s="367"/>
      <c r="O76" s="367"/>
      <c r="P76" s="368"/>
      <c r="Q76" s="2"/>
      <c r="R76" s="2"/>
      <c r="S76" s="2"/>
      <c r="T76" s="2"/>
      <c r="U76" s="2"/>
      <c r="V76" s="2"/>
      <c r="W76" s="2"/>
      <c r="X76" s="2"/>
      <c r="Y76" s="2"/>
    </row>
    <row r="77" spans="1:25" x14ac:dyDescent="0.25">
      <c r="A77" s="2"/>
      <c r="B77" s="17">
        <f t="shared" si="6"/>
        <v>10</v>
      </c>
      <c r="C77" s="34" t="str">
        <f>PS!B40</f>
        <v>methcychex</v>
      </c>
      <c r="D77" s="35"/>
      <c r="E77" s="68">
        <f ca="1">PS!C40</f>
        <v>0.52970218151097526</v>
      </c>
      <c r="F77" s="36"/>
      <c r="G77" s="37"/>
      <c r="H77" s="38"/>
      <c r="I77" s="36">
        <v>1</v>
      </c>
      <c r="J77" s="366" t="str">
        <f ca="1">TEXT("[percent] Weight percent of C4+ VOC that is ","")&amp;INDIRECT("'Species Data'!D"&amp;MATCH('Data Summary'!C77,'Species Data'!E:E,0))</f>
        <v>[percent] Weight percent of C4+ VOC that is Methylcyclohexane</v>
      </c>
      <c r="K77" s="367"/>
      <c r="L77" s="367"/>
      <c r="M77" s="367"/>
      <c r="N77" s="367"/>
      <c r="O77" s="367"/>
      <c r="P77" s="368"/>
      <c r="Q77" s="2"/>
      <c r="R77" s="2"/>
      <c r="S77" s="2"/>
      <c r="T77" s="2"/>
      <c r="U77" s="2"/>
      <c r="V77" s="2"/>
      <c r="W77" s="2"/>
      <c r="X77" s="2"/>
      <c r="Y77" s="2"/>
    </row>
    <row r="78" spans="1:25" x14ac:dyDescent="0.25">
      <c r="A78" s="2"/>
      <c r="B78" s="17">
        <f t="shared" si="6"/>
        <v>10</v>
      </c>
      <c r="C78" s="34" t="str">
        <f>PS!B41</f>
        <v>methcycpen</v>
      </c>
      <c r="D78" s="35"/>
      <c r="E78" s="68">
        <f ca="1">PS!C41</f>
        <v>2.9377207331234096</v>
      </c>
      <c r="F78" s="36"/>
      <c r="G78" s="37"/>
      <c r="H78" s="38"/>
      <c r="I78" s="36">
        <v>1</v>
      </c>
      <c r="J78" s="366" t="str">
        <f ca="1">TEXT("[percent] Weight percent of C4+ VOC that is ","")&amp;INDIRECT("'Species Data'!D"&amp;MATCH('Data Summary'!C78,'Species Data'!E:E,0))</f>
        <v>[percent] Weight percent of C4+ VOC that is Methylcyclopentane</v>
      </c>
      <c r="K78" s="367"/>
      <c r="L78" s="367"/>
      <c r="M78" s="367"/>
      <c r="N78" s="367"/>
      <c r="O78" s="367"/>
      <c r="P78" s="368"/>
      <c r="Q78" s="2"/>
      <c r="R78" s="2"/>
      <c r="S78" s="2"/>
      <c r="T78" s="2"/>
      <c r="U78" s="2"/>
      <c r="V78" s="2"/>
      <c r="W78" s="2"/>
      <c r="X78" s="2"/>
      <c r="Y78" s="2"/>
    </row>
    <row r="79" spans="1:25" x14ac:dyDescent="0.25">
      <c r="A79" s="2"/>
      <c r="B79" s="17">
        <f t="shared" si="6"/>
        <v>8</v>
      </c>
      <c r="C79" s="34" t="str">
        <f>PS!B42</f>
        <v>methpent</v>
      </c>
      <c r="D79" s="35"/>
      <c r="E79" s="68">
        <f ca="1">PS!C42</f>
        <v>0</v>
      </c>
      <c r="F79" s="36"/>
      <c r="G79" s="37"/>
      <c r="H79" s="38"/>
      <c r="I79" s="36">
        <v>1</v>
      </c>
      <c r="J79" s="366" t="str">
        <f ca="1">TEXT("[percent] Weight percent of C4+ VOC that is ","")&amp;INDIRECT("'Species Data'!D"&amp;MATCH('Data Summary'!C79,'Species Data'!E:E,0))</f>
        <v>[percent] Weight percent of C4+ VOC that is Methylcyclopentane</v>
      </c>
      <c r="K79" s="367"/>
      <c r="L79" s="367"/>
      <c r="M79" s="367"/>
      <c r="N79" s="367"/>
      <c r="O79" s="367"/>
      <c r="P79" s="368"/>
      <c r="Q79" s="2"/>
      <c r="R79" s="2"/>
      <c r="S79" s="2"/>
      <c r="T79" s="2"/>
      <c r="U79" s="2"/>
      <c r="V79" s="2"/>
      <c r="W79" s="2"/>
      <c r="X79" s="2"/>
      <c r="Y79" s="2"/>
    </row>
    <row r="80" spans="1:25" x14ac:dyDescent="0.25">
      <c r="A80" s="2"/>
      <c r="B80" s="17">
        <f t="shared" si="6"/>
        <v>5</v>
      </c>
      <c r="C80" s="34" t="str">
        <f>PS!B43</f>
        <v>N_but</v>
      </c>
      <c r="D80" s="35"/>
      <c r="E80" s="68">
        <f ca="1">PS!C43</f>
        <v>7.5857112234733393</v>
      </c>
      <c r="F80" s="36"/>
      <c r="G80" s="37"/>
      <c r="H80" s="38"/>
      <c r="I80" s="36">
        <v>1</v>
      </c>
      <c r="J80" s="366" t="str">
        <f ca="1">TEXT("[percent] Weight percent of C4+ VOC that is ","")&amp;INDIRECT("'Species Data'!D"&amp;MATCH('Data Summary'!C80,'Species Data'!E:E,0))</f>
        <v>[percent] Weight percent of C4+ VOC that is N-butane</v>
      </c>
      <c r="K80" s="367"/>
      <c r="L80" s="367"/>
      <c r="M80" s="367"/>
      <c r="N80" s="367"/>
      <c r="O80" s="367"/>
      <c r="P80" s="368"/>
      <c r="Q80" s="2"/>
      <c r="R80" s="2"/>
      <c r="S80" s="2"/>
      <c r="T80" s="2"/>
      <c r="U80" s="2"/>
      <c r="V80" s="2"/>
      <c r="W80" s="2"/>
      <c r="X80" s="2"/>
      <c r="Y80" s="2"/>
    </row>
    <row r="81" spans="1:25" x14ac:dyDescent="0.25">
      <c r="A81" s="2"/>
      <c r="B81" s="17">
        <f t="shared" si="6"/>
        <v>5</v>
      </c>
      <c r="C81" s="34" t="str">
        <f>PS!B44</f>
        <v>N_dec</v>
      </c>
      <c r="D81" s="35"/>
      <c r="E81" s="68">
        <f ca="1">PS!C44</f>
        <v>6.8662974837713525E-2</v>
      </c>
      <c r="F81" s="36"/>
      <c r="G81" s="37"/>
      <c r="H81" s="38"/>
      <c r="I81" s="36">
        <v>1</v>
      </c>
      <c r="J81" s="366" t="str">
        <f ca="1">TEXT("[percent] Weight percent of C4+ VOC that is ","")&amp;INDIRECT("'Species Data'!D"&amp;MATCH('Data Summary'!C81,'Species Data'!E:E,0))</f>
        <v>[percent] Weight percent of C4+ VOC that is N-decane</v>
      </c>
      <c r="K81" s="367"/>
      <c r="L81" s="367"/>
      <c r="M81" s="367"/>
      <c r="N81" s="367"/>
      <c r="O81" s="367"/>
      <c r="P81" s="368"/>
      <c r="Q81" s="2"/>
      <c r="R81" s="2"/>
      <c r="S81" s="2"/>
      <c r="T81" s="2"/>
      <c r="U81" s="2"/>
      <c r="V81" s="2"/>
      <c r="W81" s="2"/>
      <c r="X81" s="2"/>
      <c r="Y81" s="2"/>
    </row>
    <row r="82" spans="1:25" x14ac:dyDescent="0.25">
      <c r="A82" s="2"/>
      <c r="B82" s="17">
        <f t="shared" si="6"/>
        <v>5</v>
      </c>
      <c r="C82" s="34" t="str">
        <f>PS!B45</f>
        <v>N_hep</v>
      </c>
      <c r="D82" s="35"/>
      <c r="E82" s="68">
        <f ca="1">PS!C45</f>
        <v>1.5589590280348982</v>
      </c>
      <c r="F82" s="36"/>
      <c r="G82" s="37"/>
      <c r="H82" s="38"/>
      <c r="I82" s="36">
        <v>1</v>
      </c>
      <c r="J82" s="366" t="str">
        <f ca="1">TEXT("[percent] Weight percent of C4+ VOC that is ","")&amp;INDIRECT("'Species Data'!D"&amp;MATCH('Data Summary'!C82,'Species Data'!E:E,0))</f>
        <v>[percent] Weight percent of C4+ VOC that is N-heptane</v>
      </c>
      <c r="K82" s="367"/>
      <c r="L82" s="367"/>
      <c r="M82" s="367"/>
      <c r="N82" s="367"/>
      <c r="O82" s="367"/>
      <c r="P82" s="368"/>
      <c r="Q82" s="2"/>
      <c r="R82" s="2"/>
      <c r="S82" s="2"/>
      <c r="T82" s="2"/>
      <c r="U82" s="2"/>
      <c r="V82" s="2"/>
      <c r="W82" s="2"/>
      <c r="X82" s="2"/>
      <c r="Y82" s="2"/>
    </row>
    <row r="83" spans="1:25" x14ac:dyDescent="0.25">
      <c r="A83" s="2"/>
      <c r="B83" s="17">
        <f t="shared" si="6"/>
        <v>5</v>
      </c>
      <c r="C83" s="34" t="str">
        <f>PS!B46</f>
        <v>N_hex</v>
      </c>
      <c r="D83" s="35"/>
      <c r="E83" s="68">
        <f ca="1">PS!C46</f>
        <v>2.6543570039100071</v>
      </c>
      <c r="F83" s="36"/>
      <c r="G83" s="37"/>
      <c r="H83" s="38"/>
      <c r="I83" s="36">
        <v>1</v>
      </c>
      <c r="J83" s="366" t="str">
        <f ca="1">TEXT("[percent] Weight percent of C4+ VOC that is ","")&amp;INDIRECT("'Species Data'!D"&amp;MATCH('Data Summary'!C83,'Species Data'!E:E,0))</f>
        <v>[percent] Weight percent of C4+ VOC that is N-hexane</v>
      </c>
      <c r="K83" s="367"/>
      <c r="L83" s="367"/>
      <c r="M83" s="367"/>
      <c r="N83" s="367"/>
      <c r="O83" s="367"/>
      <c r="P83" s="368"/>
      <c r="Q83" s="2"/>
      <c r="R83" s="2"/>
      <c r="S83" s="2"/>
      <c r="T83" s="2"/>
      <c r="U83" s="2"/>
      <c r="V83" s="2"/>
      <c r="W83" s="2"/>
      <c r="X83" s="2"/>
      <c r="Y83" s="2"/>
    </row>
    <row r="84" spans="1:25" x14ac:dyDescent="0.25">
      <c r="A84" s="2"/>
      <c r="B84" s="17">
        <f t="shared" si="6"/>
        <v>8</v>
      </c>
      <c r="C84" s="34" t="str">
        <f>PS!B47</f>
        <v>N_nonane</v>
      </c>
      <c r="D84" s="35"/>
      <c r="E84" s="68">
        <f ca="1">PS!C47</f>
        <v>0.25161140195122061</v>
      </c>
      <c r="F84" s="36"/>
      <c r="G84" s="37"/>
      <c r="H84" s="38"/>
      <c r="I84" s="36">
        <v>1</v>
      </c>
      <c r="J84" s="366" t="str">
        <f ca="1">TEXT("[percent] Weight percent of C4+ VOC that is ","")&amp;INDIRECT("'Species Data'!D"&amp;MATCH('Data Summary'!C84,'Species Data'!E:E,0))</f>
        <v>[percent] Weight percent of C4+ VOC that is N-nonane</v>
      </c>
      <c r="K84" s="367"/>
      <c r="L84" s="367"/>
      <c r="M84" s="367"/>
      <c r="N84" s="367"/>
      <c r="O84" s="367"/>
      <c r="P84" s="368"/>
      <c r="Q84" s="2"/>
      <c r="R84" s="2"/>
      <c r="S84" s="2"/>
      <c r="T84" s="2"/>
      <c r="U84" s="2"/>
      <c r="V84" s="2"/>
      <c r="W84" s="2"/>
      <c r="X84" s="2"/>
      <c r="Y84" s="2"/>
    </row>
    <row r="85" spans="1:25" x14ac:dyDescent="0.25">
      <c r="A85" s="2"/>
      <c r="B85" s="17">
        <f t="shared" si="6"/>
        <v>8</v>
      </c>
      <c r="C85" s="34" t="str">
        <f>PS!B48</f>
        <v>N_octane</v>
      </c>
      <c r="D85" s="35"/>
      <c r="E85" s="68">
        <f ca="1">PS!C48</f>
        <v>1.5664099351541825</v>
      </c>
      <c r="F85" s="36"/>
      <c r="G85" s="37"/>
      <c r="H85" s="38"/>
      <c r="I85" s="36">
        <v>1</v>
      </c>
      <c r="J85" s="366" t="str">
        <f ca="1">TEXT("[percent] Weight percent of C4+ VOC that is ","")&amp;INDIRECT("'Species Data'!D"&amp;MATCH('Data Summary'!C85,'Species Data'!E:E,0))</f>
        <v>[percent] Weight percent of C4+ VOC that is N-octane</v>
      </c>
      <c r="K85" s="367"/>
      <c r="L85" s="367"/>
      <c r="M85" s="367"/>
      <c r="N85" s="367"/>
      <c r="O85" s="367"/>
      <c r="P85" s="368"/>
      <c r="Q85" s="2"/>
      <c r="R85" s="2"/>
      <c r="S85" s="2"/>
      <c r="T85" s="2"/>
      <c r="U85" s="2"/>
      <c r="V85" s="2"/>
      <c r="W85" s="2"/>
      <c r="X85" s="2"/>
      <c r="Y85" s="2"/>
    </row>
    <row r="86" spans="1:25" x14ac:dyDescent="0.25">
      <c r="A86" s="2"/>
      <c r="B86" s="17">
        <f t="shared" si="6"/>
        <v>9</v>
      </c>
      <c r="C86" s="34" t="str">
        <f>PS!B49</f>
        <v>N_pentane</v>
      </c>
      <c r="D86" s="35"/>
      <c r="E86" s="68">
        <f ca="1">PS!C49</f>
        <v>4.993024804642948</v>
      </c>
      <c r="F86" s="36"/>
      <c r="G86" s="37"/>
      <c r="H86" s="38"/>
      <c r="I86" s="36">
        <v>1</v>
      </c>
      <c r="J86" s="366" t="str">
        <f ca="1">TEXT("[percent] Weight percent of C4+ VOC that is ","")&amp;INDIRECT("'Species Data'!D"&amp;MATCH('Data Summary'!C86,'Species Data'!E:E,0))</f>
        <v>[percent] Weight percent of C4+ VOC that is N-pentane</v>
      </c>
      <c r="K86" s="367"/>
      <c r="L86" s="367"/>
      <c r="M86" s="367"/>
      <c r="N86" s="367"/>
      <c r="O86" s="367"/>
      <c r="P86" s="368"/>
      <c r="Q86" s="2"/>
      <c r="R86" s="2"/>
      <c r="S86" s="2"/>
      <c r="T86" s="2"/>
      <c r="U86" s="2"/>
      <c r="V86" s="2"/>
      <c r="W86" s="2"/>
      <c r="X86" s="2"/>
      <c r="Y86" s="2"/>
    </row>
    <row r="87" spans="1:25" x14ac:dyDescent="0.25">
      <c r="A87" s="2"/>
      <c r="B87" s="17">
        <f t="shared" si="6"/>
        <v>8</v>
      </c>
      <c r="C87" s="34" t="str">
        <f>PS!B50</f>
        <v>N_proben</v>
      </c>
      <c r="D87" s="35"/>
      <c r="E87" s="68">
        <f ca="1">PS!C50</f>
        <v>0.45851736118673475</v>
      </c>
      <c r="F87" s="36"/>
      <c r="G87" s="37"/>
      <c r="H87" s="38"/>
      <c r="I87" s="36">
        <v>1</v>
      </c>
      <c r="J87" s="366" t="str">
        <f ca="1">TEXT("[percent] Weight percent of C4+ VOC that is ","")&amp;INDIRECT("'Species Data'!D"&amp;MATCH('Data Summary'!C87,'Species Data'!E:E,0))</f>
        <v>[percent] Weight percent of C4+ VOC that is N-propylbenzene</v>
      </c>
      <c r="K87" s="367"/>
      <c r="L87" s="367"/>
      <c r="M87" s="367"/>
      <c r="N87" s="367"/>
      <c r="O87" s="367"/>
      <c r="P87" s="368"/>
      <c r="Q87" s="2"/>
      <c r="R87" s="2"/>
      <c r="S87" s="2"/>
      <c r="T87" s="2"/>
      <c r="U87" s="2"/>
      <c r="V87" s="2"/>
      <c r="W87" s="2"/>
      <c r="X87" s="2"/>
      <c r="Y87" s="2"/>
    </row>
    <row r="88" spans="1:25" x14ac:dyDescent="0.25">
      <c r="A88" s="2"/>
      <c r="B88" s="17">
        <f t="shared" si="6"/>
        <v>5</v>
      </c>
      <c r="C88" s="34" t="str">
        <f>PS!B51</f>
        <v>N_und</v>
      </c>
      <c r="D88" s="35"/>
      <c r="E88" s="68">
        <f ca="1">PS!C51</f>
        <v>0.11451471095638699</v>
      </c>
      <c r="F88" s="36"/>
      <c r="G88" s="37"/>
      <c r="H88" s="38"/>
      <c r="I88" s="36">
        <v>1</v>
      </c>
      <c r="J88" s="366" t="str">
        <f ca="1">TEXT("[percent] Weight percent of C4+ VOC that is ","")&amp;INDIRECT("'Species Data'!D"&amp;MATCH('Data Summary'!C88,'Species Data'!E:E,0))</f>
        <v>[percent] Weight percent of C4+ VOC that is N-undecane</v>
      </c>
      <c r="K88" s="367"/>
      <c r="L88" s="367"/>
      <c r="M88" s="367"/>
      <c r="N88" s="367"/>
      <c r="O88" s="367"/>
      <c r="P88" s="368"/>
      <c r="Q88" s="2"/>
      <c r="R88" s="2"/>
      <c r="S88" s="2"/>
      <c r="T88" s="2"/>
      <c r="U88" s="2"/>
      <c r="V88" s="2"/>
      <c r="W88" s="2"/>
      <c r="X88" s="2"/>
      <c r="Y88" s="2"/>
    </row>
    <row r="89" spans="1:25" x14ac:dyDescent="0.25">
      <c r="A89" s="2"/>
      <c r="B89" s="17">
        <f t="shared" si="6"/>
        <v>8</v>
      </c>
      <c r="C89" s="34" t="str">
        <f>PS!B52</f>
        <v>O_xylene</v>
      </c>
      <c r="D89" s="35"/>
      <c r="E89" s="68">
        <f ca="1">PS!C52</f>
        <v>0.31901345404567066</v>
      </c>
      <c r="F89" s="36"/>
      <c r="G89" s="37"/>
      <c r="H89" s="38"/>
      <c r="I89" s="36">
        <v>1</v>
      </c>
      <c r="J89" s="366" t="str">
        <f ca="1">TEXT("[percent] Weight percent of C4+ VOC that is ","")&amp;INDIRECT("'Species Data'!D"&amp;MATCH('Data Summary'!C89,'Species Data'!E:E,0))</f>
        <v>[percent] Weight percent of C4+ VOC that is O-xylene</v>
      </c>
      <c r="K89" s="367"/>
      <c r="L89" s="367"/>
      <c r="M89" s="367"/>
      <c r="N89" s="367"/>
      <c r="O89" s="367"/>
      <c r="P89" s="368"/>
      <c r="Q89" s="2"/>
      <c r="R89" s="2"/>
      <c r="S89" s="2"/>
      <c r="T89" s="2"/>
      <c r="U89" s="2"/>
      <c r="V89" s="2"/>
      <c r="W89" s="2"/>
      <c r="X89" s="2"/>
      <c r="Y89" s="2"/>
    </row>
    <row r="90" spans="1:25" x14ac:dyDescent="0.25">
      <c r="A90" s="2"/>
      <c r="B90" s="17">
        <f t="shared" si="6"/>
        <v>8</v>
      </c>
      <c r="C90" s="34" t="str">
        <f>PS!B53</f>
        <v>P_xylene</v>
      </c>
      <c r="D90" s="35"/>
      <c r="E90" s="68">
        <f ca="1">PS!C53</f>
        <v>0.31672086723973697</v>
      </c>
      <c r="F90" s="36"/>
      <c r="G90" s="37"/>
      <c r="H90" s="38"/>
      <c r="I90" s="36">
        <v>1</v>
      </c>
      <c r="J90" s="366" t="str">
        <f ca="1">TEXT("[percent] Weight percent of C4+ VOC that is ","")&amp;INDIRECT("'Species Data'!D"&amp;MATCH('Data Summary'!C90,'Species Data'!E:E,0))</f>
        <v>[percent] Weight percent of C4+ VOC that is P-xylene</v>
      </c>
      <c r="K90" s="367"/>
      <c r="L90" s="367"/>
      <c r="M90" s="367"/>
      <c r="N90" s="367"/>
      <c r="O90" s="367"/>
      <c r="P90" s="368"/>
      <c r="Q90" s="2"/>
      <c r="R90" s="2"/>
      <c r="S90" s="2"/>
      <c r="T90" s="2"/>
      <c r="U90" s="2"/>
      <c r="V90" s="2"/>
      <c r="W90" s="2"/>
      <c r="X90" s="2"/>
      <c r="Y90" s="2"/>
    </row>
    <row r="91" spans="1:25" x14ac:dyDescent="0.25">
      <c r="A91" s="2"/>
      <c r="B91" s="17">
        <f>LEN(C91)</f>
        <v>9</v>
      </c>
      <c r="C91" s="34" t="str">
        <f>PS!B54</f>
        <v>propylene</v>
      </c>
      <c r="D91" s="35"/>
      <c r="E91" s="68">
        <f ca="1">PS!C54</f>
        <v>0</v>
      </c>
      <c r="F91" s="36"/>
      <c r="G91" s="37"/>
      <c r="H91" s="38"/>
      <c r="I91" s="36">
        <v>1</v>
      </c>
      <c r="J91" s="366" t="str">
        <f ca="1">TEXT("[percent] Weight percent of C4+ VOC that is ","")&amp;INDIRECT("'Species Data'!D"&amp;MATCH('Data Summary'!C91,'Species Data'!E:E,0))</f>
        <v>[percent] Weight percent of C4+ VOC that is Propylene</v>
      </c>
      <c r="K91" s="367"/>
      <c r="L91" s="367"/>
      <c r="M91" s="367"/>
      <c r="N91" s="367"/>
      <c r="O91" s="367"/>
      <c r="P91" s="368"/>
      <c r="Q91" s="2"/>
      <c r="R91" s="2"/>
      <c r="S91" s="2"/>
      <c r="T91" s="2"/>
      <c r="U91" s="2"/>
      <c r="V91" s="2"/>
      <c r="W91" s="2"/>
      <c r="X91" s="2"/>
      <c r="Y91" s="2"/>
    </row>
    <row r="92" spans="1:25" x14ac:dyDescent="0.25">
      <c r="A92" s="2"/>
      <c r="B92" s="17">
        <f>LEN(C92)</f>
        <v>7</v>
      </c>
      <c r="C92" s="34" t="str">
        <f>PS!B55</f>
        <v>toluene</v>
      </c>
      <c r="D92" s="35"/>
      <c r="E92" s="68">
        <f ca="1">PS!C55</f>
        <v>0.56168376745374993</v>
      </c>
      <c r="F92" s="36"/>
      <c r="G92" s="37"/>
      <c r="H92" s="38"/>
      <c r="I92" s="36">
        <v>1</v>
      </c>
      <c r="J92" s="366" t="str">
        <f ca="1">TEXT("[percent] Weight percent of C4+ VOC that is ","")&amp;INDIRECT("'Species Data'!D"&amp;MATCH('Data Summary'!C92,'Species Data'!E:E,0))</f>
        <v>[percent] Weight percent of C4+ VOC that is Toluene</v>
      </c>
      <c r="K92" s="367"/>
      <c r="L92" s="367"/>
      <c r="M92" s="367"/>
      <c r="N92" s="367"/>
      <c r="O92" s="367"/>
      <c r="P92" s="368"/>
      <c r="Q92" s="2"/>
      <c r="R92" s="2"/>
      <c r="S92" s="2"/>
      <c r="T92" s="2"/>
      <c r="U92" s="2"/>
      <c r="V92" s="2"/>
      <c r="W92" s="2"/>
      <c r="X92" s="2"/>
      <c r="Y92" s="2"/>
    </row>
    <row r="93" spans="1:25" x14ac:dyDescent="0.25">
      <c r="A93" s="2"/>
      <c r="B93" s="17">
        <f t="shared" si="6"/>
        <v>6</v>
      </c>
      <c r="C93" s="34" t="str">
        <f>PS!B56</f>
        <v>betben</v>
      </c>
      <c r="D93" s="35"/>
      <c r="E93" s="68">
        <f ca="1">PS!C56</f>
        <v>0</v>
      </c>
      <c r="F93" s="36"/>
      <c r="G93" s="37"/>
      <c r="H93" s="38"/>
      <c r="I93" s="36">
        <v>1</v>
      </c>
      <c r="J93" s="366" t="str">
        <f ca="1">TEXT("[percent] Weight percent of C4+ VOC that is ","")&amp;INDIRECT("'Species Data'!D"&amp;MATCH('Data Summary'!C93,'Species Data'!E:E,0))</f>
        <v>[percent] Weight percent of C4+ VOC that is Butylbenzene</v>
      </c>
      <c r="K93" s="367"/>
      <c r="L93" s="367"/>
      <c r="M93" s="367"/>
      <c r="N93" s="367"/>
      <c r="O93" s="367"/>
      <c r="P93" s="368"/>
      <c r="Q93" s="2"/>
      <c r="R93" s="2"/>
      <c r="S93" s="2"/>
      <c r="T93" s="2"/>
      <c r="U93" s="2"/>
      <c r="V93" s="2"/>
      <c r="W93" s="2"/>
      <c r="X93" s="2"/>
      <c r="Y93" s="2"/>
    </row>
    <row r="94" spans="1:25" x14ac:dyDescent="0.25">
      <c r="A94" s="2"/>
      <c r="B94" s="17">
        <f t="shared" ref="B94:B97" si="12">LEN(C94)</f>
        <v>11</v>
      </c>
      <c r="C94" s="34" t="str">
        <f>PS!B57</f>
        <v>isompentane</v>
      </c>
      <c r="D94" s="35"/>
      <c r="E94" s="68">
        <f ca="1">PS!C57</f>
        <v>0</v>
      </c>
      <c r="F94" s="36"/>
      <c r="G94" s="37"/>
      <c r="H94" s="38"/>
      <c r="I94" s="36">
        <v>1</v>
      </c>
      <c r="J94" s="366" t="str">
        <f ca="1">TEXT("[percent] Weight percent of C4+ VOC that is ","")&amp;INDIRECT("'Species Data'!D"&amp;MATCH('Data Summary'!C94,'Species Data'!E:E,0))</f>
        <v>[percent] Weight percent of C4+ VOC that is Isomers of pentane</v>
      </c>
      <c r="K94" s="367"/>
      <c r="L94" s="367"/>
      <c r="M94" s="367"/>
      <c r="N94" s="367"/>
      <c r="O94" s="367"/>
      <c r="P94" s="368"/>
      <c r="Q94" s="2"/>
      <c r="R94" s="2"/>
      <c r="S94" s="2"/>
      <c r="T94" s="2"/>
      <c r="U94" s="2"/>
      <c r="V94" s="2"/>
      <c r="W94" s="2"/>
      <c r="X94" s="2"/>
      <c r="Y94" s="2"/>
    </row>
    <row r="95" spans="1:25" x14ac:dyDescent="0.25">
      <c r="A95" s="2"/>
      <c r="B95" s="17">
        <f t="shared" si="12"/>
        <v>9</v>
      </c>
      <c r="C95" s="34" t="str">
        <f>PS!B58</f>
        <v>undef_VOC</v>
      </c>
      <c r="D95" s="35"/>
      <c r="E95" s="68">
        <f ca="1">PS!C58</f>
        <v>53.845298534922392</v>
      </c>
      <c r="F95" s="36"/>
      <c r="G95" s="37"/>
      <c r="H95" s="38"/>
      <c r="I95" s="36">
        <v>1</v>
      </c>
      <c r="J95" s="366" t="str">
        <f ca="1">TEXT("[percent] Weight percent of C4+ VOC that is ","")&amp;INDIRECT("'Species Data'!D"&amp;MATCH('Data Summary'!C95,'Species Data'!E:E,0))</f>
        <v>[percent] Weight percent of C4+ VOC that is Undefined VOC</v>
      </c>
      <c r="K95" s="367"/>
      <c r="L95" s="367"/>
      <c r="M95" s="367"/>
      <c r="N95" s="367"/>
      <c r="O95" s="367"/>
      <c r="P95" s="368"/>
      <c r="Q95" s="2"/>
      <c r="R95" s="2"/>
      <c r="S95" s="2"/>
      <c r="T95" s="2"/>
      <c r="U95" s="2"/>
      <c r="V95" s="2"/>
      <c r="W95" s="2"/>
      <c r="X95" s="2"/>
      <c r="Y95" s="2"/>
    </row>
    <row r="96" spans="1:25" x14ac:dyDescent="0.25">
      <c r="A96" s="2"/>
      <c r="B96" s="17">
        <f t="shared" si="12"/>
        <v>9</v>
      </c>
      <c r="C96" s="34" t="str">
        <f>PS!B59</f>
        <v>i_hexanes</v>
      </c>
      <c r="D96" s="35"/>
      <c r="E96" s="68">
        <f ca="1">PS!C59</f>
        <v>0</v>
      </c>
      <c r="F96" s="36"/>
      <c r="G96" s="37"/>
      <c r="H96" s="38"/>
      <c r="I96" s="36">
        <v>1</v>
      </c>
      <c r="J96" s="366" t="str">
        <f ca="1">TEXT("[percent] Weight percent of C4+ VOC that is ","")&amp;INDIRECT("'Species Data'!D"&amp;MATCH('Data Summary'!C96,'Species Data'!E:E,0))</f>
        <v>[percent] Weight percent of C4+ VOC that is Isomers of hexane</v>
      </c>
      <c r="K96" s="367"/>
      <c r="L96" s="367"/>
      <c r="M96" s="367"/>
      <c r="N96" s="367"/>
      <c r="O96" s="367"/>
      <c r="P96" s="368"/>
      <c r="Q96" s="2"/>
      <c r="R96" s="2"/>
      <c r="S96" s="2"/>
      <c r="T96" s="2"/>
      <c r="U96" s="2"/>
      <c r="V96" s="2"/>
      <c r="W96" s="2"/>
      <c r="X96" s="2"/>
      <c r="Y96" s="2"/>
    </row>
    <row r="97" spans="1:25" x14ac:dyDescent="0.25">
      <c r="A97" s="2"/>
      <c r="B97" s="17">
        <f t="shared" si="12"/>
        <v>10</v>
      </c>
      <c r="C97" s="34" t="str">
        <f>PS!B60</f>
        <v>i_heptanes</v>
      </c>
      <c r="D97" s="35"/>
      <c r="E97" s="68">
        <f ca="1">PS!C60</f>
        <v>0</v>
      </c>
      <c r="F97" s="36"/>
      <c r="G97" s="37"/>
      <c r="H97" s="38"/>
      <c r="I97" s="36">
        <v>1</v>
      </c>
      <c r="J97" s="366" t="str">
        <f ca="1">TEXT("[percent] Weight percent of C4+ VOC that is ","")&amp;INDIRECT("'Species Data'!D"&amp;MATCH('Data Summary'!C97,'Species Data'!E:E,0))</f>
        <v>[percent] Weight percent of C4+ VOC that is Isomers of heptane</v>
      </c>
      <c r="K97" s="367"/>
      <c r="L97" s="367"/>
      <c r="M97" s="367"/>
      <c r="N97" s="367"/>
      <c r="O97" s="367"/>
      <c r="P97" s="368"/>
      <c r="Q97" s="2"/>
      <c r="R97" s="2"/>
      <c r="S97" s="2"/>
      <c r="T97" s="2"/>
      <c r="U97" s="2"/>
      <c r="V97" s="2"/>
      <c r="W97" s="2"/>
      <c r="X97" s="2"/>
      <c r="Y97" s="2"/>
    </row>
    <row r="98" spans="1:25" x14ac:dyDescent="0.25">
      <c r="A98" s="2"/>
      <c r="B98" s="17">
        <f t="shared" si="6"/>
        <v>15</v>
      </c>
      <c r="C98" s="34" t="str">
        <f>PS!B9 &amp; TEXT("_m","")</f>
        <v>trimethben123_m</v>
      </c>
      <c r="D98" s="35" t="str">
        <f t="shared" ref="D98:D129" si="13">$C$44&amp;"*"&amp;C46&amp;"/100"</f>
        <v>C4_plus_mass*trimethben123/100</v>
      </c>
      <c r="E98" s="205">
        <f t="shared" ref="E98:E129" ca="1" si="14">$E$44*E46/100</f>
        <v>0</v>
      </c>
      <c r="F98" s="36"/>
      <c r="G98" s="37"/>
      <c r="H98" s="38" t="s">
        <v>530</v>
      </c>
      <c r="I98" s="36">
        <v>1</v>
      </c>
      <c r="J98" s="366" t="str">
        <f ca="1">"[kg/kg] Mass of "&amp;INDIRECT("'Species Data'!D"&amp;MATCH('Data Summary'!C46,'Species Data'!E:E,0))&amp;" per mass of associated gas"</f>
        <v>[kg/kg] Mass of 1,2,3-trimethylbenzene per mass of associated gas</v>
      </c>
      <c r="K98" s="367"/>
      <c r="L98" s="367"/>
      <c r="M98" s="367"/>
      <c r="N98" s="367"/>
      <c r="O98" s="367"/>
      <c r="P98" s="368"/>
      <c r="Q98" s="2"/>
      <c r="R98" s="2"/>
      <c r="S98" s="2"/>
      <c r="T98" s="2"/>
      <c r="U98" s="2"/>
      <c r="V98" s="2"/>
      <c r="W98" s="2"/>
      <c r="X98" s="2"/>
      <c r="Y98" s="2"/>
    </row>
    <row r="99" spans="1:25" x14ac:dyDescent="0.25">
      <c r="A99" s="2"/>
      <c r="B99" s="17">
        <f t="shared" si="6"/>
        <v>14</v>
      </c>
      <c r="C99" s="34" t="str">
        <f>PS!B10 &amp; TEXT("_m","")</f>
        <v>trimetben124_m</v>
      </c>
      <c r="D99" s="35" t="str">
        <f t="shared" si="13"/>
        <v>C4_plus_mass*trimetben124/100</v>
      </c>
      <c r="E99" s="205">
        <f t="shared" ca="1" si="14"/>
        <v>2.6127702170990999E-4</v>
      </c>
      <c r="F99" s="36"/>
      <c r="G99" s="37"/>
      <c r="H99" s="38" t="s">
        <v>530</v>
      </c>
      <c r="I99" s="36">
        <v>1</v>
      </c>
      <c r="J99" s="366" t="str">
        <f ca="1">"[kg/kg] Mass of "&amp;INDIRECT("'Species Data'!D"&amp;MATCH('Data Summary'!C47,'Species Data'!E:E,0))&amp;" per mass of associated gas"</f>
        <v>[kg/kg] Mass of 1,2,4-trimethylbenzene  (1,3,4-trimethylbenzene) per mass of associated gas</v>
      </c>
      <c r="K99" s="367"/>
      <c r="L99" s="367"/>
      <c r="M99" s="367"/>
      <c r="N99" s="367"/>
      <c r="O99" s="367"/>
      <c r="P99" s="368"/>
      <c r="Q99" s="2"/>
      <c r="R99" s="2"/>
      <c r="S99" s="2"/>
      <c r="T99" s="2"/>
      <c r="U99" s="2"/>
      <c r="V99" s="2"/>
      <c r="W99" s="2"/>
      <c r="X99" s="2"/>
      <c r="Y99" s="2"/>
    </row>
    <row r="100" spans="1:25" x14ac:dyDescent="0.25">
      <c r="A100" s="2"/>
      <c r="B100" s="17">
        <f t="shared" si="6"/>
        <v>15</v>
      </c>
      <c r="C100" s="34" t="str">
        <f>PS!B11 &amp; TEXT("_m","")</f>
        <v>trimethben135_m</v>
      </c>
      <c r="D100" s="35" t="str">
        <f t="shared" si="13"/>
        <v>C4_plus_mass*trimethben135/100</v>
      </c>
      <c r="E100" s="205">
        <f t="shared" ca="1" si="14"/>
        <v>0</v>
      </c>
      <c r="F100" s="36"/>
      <c r="G100" s="37"/>
      <c r="H100" s="38" t="s">
        <v>530</v>
      </c>
      <c r="I100" s="36">
        <v>1</v>
      </c>
      <c r="J100" s="366" t="str">
        <f ca="1">"[kg/kg] Mass of "&amp;INDIRECT("'Species Data'!D"&amp;MATCH('Data Summary'!C48,'Species Data'!E:E,0))&amp;" per mass of associated gas"</f>
        <v>[kg/kg] Mass of 1,3,5-trimethylbenzene per mass of associated gas</v>
      </c>
      <c r="K100" s="367"/>
      <c r="L100" s="367"/>
      <c r="M100" s="367"/>
      <c r="N100" s="367"/>
      <c r="O100" s="367"/>
      <c r="P100" s="368"/>
      <c r="Q100" s="2"/>
      <c r="R100" s="2"/>
      <c r="S100" s="2"/>
      <c r="T100" s="2"/>
      <c r="U100" s="2"/>
      <c r="V100" s="2"/>
      <c r="W100" s="2"/>
      <c r="X100" s="2"/>
      <c r="Y100" s="2"/>
    </row>
    <row r="101" spans="1:25" x14ac:dyDescent="0.25">
      <c r="A101" s="2"/>
      <c r="B101" s="17">
        <f t="shared" si="6"/>
        <v>10</v>
      </c>
      <c r="C101" s="34" t="str">
        <f>PS!B12 &amp; TEXT("_m","")</f>
        <v>ethben12_m</v>
      </c>
      <c r="D101" s="35" t="str">
        <f t="shared" si="13"/>
        <v>C4_plus_mass*ethben12/100</v>
      </c>
      <c r="E101" s="205">
        <f t="shared" ca="1" si="14"/>
        <v>9.1997416071407627E-5</v>
      </c>
      <c r="F101" s="36"/>
      <c r="G101" s="37"/>
      <c r="H101" s="38" t="s">
        <v>530</v>
      </c>
      <c r="I101" s="36">
        <v>1</v>
      </c>
      <c r="J101" s="366" t="str">
        <f ca="1">"[kg/kg] Mass of "&amp;INDIRECT("'Species Data'!D"&amp;MATCH('Data Summary'!C49,'Species Data'!E:E,0))&amp;" per mass of associated gas"</f>
        <v>[kg/kg] Mass of 1-Methyl-2-ethylbenzene per mass of associated gas</v>
      </c>
      <c r="K101" s="367"/>
      <c r="L101" s="367"/>
      <c r="M101" s="367"/>
      <c r="N101" s="367"/>
      <c r="O101" s="367"/>
      <c r="P101" s="368"/>
      <c r="Q101" s="2"/>
      <c r="R101" s="2"/>
      <c r="S101" s="2"/>
      <c r="T101" s="2"/>
      <c r="U101" s="2"/>
      <c r="V101" s="2"/>
      <c r="W101" s="2"/>
      <c r="X101" s="2"/>
      <c r="Y101" s="2"/>
    </row>
    <row r="102" spans="1:25" x14ac:dyDescent="0.25">
      <c r="A102" s="2"/>
      <c r="B102" s="17">
        <f t="shared" si="6"/>
        <v>10</v>
      </c>
      <c r="C102" s="34" t="str">
        <f>PS!B13 &amp; TEXT("_m","")</f>
        <v>ethben13_m</v>
      </c>
      <c r="D102" s="35" t="str">
        <f t="shared" si="13"/>
        <v>C4_plus_mass*ethben13/100</v>
      </c>
      <c r="E102" s="205">
        <f t="shared" ca="1" si="14"/>
        <v>1.5799793198519588E-4</v>
      </c>
      <c r="F102" s="36"/>
      <c r="G102" s="37"/>
      <c r="H102" s="38" t="s">
        <v>530</v>
      </c>
      <c r="I102" s="36">
        <v>1</v>
      </c>
      <c r="J102" s="366" t="str">
        <f ca="1">"[kg/kg] Mass of "&amp;INDIRECT("'Species Data'!D"&amp;MATCH('Data Summary'!C50,'Species Data'!E:E,0))&amp;" per mass of associated gas"</f>
        <v>[kg/kg] Mass of 1-Methyl-3-ethylbenzene (3-Ethyltoluene) per mass of associated gas</v>
      </c>
      <c r="K102" s="367"/>
      <c r="L102" s="367"/>
      <c r="M102" s="367"/>
      <c r="N102" s="367"/>
      <c r="O102" s="367"/>
      <c r="P102" s="368"/>
      <c r="Q102" s="2"/>
      <c r="R102" s="2"/>
      <c r="S102" s="2"/>
      <c r="T102" s="2"/>
      <c r="U102" s="2"/>
      <c r="V102" s="2"/>
      <c r="W102" s="2"/>
      <c r="X102" s="2"/>
      <c r="Y102" s="2"/>
    </row>
    <row r="103" spans="1:25" x14ac:dyDescent="0.25">
      <c r="A103" s="2"/>
      <c r="B103" s="17">
        <f t="shared" si="6"/>
        <v>12</v>
      </c>
      <c r="C103" s="34" t="str">
        <f>PS!B14 &amp; TEXT("_m","")</f>
        <v>trimetpen2_m</v>
      </c>
      <c r="D103" s="35" t="str">
        <f t="shared" si="13"/>
        <v>C4_plus_mass*trimetpen2/100</v>
      </c>
      <c r="E103" s="205">
        <f t="shared" ca="1" si="14"/>
        <v>0</v>
      </c>
      <c r="F103" s="36"/>
      <c r="G103" s="37"/>
      <c r="H103" s="38" t="s">
        <v>530</v>
      </c>
      <c r="I103" s="36">
        <v>1</v>
      </c>
      <c r="J103" s="366" t="str">
        <f ca="1">"[kg/kg] Mass of "&amp;INDIRECT("'Species Data'!D"&amp;MATCH('Data Summary'!C51,'Species Data'!E:E,0))&amp;" per mass of associated gas"</f>
        <v>[kg/kg] Mass of 2,2,4-trimethylpentane per mass of associated gas</v>
      </c>
      <c r="K103" s="367"/>
      <c r="L103" s="367"/>
      <c r="M103" s="367"/>
      <c r="N103" s="367"/>
      <c r="O103" s="367"/>
      <c r="P103" s="368"/>
      <c r="Q103" s="2"/>
      <c r="R103" s="2"/>
      <c r="S103" s="2"/>
      <c r="T103" s="2"/>
      <c r="U103" s="2"/>
      <c r="V103" s="2"/>
      <c r="W103" s="2"/>
      <c r="X103" s="2"/>
      <c r="Y103" s="2"/>
    </row>
    <row r="104" spans="1:25" x14ac:dyDescent="0.25">
      <c r="A104" s="2"/>
      <c r="B104" s="17">
        <f t="shared" si="6"/>
        <v>12</v>
      </c>
      <c r="C104" s="34" t="str">
        <f>PS!B15 &amp; TEXT("_m","")</f>
        <v>dimetbut22_m</v>
      </c>
      <c r="D104" s="35" t="str">
        <f t="shared" si="13"/>
        <v>C4_plus_mass*dimetbut22/100</v>
      </c>
      <c r="E104" s="205">
        <f t="shared" ca="1" si="14"/>
        <v>1.3636109893996553E-4</v>
      </c>
      <c r="F104" s="36"/>
      <c r="G104" s="37"/>
      <c r="H104" s="38" t="s">
        <v>530</v>
      </c>
      <c r="I104" s="36">
        <v>1</v>
      </c>
      <c r="J104" s="366" t="str">
        <f ca="1">"[kg/kg] Mass of "&amp;INDIRECT("'Species Data'!D"&amp;MATCH('Data Summary'!C52,'Species Data'!E:E,0))&amp;" per mass of associated gas"</f>
        <v>[kg/kg] Mass of 2,2-dimethylbutane per mass of associated gas</v>
      </c>
      <c r="K104" s="367"/>
      <c r="L104" s="367"/>
      <c r="M104" s="367"/>
      <c r="N104" s="367"/>
      <c r="O104" s="367"/>
      <c r="P104" s="368"/>
      <c r="Q104" s="2"/>
      <c r="R104" s="2"/>
      <c r="S104" s="2"/>
      <c r="T104" s="2"/>
      <c r="U104" s="2"/>
      <c r="V104" s="2"/>
      <c r="W104" s="2"/>
      <c r="X104" s="2"/>
      <c r="Y104" s="2"/>
    </row>
    <row r="105" spans="1:25" x14ac:dyDescent="0.25">
      <c r="A105" s="2"/>
      <c r="B105" s="17">
        <f t="shared" si="6"/>
        <v>11</v>
      </c>
      <c r="C105" s="34" t="str">
        <f>PS!B16 &amp; TEXT("_m","")</f>
        <v>dimethpro_m</v>
      </c>
      <c r="D105" s="35" t="str">
        <f t="shared" si="13"/>
        <v>C4_plus_mass*dimethpro/100</v>
      </c>
      <c r="E105" s="205">
        <f t="shared" ca="1" si="14"/>
        <v>1.1254423233854071E-4</v>
      </c>
      <c r="F105" s="36"/>
      <c r="G105" s="37"/>
      <c r="H105" s="38" t="s">
        <v>530</v>
      </c>
      <c r="I105" s="36">
        <v>1</v>
      </c>
      <c r="J105" s="366" t="str">
        <f ca="1">"[kg/kg] Mass of "&amp;INDIRECT("'Species Data'!D"&amp;MATCH('Data Summary'!C53,'Species Data'!E:E,0))&amp;" per mass of associated gas"</f>
        <v>[kg/kg] Mass of 2,2-dimethylpropane per mass of associated gas</v>
      </c>
      <c r="K105" s="367"/>
      <c r="L105" s="367"/>
      <c r="M105" s="367"/>
      <c r="N105" s="367"/>
      <c r="O105" s="367"/>
      <c r="P105" s="368"/>
      <c r="Q105" s="2"/>
      <c r="R105" s="2"/>
      <c r="S105" s="2"/>
      <c r="T105" s="2"/>
      <c r="U105" s="2"/>
      <c r="V105" s="2"/>
      <c r="W105" s="2"/>
      <c r="X105" s="2"/>
      <c r="Y105" s="2"/>
    </row>
    <row r="106" spans="1:25" x14ac:dyDescent="0.25">
      <c r="A106" s="2"/>
      <c r="B106" s="17">
        <f t="shared" si="6"/>
        <v>13</v>
      </c>
      <c r="C106" s="34" t="str">
        <f>PS!B17 &amp; TEXT("_m","")</f>
        <v>trimentpen3_m</v>
      </c>
      <c r="D106" s="35" t="str">
        <f t="shared" si="13"/>
        <v>C4_plus_mass*trimentpen3/100</v>
      </c>
      <c r="E106" s="205">
        <f t="shared" ca="1" si="14"/>
        <v>1.9974557458632042E-4</v>
      </c>
      <c r="F106" s="36"/>
      <c r="G106" s="37"/>
      <c r="H106" s="38" t="s">
        <v>530</v>
      </c>
      <c r="I106" s="36">
        <v>1</v>
      </c>
      <c r="J106" s="366" t="str">
        <f ca="1">"[kg/kg] Mass of "&amp;INDIRECT("'Species Data'!D"&amp;MATCH('Data Summary'!C54,'Species Data'!E:E,0))&amp;" per mass of associated gas"</f>
        <v>[kg/kg] Mass of 2,3,4-trimethylpentane per mass of associated gas</v>
      </c>
      <c r="K106" s="367"/>
      <c r="L106" s="367"/>
      <c r="M106" s="367"/>
      <c r="N106" s="367"/>
      <c r="O106" s="367"/>
      <c r="P106" s="368"/>
      <c r="Q106" s="2"/>
      <c r="R106" s="2"/>
      <c r="S106" s="2"/>
      <c r="T106" s="2"/>
      <c r="U106" s="2"/>
      <c r="V106" s="2"/>
      <c r="W106" s="2"/>
      <c r="X106" s="2"/>
      <c r="Y106" s="2"/>
    </row>
    <row r="107" spans="1:25" x14ac:dyDescent="0.25">
      <c r="A107" s="2"/>
      <c r="B107" s="17">
        <f t="shared" si="6"/>
        <v>10</v>
      </c>
      <c r="C107" s="34" t="str">
        <f>PS!B18 &amp; TEXT("_m","")</f>
        <v>dimetbut_m</v>
      </c>
      <c r="D107" s="35" t="str">
        <f>$C$44&amp;"*"&amp;C55&amp;"/100"</f>
        <v>C4_plus_mass*dimetbut/100</v>
      </c>
      <c r="E107" s="205">
        <f t="shared" ca="1" si="14"/>
        <v>0</v>
      </c>
      <c r="F107" s="36"/>
      <c r="G107" s="37"/>
      <c r="H107" s="38" t="s">
        <v>530</v>
      </c>
      <c r="I107" s="36">
        <v>1</v>
      </c>
      <c r="J107" s="366" t="str">
        <f ca="1">"[kg/kg] Mass of "&amp;INDIRECT("'Species Data'!D"&amp;MATCH('Data Summary'!C55,'Species Data'!E:E,0))&amp;" per mass of associated gas"</f>
        <v>[kg/kg] Mass of 2,3-dimethylbutane per mass of associated gas</v>
      </c>
      <c r="K107" s="367"/>
      <c r="L107" s="367"/>
      <c r="M107" s="367"/>
      <c r="N107" s="367"/>
      <c r="O107" s="367"/>
      <c r="P107" s="368"/>
      <c r="Q107" s="2"/>
      <c r="R107" s="2"/>
      <c r="S107" s="2"/>
      <c r="T107" s="2"/>
      <c r="U107" s="2"/>
      <c r="V107" s="2"/>
      <c r="W107" s="2"/>
      <c r="X107" s="2"/>
      <c r="Y107" s="2"/>
    </row>
    <row r="108" spans="1:25" x14ac:dyDescent="0.25">
      <c r="A108" s="2"/>
      <c r="B108" s="17">
        <f t="shared" si="6"/>
        <v>13</v>
      </c>
      <c r="C108" s="34" t="str">
        <f>PS!B19 &amp; TEXT("_m","")</f>
        <v>dimethhex23_m</v>
      </c>
      <c r="D108" s="35" t="str">
        <f t="shared" si="13"/>
        <v>C4_plus_mass*dimethhex23/100</v>
      </c>
      <c r="E108" s="205">
        <f t="shared" ca="1" si="14"/>
        <v>1.0889267613191496E-4</v>
      </c>
      <c r="F108" s="36"/>
      <c r="G108" s="37"/>
      <c r="H108" s="38" t="s">
        <v>530</v>
      </c>
      <c r="I108" s="36">
        <v>1</v>
      </c>
      <c r="J108" s="366" t="str">
        <f ca="1">"[kg/kg] Mass of "&amp;INDIRECT("'Species Data'!D"&amp;MATCH('Data Summary'!C56,'Species Data'!E:E,0))&amp;" per mass of associated gas"</f>
        <v>[kg/kg] Mass of 2,3-dimethylhexane per mass of associated gas</v>
      </c>
      <c r="K108" s="367"/>
      <c r="L108" s="367"/>
      <c r="M108" s="367"/>
      <c r="N108" s="367"/>
      <c r="O108" s="367"/>
      <c r="P108" s="368"/>
      <c r="Q108" s="2"/>
      <c r="R108" s="2"/>
      <c r="S108" s="2"/>
      <c r="T108" s="2"/>
      <c r="U108" s="2"/>
      <c r="V108" s="2"/>
      <c r="W108" s="2"/>
      <c r="X108" s="2"/>
      <c r="Y108" s="2"/>
    </row>
    <row r="109" spans="1:25" x14ac:dyDescent="0.25">
      <c r="A109" s="2"/>
      <c r="B109" s="17">
        <f t="shared" si="6"/>
        <v>11</v>
      </c>
      <c r="C109" s="34" t="str">
        <f>PS!B20 &amp; TEXT("_m","")</f>
        <v>dimetpen3_m</v>
      </c>
      <c r="D109" s="35" t="str">
        <f t="shared" si="13"/>
        <v>C4_plus_mass*dimetpen3/100</v>
      </c>
      <c r="E109" s="205">
        <f t="shared" ca="1" si="14"/>
        <v>5.1715846036823863E-4</v>
      </c>
      <c r="F109" s="36"/>
      <c r="G109" s="37"/>
      <c r="H109" s="38" t="s">
        <v>530</v>
      </c>
      <c r="I109" s="36">
        <v>1</v>
      </c>
      <c r="J109" s="366" t="str">
        <f ca="1">"[kg/kg] Mass of "&amp;INDIRECT("'Species Data'!D"&amp;MATCH('Data Summary'!C57,'Species Data'!E:E,0))&amp;" per mass of associated gas"</f>
        <v>[kg/kg] Mass of 2,3-dimethylpentane per mass of associated gas</v>
      </c>
      <c r="K109" s="367"/>
      <c r="L109" s="367"/>
      <c r="M109" s="367"/>
      <c r="N109" s="367"/>
      <c r="O109" s="367"/>
      <c r="P109" s="368"/>
      <c r="Q109" s="2"/>
      <c r="R109" s="2"/>
      <c r="S109" s="2"/>
      <c r="T109" s="2"/>
      <c r="U109" s="2"/>
      <c r="V109" s="2"/>
      <c r="W109" s="2"/>
      <c r="X109" s="2"/>
      <c r="Y109" s="2"/>
    </row>
    <row r="110" spans="1:25" x14ac:dyDescent="0.25">
      <c r="A110" s="2"/>
      <c r="B110" s="17">
        <f t="shared" si="6"/>
        <v>13</v>
      </c>
      <c r="C110" s="34" t="str">
        <f>PS!B21 &amp; TEXT("_m","")</f>
        <v>dimethhex24_m</v>
      </c>
      <c r="D110" s="35" t="str">
        <f t="shared" si="13"/>
        <v>C4_plus_mass*dimethhex24/100</v>
      </c>
      <c r="E110" s="205">
        <f t="shared" ca="1" si="14"/>
        <v>1.2998450078809665E-4</v>
      </c>
      <c r="F110" s="36"/>
      <c r="G110" s="37"/>
      <c r="H110" s="38" t="s">
        <v>530</v>
      </c>
      <c r="I110" s="36">
        <v>1</v>
      </c>
      <c r="J110" s="366" t="str">
        <f ca="1">"[kg/kg] Mass of "&amp;INDIRECT("'Species Data'!D"&amp;MATCH('Data Summary'!C58,'Species Data'!E:E,0))&amp;" per mass of associated gas"</f>
        <v>[kg/kg] Mass of 2,4-dimethylhexane per mass of associated gas</v>
      </c>
      <c r="K110" s="367"/>
      <c r="L110" s="367"/>
      <c r="M110" s="367"/>
      <c r="N110" s="367"/>
      <c r="O110" s="367"/>
      <c r="P110" s="368"/>
      <c r="Q110" s="2"/>
      <c r="R110" s="2"/>
      <c r="S110" s="2"/>
      <c r="T110" s="2"/>
      <c r="U110" s="2"/>
      <c r="V110" s="2"/>
      <c r="W110" s="2"/>
      <c r="X110" s="2"/>
      <c r="Y110" s="2"/>
    </row>
    <row r="111" spans="1:25" x14ac:dyDescent="0.25">
      <c r="A111" s="2"/>
      <c r="B111" s="17">
        <f t="shared" si="6"/>
        <v>11</v>
      </c>
      <c r="C111" s="34" t="str">
        <f>PS!B22 &amp; TEXT("_m","")</f>
        <v>dimetpen4_m</v>
      </c>
      <c r="D111" s="35" t="str">
        <f t="shared" si="13"/>
        <v>C4_plus_mass*dimetpen4/100</v>
      </c>
      <c r="E111" s="205">
        <f t="shared" ca="1" si="14"/>
        <v>1.2807697142642647E-4</v>
      </c>
      <c r="F111" s="36"/>
      <c r="G111" s="37"/>
      <c r="H111" s="38" t="s">
        <v>530</v>
      </c>
      <c r="I111" s="36">
        <v>1</v>
      </c>
      <c r="J111" s="366" t="str">
        <f ca="1">"[kg/kg] Mass of "&amp;INDIRECT("'Species Data'!D"&amp;MATCH('Data Summary'!C59,'Species Data'!E:E,0))&amp;" per mass of associated gas"</f>
        <v>[kg/kg] Mass of 2,4-dimethylpentane per mass of associated gas</v>
      </c>
      <c r="K111" s="367"/>
      <c r="L111" s="367"/>
      <c r="M111" s="367"/>
      <c r="N111" s="367"/>
      <c r="O111" s="367"/>
      <c r="P111" s="368"/>
      <c r="Q111" s="2"/>
      <c r="R111" s="2"/>
      <c r="S111" s="2"/>
      <c r="T111" s="2"/>
      <c r="U111" s="2"/>
      <c r="V111" s="2"/>
      <c r="W111" s="2"/>
      <c r="X111" s="2"/>
      <c r="Y111" s="2"/>
    </row>
    <row r="112" spans="1:25" x14ac:dyDescent="0.25">
      <c r="A112" s="2"/>
      <c r="B112" s="17">
        <f t="shared" si="6"/>
        <v>9</v>
      </c>
      <c r="C112" s="34" t="str">
        <f>PS!B23 &amp; TEXT("_m","")</f>
        <v>methep2_m</v>
      </c>
      <c r="D112" s="35" t="str">
        <f t="shared" si="13"/>
        <v>C4_plus_mass*methep2/100</v>
      </c>
      <c r="E112" s="205">
        <f t="shared" ca="1" si="14"/>
        <v>4.0603124984122443E-4</v>
      </c>
      <c r="F112" s="36"/>
      <c r="G112" s="37"/>
      <c r="H112" s="38" t="s">
        <v>530</v>
      </c>
      <c r="I112" s="36">
        <v>1</v>
      </c>
      <c r="J112" s="366" t="str">
        <f ca="1">"[kg/kg] Mass of "&amp;INDIRECT("'Species Data'!D"&amp;MATCH('Data Summary'!C60,'Species Data'!E:E,0))&amp;" per mass of associated gas"</f>
        <v>[kg/kg] Mass of 2-methylheptane per mass of associated gas</v>
      </c>
      <c r="K112" s="367"/>
      <c r="L112" s="367"/>
      <c r="M112" s="367"/>
      <c r="N112" s="367"/>
      <c r="O112" s="367"/>
      <c r="P112" s="368"/>
      <c r="Q112" s="2"/>
      <c r="R112" s="2"/>
      <c r="S112" s="2"/>
      <c r="T112" s="2"/>
      <c r="U112" s="2"/>
      <c r="V112" s="2"/>
      <c r="W112" s="2"/>
      <c r="X112" s="2"/>
      <c r="Y112" s="2"/>
    </row>
    <row r="113" spans="1:25" x14ac:dyDescent="0.25">
      <c r="A113" s="2"/>
      <c r="B113" s="17">
        <f t="shared" si="6"/>
        <v>11</v>
      </c>
      <c r="C113" s="34" t="str">
        <f>PS!B24 &amp; TEXT("_m","")</f>
        <v>twomethex_m</v>
      </c>
      <c r="D113" s="35" t="str">
        <f t="shared" si="13"/>
        <v>C4_plus_mass*twomethex/100</v>
      </c>
      <c r="E113" s="205">
        <f t="shared" ca="1" si="14"/>
        <v>3.5714399734356286E-4</v>
      </c>
      <c r="F113" s="36"/>
      <c r="G113" s="37"/>
      <c r="H113" s="38" t="s">
        <v>530</v>
      </c>
      <c r="I113" s="36">
        <v>1</v>
      </c>
      <c r="J113" s="366" t="str">
        <f ca="1">"[kg/kg] Mass of "&amp;INDIRECT("'Species Data'!D"&amp;MATCH('Data Summary'!C61,'Species Data'!E:E,0))&amp;" per mass of associated gas"</f>
        <v>[kg/kg] Mass of 2-methylhexane per mass of associated gas</v>
      </c>
      <c r="K113" s="367"/>
      <c r="L113" s="367"/>
      <c r="M113" s="367"/>
      <c r="N113" s="367"/>
      <c r="O113" s="367"/>
      <c r="P113" s="368"/>
      <c r="Q113" s="2"/>
      <c r="R113" s="2"/>
      <c r="S113" s="2"/>
      <c r="T113" s="2"/>
      <c r="U113" s="2"/>
      <c r="V113" s="2"/>
      <c r="W113" s="2"/>
      <c r="X113" s="2"/>
      <c r="Y113" s="2"/>
    </row>
    <row r="114" spans="1:25" x14ac:dyDescent="0.25">
      <c r="A114" s="2"/>
      <c r="B114" s="17">
        <f t="shared" si="6"/>
        <v>11</v>
      </c>
      <c r="C114" s="34" t="str">
        <f>PS!B25 &amp; TEXT("_m","")</f>
        <v>twometpen_m</v>
      </c>
      <c r="D114" s="35" t="str">
        <f t="shared" si="13"/>
        <v>C4_plus_mass*twometpen/100</v>
      </c>
      <c r="E114" s="205">
        <f t="shared" ca="1" si="14"/>
        <v>1.1596143493787557E-3</v>
      </c>
      <c r="F114" s="36"/>
      <c r="G114" s="37"/>
      <c r="H114" s="38" t="s">
        <v>530</v>
      </c>
      <c r="I114" s="36">
        <v>1</v>
      </c>
      <c r="J114" s="366" t="str">
        <f ca="1">"[kg/kg] Mass of "&amp;INDIRECT("'Species Data'!D"&amp;MATCH('Data Summary'!C62,'Species Data'!E:E,0))&amp;" per mass of associated gas"</f>
        <v>[kg/kg] Mass of 2-methylpentane (isohexane) per mass of associated gas</v>
      </c>
      <c r="K114" s="367"/>
      <c r="L114" s="367"/>
      <c r="M114" s="367"/>
      <c r="N114" s="367"/>
      <c r="O114" s="367"/>
      <c r="P114" s="368"/>
      <c r="Q114" s="2"/>
      <c r="R114" s="2"/>
      <c r="S114" s="2"/>
      <c r="T114" s="2"/>
      <c r="U114" s="2"/>
      <c r="V114" s="2"/>
      <c r="W114" s="2"/>
      <c r="X114" s="2"/>
      <c r="Y114" s="2"/>
    </row>
    <row r="115" spans="1:25" x14ac:dyDescent="0.25">
      <c r="A115" s="2"/>
      <c r="B115" s="17">
        <f t="shared" si="6"/>
        <v>9</v>
      </c>
      <c r="C115" s="34" t="str">
        <f>PS!B26 &amp; TEXT("_m","")</f>
        <v>methep3_m</v>
      </c>
      <c r="D115" s="35" t="str">
        <f t="shared" si="13"/>
        <v>C4_plus_mass*methep3/100</v>
      </c>
      <c r="E115" s="205">
        <f t="shared" ca="1" si="14"/>
        <v>0</v>
      </c>
      <c r="F115" s="36"/>
      <c r="G115" s="37"/>
      <c r="H115" s="38" t="s">
        <v>530</v>
      </c>
      <c r="I115" s="36">
        <v>1</v>
      </c>
      <c r="J115" s="366" t="str">
        <f ca="1">"[kg/kg] Mass of "&amp;INDIRECT("'Species Data'!D"&amp;MATCH('Data Summary'!C63,'Species Data'!E:E,0))&amp;" per mass of associated gas"</f>
        <v>[kg/kg] Mass of 3-methylheptane per mass of associated gas</v>
      </c>
      <c r="K115" s="367"/>
      <c r="L115" s="367"/>
      <c r="M115" s="367"/>
      <c r="N115" s="367"/>
      <c r="O115" s="367"/>
      <c r="P115" s="368"/>
      <c r="Q115" s="2"/>
      <c r="R115" s="2"/>
      <c r="S115" s="2"/>
      <c r="T115" s="2"/>
      <c r="U115" s="2"/>
      <c r="V115" s="2"/>
      <c r="W115" s="2"/>
      <c r="X115" s="2"/>
      <c r="Y115" s="2"/>
    </row>
    <row r="116" spans="1:25" x14ac:dyDescent="0.25">
      <c r="A116" s="2"/>
      <c r="B116" s="17">
        <f t="shared" si="6"/>
        <v>13</v>
      </c>
      <c r="C116" s="34" t="str">
        <f>PS!B27 &amp; TEXT("_m","")</f>
        <v>threemethex_m</v>
      </c>
      <c r="D116" s="35" t="str">
        <f t="shared" si="13"/>
        <v>C4_plus_mass*threemethex/100</v>
      </c>
      <c r="E116" s="205">
        <f t="shared" ca="1" si="14"/>
        <v>5.0740281020426837E-4</v>
      </c>
      <c r="F116" s="36"/>
      <c r="G116" s="37"/>
      <c r="H116" s="38" t="s">
        <v>530</v>
      </c>
      <c r="I116" s="36">
        <v>1</v>
      </c>
      <c r="J116" s="366" t="str">
        <f ca="1">"[kg/kg] Mass of "&amp;INDIRECT("'Species Data'!D"&amp;MATCH('Data Summary'!C64,'Species Data'!E:E,0))&amp;" per mass of associated gas"</f>
        <v>[kg/kg] Mass of 3-methylhexane per mass of associated gas</v>
      </c>
      <c r="K116" s="367"/>
      <c r="L116" s="367"/>
      <c r="M116" s="367"/>
      <c r="N116" s="367"/>
      <c r="O116" s="367"/>
      <c r="P116" s="368"/>
      <c r="Q116" s="2"/>
      <c r="R116" s="2"/>
      <c r="S116" s="2"/>
      <c r="T116" s="2"/>
      <c r="U116" s="2"/>
      <c r="V116" s="2"/>
      <c r="W116" s="2"/>
      <c r="X116" s="2"/>
      <c r="Y116" s="2"/>
    </row>
    <row r="117" spans="1:25" x14ac:dyDescent="0.25">
      <c r="A117" s="2"/>
      <c r="B117" s="17">
        <f t="shared" si="6"/>
        <v>13</v>
      </c>
      <c r="C117" s="34" t="str">
        <f>PS!B28 &amp; TEXT("_m","")</f>
        <v>threemetpen_m</v>
      </c>
      <c r="D117" s="35" t="str">
        <f t="shared" si="13"/>
        <v>C4_plus_mass*threemetpen/100</v>
      </c>
      <c r="E117" s="205">
        <f t="shared" ca="1" si="14"/>
        <v>7.6971534785337081E-4</v>
      </c>
      <c r="F117" s="36"/>
      <c r="G117" s="37"/>
      <c r="H117" s="38" t="s">
        <v>530</v>
      </c>
      <c r="I117" s="36">
        <v>1</v>
      </c>
      <c r="J117" s="366" t="str">
        <f ca="1">"[kg/kg] Mass of "&amp;INDIRECT("'Species Data'!D"&amp;MATCH('Data Summary'!C65,'Species Data'!E:E,0))&amp;" per mass of associated gas"</f>
        <v>[kg/kg] Mass of 3-methylpentane per mass of associated gas</v>
      </c>
      <c r="K117" s="367"/>
      <c r="L117" s="367"/>
      <c r="M117" s="367"/>
      <c r="N117" s="367"/>
      <c r="O117" s="367"/>
      <c r="P117" s="368"/>
      <c r="Q117" s="2"/>
      <c r="R117" s="2"/>
      <c r="S117" s="2"/>
      <c r="T117" s="2"/>
      <c r="U117" s="2"/>
      <c r="V117" s="2"/>
      <c r="W117" s="2"/>
      <c r="X117" s="2"/>
      <c r="Y117" s="2"/>
    </row>
    <row r="118" spans="1:25" x14ac:dyDescent="0.25">
      <c r="A118" s="2"/>
      <c r="B118" s="17">
        <f t="shared" si="6"/>
        <v>9</v>
      </c>
      <c r="C118" s="34" t="str">
        <f>PS!B29 &amp; TEXT("_m","")</f>
        <v>benzene_m</v>
      </c>
      <c r="D118" s="35" t="str">
        <f t="shared" si="13"/>
        <v>C4_plus_mass*benzene/100</v>
      </c>
      <c r="E118" s="205">
        <f t="shared" ca="1" si="14"/>
        <v>1.4638925329846022E-4</v>
      </c>
      <c r="F118" s="36"/>
      <c r="G118" s="37"/>
      <c r="H118" s="38" t="s">
        <v>530</v>
      </c>
      <c r="I118" s="36">
        <v>1</v>
      </c>
      <c r="J118" s="366" t="str">
        <f ca="1">"[kg/kg] Mass of "&amp;INDIRECT("'Species Data'!D"&amp;MATCH('Data Summary'!C66,'Species Data'!E:E,0))&amp;" per mass of associated gas"</f>
        <v>[kg/kg] Mass of Benzene per mass of associated gas</v>
      </c>
      <c r="K118" s="367"/>
      <c r="L118" s="367"/>
      <c r="M118" s="367"/>
      <c r="N118" s="367"/>
      <c r="O118" s="367"/>
      <c r="P118" s="368"/>
      <c r="Q118" s="2"/>
      <c r="R118" s="2"/>
      <c r="S118" s="2"/>
      <c r="T118" s="2"/>
      <c r="U118" s="2"/>
      <c r="V118" s="2"/>
      <c r="W118" s="2"/>
      <c r="X118" s="2"/>
      <c r="Y118" s="2"/>
    </row>
    <row r="119" spans="1:25" x14ac:dyDescent="0.25">
      <c r="A119" s="2"/>
      <c r="B119" s="17">
        <f t="shared" si="6"/>
        <v>13</v>
      </c>
      <c r="C119" s="34" t="str">
        <f>PS!B30 &amp; TEXT("_m","")</f>
        <v>cyclohexane_m</v>
      </c>
      <c r="D119" s="35" t="str">
        <f t="shared" si="13"/>
        <v>C4_plus_mass*cyclohexane/100</v>
      </c>
      <c r="E119" s="205">
        <f t="shared" ca="1" si="14"/>
        <v>0</v>
      </c>
      <c r="F119" s="36"/>
      <c r="G119" s="37"/>
      <c r="H119" s="38" t="s">
        <v>530</v>
      </c>
      <c r="I119" s="36">
        <v>1</v>
      </c>
      <c r="J119" s="366" t="str">
        <f ca="1">"[kg/kg] Mass of "&amp;INDIRECT("'Species Data'!D"&amp;MATCH('Data Summary'!C67,'Species Data'!E:E,0))&amp;" per mass of associated gas"</f>
        <v>[kg/kg] Mass of Cyclohexane per mass of associated gas</v>
      </c>
      <c r="K119" s="367"/>
      <c r="L119" s="367"/>
      <c r="M119" s="367"/>
      <c r="N119" s="367"/>
      <c r="O119" s="367"/>
      <c r="P119" s="368"/>
      <c r="Q119" s="2"/>
      <c r="R119" s="2"/>
      <c r="S119" s="2"/>
      <c r="T119" s="2"/>
      <c r="U119" s="2"/>
      <c r="V119" s="2"/>
      <c r="W119" s="2"/>
      <c r="X119" s="2"/>
      <c r="Y119" s="2"/>
    </row>
    <row r="120" spans="1:25" x14ac:dyDescent="0.25">
      <c r="A120" s="2"/>
      <c r="B120" s="17">
        <f t="shared" si="6"/>
        <v>14</v>
      </c>
      <c r="C120" s="34" t="str">
        <f>PS!B31 &amp; TEXT("_m","")</f>
        <v>cyclopentane_m</v>
      </c>
      <c r="D120" s="35" t="str">
        <f t="shared" si="13"/>
        <v>C4_plus_mass*cyclopentane/100</v>
      </c>
      <c r="E120" s="205">
        <f t="shared" ca="1" si="14"/>
        <v>3.5845201747727954E-4</v>
      </c>
      <c r="F120" s="36"/>
      <c r="G120" s="37"/>
      <c r="H120" s="38" t="s">
        <v>530</v>
      </c>
      <c r="I120" s="36">
        <v>1</v>
      </c>
      <c r="J120" s="366" t="str">
        <f ca="1">"[kg/kg] Mass of "&amp;INDIRECT("'Species Data'!D"&amp;MATCH('Data Summary'!C68,'Species Data'!E:E,0))&amp;" per mass of associated gas"</f>
        <v>[kg/kg] Mass of Cyclopentane per mass of associated gas</v>
      </c>
      <c r="K120" s="367"/>
      <c r="L120" s="367"/>
      <c r="M120" s="367"/>
      <c r="N120" s="367"/>
      <c r="O120" s="367"/>
      <c r="P120" s="368"/>
      <c r="Q120" s="2"/>
      <c r="R120" s="2"/>
      <c r="S120" s="2"/>
      <c r="T120" s="2"/>
      <c r="U120" s="2"/>
      <c r="V120" s="2"/>
      <c r="W120" s="2"/>
      <c r="X120" s="2"/>
      <c r="Y120" s="2"/>
    </row>
    <row r="121" spans="1:25" x14ac:dyDescent="0.25">
      <c r="A121" s="2"/>
      <c r="B121" s="17">
        <f t="shared" si="6"/>
        <v>12</v>
      </c>
      <c r="C121" s="34" t="str">
        <f>PS!B32 &amp; TEXT("_m","")</f>
        <v>ethyl_benz_m</v>
      </c>
      <c r="D121" s="35" t="str">
        <f t="shared" si="13"/>
        <v>C4_plus_mass*ethyl_benz/100</v>
      </c>
      <c r="E121" s="205">
        <f t="shared" ca="1" si="14"/>
        <v>5.9498565832438201E-4</v>
      </c>
      <c r="F121" s="36"/>
      <c r="G121" s="37"/>
      <c r="H121" s="38" t="s">
        <v>530</v>
      </c>
      <c r="I121" s="36">
        <v>1</v>
      </c>
      <c r="J121" s="366" t="str">
        <f ca="1">"[kg/kg] Mass of "&amp;INDIRECT("'Species Data'!D"&amp;MATCH('Data Summary'!C69,'Species Data'!E:E,0))&amp;" per mass of associated gas"</f>
        <v>[kg/kg] Mass of Ethylbenzene per mass of associated gas</v>
      </c>
      <c r="K121" s="367"/>
      <c r="L121" s="367"/>
      <c r="M121" s="367"/>
      <c r="N121" s="367"/>
      <c r="O121" s="367"/>
      <c r="P121" s="368"/>
      <c r="Q121" s="2"/>
      <c r="R121" s="2"/>
      <c r="S121" s="2"/>
      <c r="T121" s="2"/>
      <c r="U121" s="2"/>
      <c r="V121" s="2"/>
      <c r="W121" s="2"/>
      <c r="X121" s="2"/>
      <c r="Y121" s="2"/>
    </row>
    <row r="122" spans="1:25" x14ac:dyDescent="0.25">
      <c r="A122" s="2"/>
      <c r="B122" s="17">
        <f t="shared" si="6"/>
        <v>12</v>
      </c>
      <c r="C122" s="34" t="str">
        <f>PS!B33 &amp; TEXT("_m","")</f>
        <v>ethcyclhex_m</v>
      </c>
      <c r="D122" s="35" t="str">
        <f t="shared" si="13"/>
        <v>C4_plus_mass*ethcyclhex/100</v>
      </c>
      <c r="E122" s="205">
        <f t="shared" ca="1" si="14"/>
        <v>0</v>
      </c>
      <c r="F122" s="36"/>
      <c r="G122" s="37"/>
      <c r="H122" s="38" t="s">
        <v>530</v>
      </c>
      <c r="I122" s="36">
        <v>1</v>
      </c>
      <c r="J122" s="366" t="str">
        <f ca="1">"[kg/kg] Mass of "&amp;INDIRECT("'Species Data'!D"&amp;MATCH('Data Summary'!C70,'Species Data'!E:E,0))&amp;" per mass of associated gas"</f>
        <v>[kg/kg] Mass of Ethylcyclohexane per mass of associated gas</v>
      </c>
      <c r="K122" s="367"/>
      <c r="L122" s="367"/>
      <c r="M122" s="367"/>
      <c r="N122" s="367"/>
      <c r="O122" s="367"/>
      <c r="P122" s="368"/>
      <c r="Q122" s="2"/>
      <c r="R122" s="2"/>
      <c r="S122" s="2"/>
      <c r="T122" s="2"/>
      <c r="U122" s="2"/>
      <c r="V122" s="2"/>
      <c r="W122" s="2"/>
      <c r="X122" s="2"/>
      <c r="Y122" s="2"/>
    </row>
    <row r="123" spans="1:25" x14ac:dyDescent="0.25">
      <c r="A123" s="2"/>
      <c r="B123" s="17">
        <f t="shared" si="6"/>
        <v>8</v>
      </c>
      <c r="C123" s="34" t="str">
        <f>PS!B34 &amp; TEXT("_m","")</f>
        <v>isobut_m</v>
      </c>
      <c r="D123" s="35" t="str">
        <f t="shared" si="13"/>
        <v>C4_plus_mass*isobut/100</v>
      </c>
      <c r="E123" s="205">
        <f t="shared" ca="1" si="14"/>
        <v>1.1502947059260245E-3</v>
      </c>
      <c r="F123" s="36"/>
      <c r="G123" s="37"/>
      <c r="H123" s="38" t="s">
        <v>530</v>
      </c>
      <c r="I123" s="36">
        <v>1</v>
      </c>
      <c r="J123" s="366" t="str">
        <f ca="1">"[kg/kg] Mass of "&amp;INDIRECT("'Species Data'!D"&amp;MATCH('Data Summary'!C71,'Species Data'!E:E,0))&amp;" per mass of associated gas"</f>
        <v>[kg/kg] Mass of Isobutane per mass of associated gas</v>
      </c>
      <c r="K123" s="367"/>
      <c r="L123" s="367"/>
      <c r="M123" s="367"/>
      <c r="N123" s="367"/>
      <c r="O123" s="367"/>
      <c r="P123" s="368"/>
      <c r="Q123" s="2"/>
      <c r="R123" s="2"/>
      <c r="S123" s="2"/>
      <c r="T123" s="2"/>
      <c r="U123" s="2"/>
      <c r="V123" s="2"/>
      <c r="W123" s="2"/>
      <c r="X123" s="2"/>
      <c r="Y123" s="2"/>
    </row>
    <row r="124" spans="1:25" x14ac:dyDescent="0.25">
      <c r="A124" s="2"/>
      <c r="B124" s="17">
        <f t="shared" si="6"/>
        <v>7</v>
      </c>
      <c r="C124" s="34" t="str">
        <f>PS!B35 &amp; TEXT("_m","")</f>
        <v>i_but_m</v>
      </c>
      <c r="D124" s="35" t="str">
        <f t="shared" si="13"/>
        <v>C4_plus_mass*i_but/100</v>
      </c>
      <c r="E124" s="205">
        <f t="shared" ca="1" si="14"/>
        <v>4.7851736558469137E-5</v>
      </c>
      <c r="F124" s="36"/>
      <c r="G124" s="37"/>
      <c r="H124" s="38" t="s">
        <v>530</v>
      </c>
      <c r="I124" s="36">
        <v>1</v>
      </c>
      <c r="J124" s="366" t="str">
        <f ca="1">"[kg/kg] Mass of "&amp;INDIRECT("'Species Data'!D"&amp;MATCH('Data Summary'!C72,'Species Data'!E:E,0))&amp;" per mass of associated gas"</f>
        <v>[kg/kg] Mass of Isomers of butylbenzene per mass of associated gas</v>
      </c>
      <c r="K124" s="367"/>
      <c r="L124" s="367"/>
      <c r="M124" s="367"/>
      <c r="N124" s="367"/>
      <c r="O124" s="367"/>
      <c r="P124" s="368"/>
      <c r="Q124" s="2"/>
      <c r="R124" s="2"/>
      <c r="S124" s="2"/>
      <c r="T124" s="2"/>
      <c r="U124" s="2"/>
      <c r="V124" s="2"/>
      <c r="W124" s="2"/>
      <c r="X124" s="2"/>
      <c r="Y124" s="2"/>
    </row>
    <row r="125" spans="1:25" x14ac:dyDescent="0.25">
      <c r="A125" s="2"/>
      <c r="B125" s="17">
        <f t="shared" si="6"/>
        <v>12</v>
      </c>
      <c r="C125" s="34" t="str">
        <f>PS!B36 &amp; TEXT("_m","")</f>
        <v>isopentane_m</v>
      </c>
      <c r="D125" s="35" t="str">
        <f t="shared" si="13"/>
        <v>C4_plus_mass*isopentane/100</v>
      </c>
      <c r="E125" s="205">
        <f t="shared" ca="1" si="14"/>
        <v>2.9327991431484517E-3</v>
      </c>
      <c r="F125" s="36"/>
      <c r="G125" s="37"/>
      <c r="H125" s="38" t="s">
        <v>530</v>
      </c>
      <c r="I125" s="36">
        <v>1</v>
      </c>
      <c r="J125" s="366" t="str">
        <f ca="1">"[kg/kg] Mass of "&amp;INDIRECT("'Species Data'!D"&amp;MATCH('Data Summary'!C73,'Species Data'!E:E,0))&amp;" per mass of associated gas"</f>
        <v>[kg/kg] Mass of Isopentane (2-Methylbutane) per mass of associated gas</v>
      </c>
      <c r="K125" s="367"/>
      <c r="L125" s="367"/>
      <c r="M125" s="367"/>
      <c r="N125" s="367"/>
      <c r="O125" s="367"/>
      <c r="P125" s="368"/>
      <c r="Q125" s="2"/>
      <c r="R125" s="2"/>
      <c r="S125" s="2"/>
      <c r="T125" s="2"/>
      <c r="U125" s="2"/>
      <c r="V125" s="2"/>
      <c r="W125" s="2"/>
      <c r="X125" s="2"/>
      <c r="Y125" s="2"/>
    </row>
    <row r="126" spans="1:25" x14ac:dyDescent="0.25">
      <c r="A126" s="2"/>
      <c r="B126" s="17">
        <f t="shared" si="6"/>
        <v>9</v>
      </c>
      <c r="C126" s="34" t="str">
        <f>PS!B37 &amp; TEXT("_m","")</f>
        <v>isopben_m</v>
      </c>
      <c r="D126" s="35" t="str">
        <f t="shared" si="13"/>
        <v>C4_plus_mass*isopben/100</v>
      </c>
      <c r="E126" s="205">
        <f t="shared" ca="1" si="14"/>
        <v>4.049412330631272E-5</v>
      </c>
      <c r="F126" s="36"/>
      <c r="G126" s="37"/>
      <c r="H126" s="38" t="s">
        <v>530</v>
      </c>
      <c r="I126" s="36">
        <v>1</v>
      </c>
      <c r="J126" s="366" t="str">
        <f ca="1">"[kg/kg] Mass of "&amp;INDIRECT("'Species Data'!D"&amp;MATCH('Data Summary'!C74,'Species Data'!E:E,0))&amp;" per mass of associated gas"</f>
        <v>[kg/kg] Mass of Isopropylbenzene (cumene) per mass of associated gas</v>
      </c>
      <c r="K126" s="367"/>
      <c r="L126" s="367"/>
      <c r="M126" s="367"/>
      <c r="N126" s="367"/>
      <c r="O126" s="367"/>
      <c r="P126" s="368"/>
      <c r="Q126" s="2"/>
      <c r="R126" s="2"/>
      <c r="S126" s="2"/>
      <c r="T126" s="2"/>
      <c r="U126" s="2"/>
      <c r="V126" s="2"/>
      <c r="W126" s="2"/>
      <c r="X126" s="2"/>
      <c r="Y126" s="2"/>
    </row>
    <row r="127" spans="1:25" x14ac:dyDescent="0.25">
      <c r="A127" s="2"/>
      <c r="B127" s="17">
        <f t="shared" si="6"/>
        <v>8</v>
      </c>
      <c r="C127" s="34" t="str">
        <f>PS!B38 &amp; TEXT("_m","")</f>
        <v>xylene_m</v>
      </c>
      <c r="D127" s="35" t="str">
        <f t="shared" si="13"/>
        <v>C4_plus_mass*xylene/100</v>
      </c>
      <c r="E127" s="205">
        <f t="shared" ca="1" si="14"/>
        <v>0</v>
      </c>
      <c r="F127" s="36"/>
      <c r="G127" s="37"/>
      <c r="H127" s="38" t="s">
        <v>530</v>
      </c>
      <c r="I127" s="36">
        <v>1</v>
      </c>
      <c r="J127" s="366" t="str">
        <f ca="1">"[kg/kg] Mass of "&amp;INDIRECT("'Species Data'!D"&amp;MATCH('Data Summary'!C75,'Species Data'!E:E,0))&amp;" per mass of associated gas"</f>
        <v>[kg/kg] Mass of M &amp; p-xylene per mass of associated gas</v>
      </c>
      <c r="K127" s="367"/>
      <c r="L127" s="367"/>
      <c r="M127" s="367"/>
      <c r="N127" s="367"/>
      <c r="O127" s="367"/>
      <c r="P127" s="368"/>
      <c r="Q127" s="2"/>
      <c r="R127" s="2"/>
      <c r="S127" s="2"/>
      <c r="T127" s="2"/>
      <c r="U127" s="2"/>
      <c r="V127" s="2"/>
      <c r="W127" s="2"/>
      <c r="X127" s="2"/>
      <c r="Y127" s="2"/>
    </row>
    <row r="128" spans="1:25" x14ac:dyDescent="0.25">
      <c r="A128" s="2"/>
      <c r="B128" s="17">
        <f t="shared" si="6"/>
        <v>10</v>
      </c>
      <c r="C128" s="34" t="str">
        <f>PS!B39 &amp; TEXT("_m","")</f>
        <v>M_xylene_m</v>
      </c>
      <c r="D128" s="35" t="str">
        <f t="shared" si="13"/>
        <v>C4_plus_mass*M_xylene/100</v>
      </c>
      <c r="E128" s="205">
        <f t="shared" ca="1" si="14"/>
        <v>2.5795247053671342E-4</v>
      </c>
      <c r="F128" s="36"/>
      <c r="G128" s="37"/>
      <c r="H128" s="38" t="s">
        <v>530</v>
      </c>
      <c r="I128" s="36">
        <v>1</v>
      </c>
      <c r="J128" s="366" t="str">
        <f ca="1">"[kg/kg] Mass of "&amp;INDIRECT("'Species Data'!D"&amp;MATCH('Data Summary'!C76,'Species Data'!E:E,0))&amp;" per mass of associated gas"</f>
        <v>[kg/kg] Mass of M-xylene per mass of associated gas</v>
      </c>
      <c r="K128" s="367"/>
      <c r="L128" s="367"/>
      <c r="M128" s="367"/>
      <c r="N128" s="367"/>
      <c r="O128" s="367"/>
      <c r="P128" s="368"/>
      <c r="Q128" s="2"/>
      <c r="R128" s="2"/>
      <c r="S128" s="2"/>
      <c r="T128" s="2"/>
      <c r="U128" s="2"/>
      <c r="V128" s="2"/>
      <c r="W128" s="2"/>
      <c r="X128" s="2"/>
      <c r="Y128" s="2"/>
    </row>
    <row r="129" spans="1:25" x14ac:dyDescent="0.25">
      <c r="A129" s="2"/>
      <c r="B129" s="17">
        <f t="shared" si="6"/>
        <v>12</v>
      </c>
      <c r="C129" s="34" t="str">
        <f>PS!B40 &amp; TEXT("_m","")</f>
        <v>methcychex_m</v>
      </c>
      <c r="D129" s="35" t="str">
        <f t="shared" si="13"/>
        <v>C4_plus_mass*methcychex/100</v>
      </c>
      <c r="E129" s="205">
        <f t="shared" ca="1" si="14"/>
        <v>2.5184837657936886E-4</v>
      </c>
      <c r="F129" s="36"/>
      <c r="G129" s="37"/>
      <c r="H129" s="38" t="s">
        <v>530</v>
      </c>
      <c r="I129" s="36">
        <v>1</v>
      </c>
      <c r="J129" s="366" t="str">
        <f ca="1">"[kg/kg] Mass of "&amp;INDIRECT("'Species Data'!D"&amp;MATCH('Data Summary'!C77,'Species Data'!E:E,0))&amp;" per mass of associated gas"</f>
        <v>[kg/kg] Mass of Methylcyclohexane per mass of associated gas</v>
      </c>
      <c r="K129" s="367"/>
      <c r="L129" s="367"/>
      <c r="M129" s="367"/>
      <c r="N129" s="367"/>
      <c r="O129" s="367"/>
      <c r="P129" s="368"/>
      <c r="Q129" s="2"/>
      <c r="R129" s="2"/>
      <c r="S129" s="2"/>
      <c r="T129" s="2"/>
      <c r="U129" s="2"/>
      <c r="V129" s="2"/>
      <c r="W129" s="2"/>
      <c r="X129" s="2"/>
      <c r="Y129" s="2"/>
    </row>
    <row r="130" spans="1:25" x14ac:dyDescent="0.25">
      <c r="A130" s="2"/>
      <c r="B130" s="17">
        <f t="shared" si="6"/>
        <v>12</v>
      </c>
      <c r="C130" s="34" t="str">
        <f>PS!B41 &amp; TEXT("_m","")</f>
        <v>methcycpen_m</v>
      </c>
      <c r="D130" s="35" t="str">
        <f t="shared" ref="D130:D149" si="15">$C$44&amp;"*"&amp;C78&amp;"/100"</f>
        <v>C4_plus_mass*methcycpen/100</v>
      </c>
      <c r="E130" s="205">
        <f t="shared" ref="E130:E149" ca="1" si="16">$E$44*E78/100</f>
        <v>1.3967474994538121E-3</v>
      </c>
      <c r="F130" s="36"/>
      <c r="G130" s="37"/>
      <c r="H130" s="38" t="s">
        <v>530</v>
      </c>
      <c r="I130" s="36">
        <v>1</v>
      </c>
      <c r="J130" s="366" t="str">
        <f ca="1">"[kg/kg] Mass of "&amp;INDIRECT("'Species Data'!D"&amp;MATCH('Data Summary'!C78,'Species Data'!E:E,0))&amp;" per mass of associated gas"</f>
        <v>[kg/kg] Mass of Methylcyclopentane per mass of associated gas</v>
      </c>
      <c r="K130" s="367"/>
      <c r="L130" s="367"/>
      <c r="M130" s="367"/>
      <c r="N130" s="367"/>
      <c r="O130" s="367"/>
      <c r="P130" s="368"/>
      <c r="Q130" s="2"/>
      <c r="R130" s="2"/>
      <c r="S130" s="2"/>
      <c r="T130" s="2"/>
      <c r="U130" s="2"/>
      <c r="V130" s="2"/>
      <c r="W130" s="2"/>
      <c r="X130" s="2"/>
      <c r="Y130" s="2"/>
    </row>
    <row r="131" spans="1:25" x14ac:dyDescent="0.25">
      <c r="A131" s="2"/>
      <c r="B131" s="17">
        <f t="shared" si="6"/>
        <v>10</v>
      </c>
      <c r="C131" s="34" t="str">
        <f>PS!B42 &amp; TEXT("_m","")</f>
        <v>methpent_m</v>
      </c>
      <c r="D131" s="35" t="str">
        <f t="shared" si="15"/>
        <v>C4_plus_mass*methpent/100</v>
      </c>
      <c r="E131" s="205">
        <f t="shared" ca="1" si="16"/>
        <v>0</v>
      </c>
      <c r="F131" s="36"/>
      <c r="G131" s="37"/>
      <c r="H131" s="38" t="s">
        <v>530</v>
      </c>
      <c r="I131" s="36">
        <v>1</v>
      </c>
      <c r="J131" s="366" t="str">
        <f ca="1">"[kg/kg] Mass of "&amp;INDIRECT("'Species Data'!D"&amp;MATCH('Data Summary'!C79,'Species Data'!E:E,0))&amp;" per mass of associated gas"</f>
        <v>[kg/kg] Mass of Methylcyclopentane per mass of associated gas</v>
      </c>
      <c r="K131" s="367"/>
      <c r="L131" s="367"/>
      <c r="M131" s="367"/>
      <c r="N131" s="367"/>
      <c r="O131" s="367"/>
      <c r="P131" s="368"/>
      <c r="Q131" s="2"/>
      <c r="R131" s="2"/>
      <c r="S131" s="2"/>
      <c r="T131" s="2"/>
      <c r="U131" s="2"/>
      <c r="V131" s="2"/>
      <c r="W131" s="2"/>
      <c r="X131" s="2"/>
      <c r="Y131" s="2"/>
    </row>
    <row r="132" spans="1:25" x14ac:dyDescent="0.25">
      <c r="A132" s="2"/>
      <c r="B132" s="17">
        <f t="shared" si="6"/>
        <v>7</v>
      </c>
      <c r="C132" s="34" t="str">
        <f>PS!B43 &amp; TEXT("_m","")</f>
        <v>N_but_m</v>
      </c>
      <c r="D132" s="35" t="str">
        <f t="shared" si="15"/>
        <v>C4_plus_mass*N_but/100</v>
      </c>
      <c r="E132" s="205">
        <f t="shared" ca="1" si="16"/>
        <v>3.6066475153681697E-3</v>
      </c>
      <c r="F132" s="36"/>
      <c r="G132" s="37"/>
      <c r="H132" s="38" t="s">
        <v>530</v>
      </c>
      <c r="I132" s="36">
        <v>1</v>
      </c>
      <c r="J132" s="366" t="str">
        <f ca="1">"[kg/kg] Mass of "&amp;INDIRECT("'Species Data'!D"&amp;MATCH('Data Summary'!C80,'Species Data'!E:E,0))&amp;" per mass of associated gas"</f>
        <v>[kg/kg] Mass of N-butane per mass of associated gas</v>
      </c>
      <c r="K132" s="367"/>
      <c r="L132" s="367"/>
      <c r="M132" s="367"/>
      <c r="N132" s="367"/>
      <c r="O132" s="367"/>
      <c r="P132" s="368"/>
      <c r="Q132" s="2"/>
      <c r="R132" s="2"/>
      <c r="S132" s="2"/>
      <c r="T132" s="2"/>
      <c r="U132" s="2"/>
      <c r="V132" s="2"/>
      <c r="W132" s="2"/>
      <c r="X132" s="2"/>
      <c r="Y132" s="2"/>
    </row>
    <row r="133" spans="1:25" x14ac:dyDescent="0.25">
      <c r="A133" s="2"/>
      <c r="B133" s="17">
        <f t="shared" si="6"/>
        <v>7</v>
      </c>
      <c r="C133" s="34" t="str">
        <f>PS!B44 &amp; TEXT("_m","")</f>
        <v>N_dec_m</v>
      </c>
      <c r="D133" s="35" t="str">
        <f t="shared" si="15"/>
        <v>C4_plus_mass*N_dec/100</v>
      </c>
      <c r="E133" s="205">
        <f t="shared" ca="1" si="16"/>
        <v>3.264600250401254E-5</v>
      </c>
      <c r="F133" s="36"/>
      <c r="G133" s="37"/>
      <c r="H133" s="38" t="s">
        <v>530</v>
      </c>
      <c r="I133" s="36">
        <v>1</v>
      </c>
      <c r="J133" s="366" t="str">
        <f ca="1">"[kg/kg] Mass of "&amp;INDIRECT("'Species Data'!D"&amp;MATCH('Data Summary'!C81,'Species Data'!E:E,0))&amp;" per mass of associated gas"</f>
        <v>[kg/kg] Mass of N-decane per mass of associated gas</v>
      </c>
      <c r="K133" s="367"/>
      <c r="L133" s="367"/>
      <c r="M133" s="367"/>
      <c r="N133" s="367"/>
      <c r="O133" s="367"/>
      <c r="P133" s="368"/>
      <c r="Q133" s="2"/>
      <c r="R133" s="2"/>
      <c r="S133" s="2"/>
      <c r="T133" s="2"/>
      <c r="U133" s="2"/>
      <c r="V133" s="2"/>
      <c r="W133" s="2"/>
      <c r="X133" s="2"/>
      <c r="Y133" s="2"/>
    </row>
    <row r="134" spans="1:25" x14ac:dyDescent="0.25">
      <c r="A134" s="2"/>
      <c r="B134" s="17">
        <f t="shared" si="6"/>
        <v>7</v>
      </c>
      <c r="C134" s="34" t="str">
        <f>PS!B45 &amp; TEXT("_m","")</f>
        <v>N_hep_m</v>
      </c>
      <c r="D134" s="35" t="str">
        <f t="shared" si="15"/>
        <v>C4_plus_mass*N_hep/100</v>
      </c>
      <c r="E134" s="205">
        <f t="shared" ca="1" si="16"/>
        <v>7.4121140910612786E-4</v>
      </c>
      <c r="F134" s="36"/>
      <c r="G134" s="37"/>
      <c r="H134" s="38" t="s">
        <v>530</v>
      </c>
      <c r="I134" s="36">
        <v>1</v>
      </c>
      <c r="J134" s="366" t="str">
        <f ca="1">"[kg/kg] Mass of "&amp;INDIRECT("'Species Data'!D"&amp;MATCH('Data Summary'!C82,'Species Data'!E:E,0))&amp;" per mass of associated gas"</f>
        <v>[kg/kg] Mass of N-heptane per mass of associated gas</v>
      </c>
      <c r="K134" s="367"/>
      <c r="L134" s="367"/>
      <c r="M134" s="367"/>
      <c r="N134" s="367"/>
      <c r="O134" s="367"/>
      <c r="P134" s="368"/>
      <c r="Q134" s="2"/>
      <c r="R134" s="2"/>
      <c r="S134" s="2"/>
      <c r="T134" s="2"/>
      <c r="U134" s="2"/>
      <c r="V134" s="2"/>
      <c r="W134" s="2"/>
      <c r="X134" s="2"/>
      <c r="Y134" s="2"/>
    </row>
    <row r="135" spans="1:25" x14ac:dyDescent="0.25">
      <c r="A135" s="2"/>
      <c r="B135" s="17">
        <f t="shared" si="6"/>
        <v>7</v>
      </c>
      <c r="C135" s="34" t="str">
        <f>PS!B46 &amp; TEXT("_m","")</f>
        <v>N_hex_m</v>
      </c>
      <c r="D135" s="35" t="str">
        <f t="shared" si="15"/>
        <v>C4_plus_mass*N_hex/100</v>
      </c>
      <c r="E135" s="205">
        <f t="shared" ca="1" si="16"/>
        <v>1.2620214256809923E-3</v>
      </c>
      <c r="F135" s="36"/>
      <c r="G135" s="37"/>
      <c r="H135" s="38" t="s">
        <v>530</v>
      </c>
      <c r="I135" s="36">
        <v>1</v>
      </c>
      <c r="J135" s="366" t="str">
        <f ca="1">"[kg/kg] Mass of "&amp;INDIRECT("'Species Data'!D"&amp;MATCH('Data Summary'!C83,'Species Data'!E:E,0))&amp;" per mass of associated gas"</f>
        <v>[kg/kg] Mass of N-hexane per mass of associated gas</v>
      </c>
      <c r="K135" s="367"/>
      <c r="L135" s="367"/>
      <c r="M135" s="367"/>
      <c r="N135" s="367"/>
      <c r="O135" s="367"/>
      <c r="P135" s="368"/>
      <c r="Q135" s="2"/>
      <c r="R135" s="2"/>
      <c r="S135" s="2"/>
      <c r="T135" s="2"/>
      <c r="U135" s="2"/>
      <c r="V135" s="2"/>
      <c r="W135" s="2"/>
      <c r="X135" s="2"/>
      <c r="Y135" s="2"/>
    </row>
    <row r="136" spans="1:25" x14ac:dyDescent="0.25">
      <c r="A136" s="2"/>
      <c r="B136" s="17">
        <f t="shared" si="6"/>
        <v>10</v>
      </c>
      <c r="C136" s="34" t="str">
        <f>PS!B47 &amp; TEXT("_m","")</f>
        <v>N_nonane_m</v>
      </c>
      <c r="D136" s="35" t="str">
        <f t="shared" si="15"/>
        <v>C4_plus_mass*N_nonane/100</v>
      </c>
      <c r="E136" s="205">
        <f t="shared" ca="1" si="16"/>
        <v>1.1962934139617281E-4</v>
      </c>
      <c r="F136" s="36"/>
      <c r="G136" s="37"/>
      <c r="H136" s="38" t="s">
        <v>530</v>
      </c>
      <c r="I136" s="36">
        <v>1</v>
      </c>
      <c r="J136" s="366" t="str">
        <f ca="1">"[kg/kg] Mass of "&amp;INDIRECT("'Species Data'!D"&amp;MATCH('Data Summary'!C84,'Species Data'!E:E,0))&amp;" per mass of associated gas"</f>
        <v>[kg/kg] Mass of N-nonane per mass of associated gas</v>
      </c>
      <c r="K136" s="367"/>
      <c r="L136" s="367"/>
      <c r="M136" s="367"/>
      <c r="N136" s="367"/>
      <c r="O136" s="367"/>
      <c r="P136" s="368"/>
      <c r="Q136" s="2"/>
      <c r="R136" s="2"/>
      <c r="S136" s="2"/>
      <c r="T136" s="2"/>
      <c r="U136" s="2"/>
      <c r="V136" s="2"/>
      <c r="W136" s="2"/>
      <c r="X136" s="2"/>
      <c r="Y136" s="2"/>
    </row>
    <row r="137" spans="1:25" x14ac:dyDescent="0.25">
      <c r="A137" s="2"/>
      <c r="B137" s="17">
        <f t="shared" si="6"/>
        <v>10</v>
      </c>
      <c r="C137" s="34" t="str">
        <f>PS!B48 &amp; TEXT("_m","")</f>
        <v>N_octane_m</v>
      </c>
      <c r="D137" s="35" t="str">
        <f t="shared" si="15"/>
        <v>C4_plus_mass*N_octane/100</v>
      </c>
      <c r="E137" s="205">
        <f t="shared" ca="1" si="16"/>
        <v>7.4475396363494388E-4</v>
      </c>
      <c r="F137" s="36"/>
      <c r="G137" s="37"/>
      <c r="H137" s="38" t="s">
        <v>530</v>
      </c>
      <c r="I137" s="36">
        <v>1</v>
      </c>
      <c r="J137" s="366" t="str">
        <f ca="1">"[kg/kg] Mass of "&amp;INDIRECT("'Species Data'!D"&amp;MATCH('Data Summary'!C85,'Species Data'!E:E,0))&amp;" per mass of associated gas"</f>
        <v>[kg/kg] Mass of N-octane per mass of associated gas</v>
      </c>
      <c r="K137" s="367"/>
      <c r="L137" s="367"/>
      <c r="M137" s="367"/>
      <c r="N137" s="367"/>
      <c r="O137" s="367"/>
      <c r="P137" s="368"/>
      <c r="Q137" s="2"/>
      <c r="R137" s="2"/>
      <c r="S137" s="2"/>
      <c r="T137" s="2"/>
      <c r="U137" s="2"/>
      <c r="V137" s="2"/>
      <c r="W137" s="2"/>
      <c r="X137" s="2"/>
      <c r="Y137" s="2"/>
    </row>
    <row r="138" spans="1:25" x14ac:dyDescent="0.25">
      <c r="A138" s="2"/>
      <c r="B138" s="17">
        <f t="shared" si="6"/>
        <v>11</v>
      </c>
      <c r="C138" s="34" t="str">
        <f>PS!B49 &amp; TEXT("_m","")</f>
        <v>N_pentane_m</v>
      </c>
      <c r="D138" s="35" t="str">
        <f t="shared" si="15"/>
        <v>C4_plus_mass*N_pentane/100</v>
      </c>
      <c r="E138" s="205">
        <f t="shared" ca="1" si="16"/>
        <v>2.3739475410179938E-3</v>
      </c>
      <c r="F138" s="36"/>
      <c r="G138" s="37"/>
      <c r="H138" s="38" t="s">
        <v>530</v>
      </c>
      <c r="I138" s="36">
        <v>1</v>
      </c>
      <c r="J138" s="366" t="str">
        <f ca="1">"[kg/kg] Mass of "&amp;INDIRECT("'Species Data'!D"&amp;MATCH('Data Summary'!C86,'Species Data'!E:E,0))&amp;" per mass of associated gas"</f>
        <v>[kg/kg] Mass of N-pentane per mass of associated gas</v>
      </c>
      <c r="K138" s="367"/>
      <c r="L138" s="367"/>
      <c r="M138" s="367"/>
      <c r="N138" s="367"/>
      <c r="O138" s="367"/>
      <c r="P138" s="368"/>
      <c r="Q138" s="2"/>
      <c r="R138" s="2"/>
      <c r="S138" s="2"/>
      <c r="T138" s="2"/>
      <c r="U138" s="2"/>
      <c r="V138" s="2"/>
      <c r="W138" s="2"/>
      <c r="X138" s="2"/>
      <c r="Y138" s="2"/>
    </row>
    <row r="139" spans="1:25" x14ac:dyDescent="0.25">
      <c r="A139" s="2"/>
      <c r="B139" s="17">
        <f t="shared" si="6"/>
        <v>10</v>
      </c>
      <c r="C139" s="34" t="str">
        <f>PS!B50 &amp; TEXT("_m","")</f>
        <v>N_proben_m</v>
      </c>
      <c r="D139" s="35" t="str">
        <f t="shared" si="15"/>
        <v>C4_plus_mass*N_proben/100</v>
      </c>
      <c r="E139" s="205">
        <f t="shared" ca="1" si="16"/>
        <v>2.1800335561944937E-4</v>
      </c>
      <c r="F139" s="36"/>
      <c r="G139" s="37"/>
      <c r="H139" s="38" t="s">
        <v>530</v>
      </c>
      <c r="I139" s="36">
        <v>1</v>
      </c>
      <c r="J139" s="366" t="str">
        <f ca="1">"[kg/kg] Mass of "&amp;INDIRECT("'Species Data'!D"&amp;MATCH('Data Summary'!C87,'Species Data'!E:E,0))&amp;" per mass of associated gas"</f>
        <v>[kg/kg] Mass of N-propylbenzene per mass of associated gas</v>
      </c>
      <c r="K139" s="367"/>
      <c r="L139" s="367"/>
      <c r="M139" s="367"/>
      <c r="N139" s="367"/>
      <c r="O139" s="367"/>
      <c r="P139" s="368"/>
      <c r="Q139" s="2"/>
      <c r="R139" s="2"/>
      <c r="S139" s="2"/>
      <c r="T139" s="2"/>
      <c r="U139" s="2"/>
      <c r="V139" s="2"/>
      <c r="W139" s="2"/>
      <c r="X139" s="2"/>
      <c r="Y139" s="2"/>
    </row>
    <row r="140" spans="1:25" x14ac:dyDescent="0.25">
      <c r="A140" s="2"/>
      <c r="B140" s="17">
        <f t="shared" si="6"/>
        <v>7</v>
      </c>
      <c r="C140" s="34" t="str">
        <f>PS!B51 &amp; TEXT("_m","")</f>
        <v>N_und_m</v>
      </c>
      <c r="D140" s="35" t="str">
        <f t="shared" si="15"/>
        <v>C4_plus_mass*N_und/100</v>
      </c>
      <c r="E140" s="205">
        <f t="shared" ca="1" si="16"/>
        <v>5.4446338065957478E-5</v>
      </c>
      <c r="F140" s="36"/>
      <c r="G140" s="37"/>
      <c r="H140" s="38" t="s">
        <v>530</v>
      </c>
      <c r="I140" s="36">
        <v>1</v>
      </c>
      <c r="J140" s="366" t="str">
        <f ca="1">"[kg/kg] Mass of "&amp;INDIRECT("'Species Data'!D"&amp;MATCH('Data Summary'!C88,'Species Data'!E:E,0))&amp;" per mass of associated gas"</f>
        <v>[kg/kg] Mass of N-undecane per mass of associated gas</v>
      </c>
      <c r="K140" s="367"/>
      <c r="L140" s="367"/>
      <c r="M140" s="367"/>
      <c r="N140" s="367"/>
      <c r="O140" s="367"/>
      <c r="P140" s="368"/>
      <c r="Q140" s="2"/>
      <c r="R140" s="2"/>
      <c r="S140" s="2"/>
      <c r="T140" s="2"/>
      <c r="U140" s="2"/>
      <c r="V140" s="2"/>
      <c r="W140" s="2"/>
      <c r="X140" s="2"/>
      <c r="Y140" s="2"/>
    </row>
    <row r="141" spans="1:25" x14ac:dyDescent="0.25">
      <c r="A141" s="2"/>
      <c r="B141" s="17">
        <f t="shared" si="6"/>
        <v>10</v>
      </c>
      <c r="C141" s="34" t="str">
        <f>PS!B52 &amp; TEXT("_m","")</f>
        <v>O_xylene_m</v>
      </c>
      <c r="D141" s="35" t="str">
        <f t="shared" si="15"/>
        <v>C4_plus_mass*O_xylene/100</v>
      </c>
      <c r="E141" s="205">
        <f t="shared" ca="1" si="16"/>
        <v>1.5167583467223187E-4</v>
      </c>
      <c r="F141" s="36"/>
      <c r="G141" s="37"/>
      <c r="H141" s="38" t="s">
        <v>530</v>
      </c>
      <c r="I141" s="36">
        <v>1</v>
      </c>
      <c r="J141" s="366" t="str">
        <f ca="1">"[kg/kg] Mass of "&amp;INDIRECT("'Species Data'!D"&amp;MATCH('Data Summary'!C89,'Species Data'!E:E,0))&amp;" per mass of associated gas"</f>
        <v>[kg/kg] Mass of O-xylene per mass of associated gas</v>
      </c>
      <c r="K141" s="367"/>
      <c r="L141" s="367"/>
      <c r="M141" s="367"/>
      <c r="N141" s="367"/>
      <c r="O141" s="367"/>
      <c r="P141" s="368"/>
      <c r="Q141" s="2"/>
      <c r="R141" s="2"/>
      <c r="S141" s="2"/>
      <c r="T141" s="2"/>
      <c r="U141" s="2"/>
      <c r="V141" s="2"/>
      <c r="W141" s="2"/>
      <c r="X141" s="2"/>
      <c r="Y141" s="2"/>
    </row>
    <row r="142" spans="1:25" x14ac:dyDescent="0.25">
      <c r="A142" s="2"/>
      <c r="B142" s="17">
        <f t="shared" si="6"/>
        <v>10</v>
      </c>
      <c r="C142" s="34" t="str">
        <f>PS!B53 &amp; TEXT("_m","")</f>
        <v>P_xylene_m</v>
      </c>
      <c r="D142" s="35" t="str">
        <f t="shared" si="15"/>
        <v>C4_plus_mass*P_xylene/100</v>
      </c>
      <c r="E142" s="205">
        <f t="shared" ca="1" si="16"/>
        <v>1.5058581789413462E-4</v>
      </c>
      <c r="F142" s="36"/>
      <c r="G142" s="37"/>
      <c r="H142" s="38" t="s">
        <v>530</v>
      </c>
      <c r="I142" s="36">
        <v>1</v>
      </c>
      <c r="J142" s="366" t="str">
        <f ca="1">"[kg/kg] Mass of "&amp;INDIRECT("'Species Data'!D"&amp;MATCH('Data Summary'!C90,'Species Data'!E:E,0))&amp;" per mass of associated gas"</f>
        <v>[kg/kg] Mass of P-xylene per mass of associated gas</v>
      </c>
      <c r="K142" s="367"/>
      <c r="L142" s="367"/>
      <c r="M142" s="367"/>
      <c r="N142" s="367"/>
      <c r="O142" s="367"/>
      <c r="P142" s="368"/>
      <c r="Q142" s="2"/>
      <c r="R142" s="2"/>
      <c r="S142" s="2"/>
      <c r="T142" s="2"/>
      <c r="U142" s="2"/>
      <c r="V142" s="2"/>
      <c r="W142" s="2"/>
      <c r="X142" s="2"/>
      <c r="Y142" s="2"/>
    </row>
    <row r="143" spans="1:25" x14ac:dyDescent="0.25">
      <c r="A143" s="2"/>
      <c r="B143" s="17">
        <f t="shared" si="6"/>
        <v>11</v>
      </c>
      <c r="C143" s="34" t="str">
        <f>PS!B54 &amp; TEXT("_m","")</f>
        <v>propylene_m</v>
      </c>
      <c r="D143" s="35" t="str">
        <f t="shared" si="15"/>
        <v>C4_plus_mass*propylene/100</v>
      </c>
      <c r="E143" s="205">
        <f t="shared" ca="1" si="16"/>
        <v>0</v>
      </c>
      <c r="F143" s="36"/>
      <c r="G143" s="37"/>
      <c r="H143" s="38" t="s">
        <v>530</v>
      </c>
      <c r="I143" s="36">
        <v>1</v>
      </c>
      <c r="J143" s="366" t="str">
        <f ca="1">"[kg/kg] Mass of "&amp;INDIRECT("'Species Data'!D"&amp;MATCH('Data Summary'!C91,'Species Data'!E:E,0))&amp;" per mass of associated gas"</f>
        <v>[kg/kg] Mass of Propylene per mass of associated gas</v>
      </c>
      <c r="K143" s="367"/>
      <c r="L143" s="367"/>
      <c r="M143" s="367"/>
      <c r="N143" s="367"/>
      <c r="O143" s="367"/>
      <c r="P143" s="368"/>
      <c r="Q143" s="2"/>
      <c r="R143" s="2"/>
      <c r="S143" s="2"/>
      <c r="T143" s="2"/>
      <c r="U143" s="2"/>
      <c r="V143" s="2"/>
      <c r="W143" s="2"/>
      <c r="X143" s="2"/>
      <c r="Y143" s="2"/>
    </row>
    <row r="144" spans="1:25" x14ac:dyDescent="0.25">
      <c r="A144" s="2"/>
      <c r="B144" s="17">
        <f t="shared" si="6"/>
        <v>9</v>
      </c>
      <c r="C144" s="34" t="str">
        <f>PS!B55 &amp; TEXT("_m","")</f>
        <v>toluene_m</v>
      </c>
      <c r="D144" s="35" t="str">
        <f t="shared" si="15"/>
        <v>C4_plus_mass*toluene/100</v>
      </c>
      <c r="E144" s="205">
        <f t="shared" ca="1" si="16"/>
        <v>2.6705411063382542E-4</v>
      </c>
      <c r="F144" s="36"/>
      <c r="G144" s="37"/>
      <c r="H144" s="38" t="s">
        <v>530</v>
      </c>
      <c r="I144" s="36">
        <v>1</v>
      </c>
      <c r="J144" s="366" t="str">
        <f ca="1">"[kg/kg] Mass of "&amp;INDIRECT("'Species Data'!D"&amp;MATCH('Data Summary'!C92,'Species Data'!E:E,0))&amp;" per mass of associated gas"</f>
        <v>[kg/kg] Mass of Toluene per mass of associated gas</v>
      </c>
      <c r="K144" s="367"/>
      <c r="L144" s="367"/>
      <c r="M144" s="367"/>
      <c r="N144" s="367"/>
      <c r="O144" s="367"/>
      <c r="P144" s="368"/>
      <c r="Q144" s="2"/>
      <c r="R144" s="2"/>
      <c r="S144" s="2"/>
      <c r="T144" s="2"/>
      <c r="U144" s="2"/>
      <c r="V144" s="2"/>
      <c r="W144" s="2"/>
      <c r="X144" s="2"/>
      <c r="Y144" s="2"/>
    </row>
    <row r="145" spans="1:25" x14ac:dyDescent="0.25">
      <c r="A145" s="2"/>
      <c r="B145" s="17">
        <f t="shared" si="6"/>
        <v>8</v>
      </c>
      <c r="C145" s="34" t="str">
        <f>PS!B56 &amp; TEXT("_m","")</f>
        <v>betben_m</v>
      </c>
      <c r="D145" s="35" t="str">
        <f t="shared" si="15"/>
        <v>C4_plus_mass*betben/100</v>
      </c>
      <c r="E145" s="205">
        <f t="shared" ca="1" si="16"/>
        <v>0</v>
      </c>
      <c r="F145" s="36"/>
      <c r="G145" s="37"/>
      <c r="H145" s="38" t="s">
        <v>530</v>
      </c>
      <c r="I145" s="36">
        <v>1</v>
      </c>
      <c r="J145" s="366" t="str">
        <f ca="1">"[kg/kg] Mass of "&amp;INDIRECT("'Species Data'!D"&amp;MATCH('Data Summary'!C93,'Species Data'!E:E,0))&amp;" per mass of associated gas"</f>
        <v>[kg/kg] Mass of Butylbenzene per mass of associated gas</v>
      </c>
      <c r="K145" s="367"/>
      <c r="L145" s="367"/>
      <c r="M145" s="367"/>
      <c r="N145" s="367"/>
      <c r="O145" s="367"/>
      <c r="P145" s="368"/>
      <c r="Q145" s="2"/>
      <c r="R145" s="2"/>
      <c r="S145" s="2"/>
      <c r="T145" s="2"/>
      <c r="U145" s="2"/>
      <c r="V145" s="2"/>
      <c r="W145" s="2"/>
      <c r="X145" s="2"/>
      <c r="Y145" s="2"/>
    </row>
    <row r="146" spans="1:25" x14ac:dyDescent="0.25">
      <c r="A146" s="2"/>
      <c r="B146" s="17">
        <f t="shared" ref="B146:B149" si="17">LEN(C146)</f>
        <v>13</v>
      </c>
      <c r="C146" s="34" t="str">
        <f>PS!B57 &amp; TEXT("_m","")</f>
        <v>isompentane_m</v>
      </c>
      <c r="D146" s="35" t="str">
        <f t="shared" si="15"/>
        <v>C4_plus_mass*isompentane/100</v>
      </c>
      <c r="E146" s="205">
        <f t="shared" ca="1" si="16"/>
        <v>0</v>
      </c>
      <c r="F146" s="36"/>
      <c r="G146" s="37"/>
      <c r="H146" s="38" t="s">
        <v>530</v>
      </c>
      <c r="I146" s="36">
        <v>1</v>
      </c>
      <c r="J146" s="366" t="str">
        <f ca="1">"[kg/kg] Mass of "&amp;INDIRECT("'Species Data'!D"&amp;MATCH('Data Summary'!C94,'Species Data'!E:E,0))&amp;" per mass of associated gas"</f>
        <v>[kg/kg] Mass of Isomers of pentane per mass of associated gas</v>
      </c>
      <c r="K146" s="367"/>
      <c r="L146" s="367"/>
      <c r="M146" s="367"/>
      <c r="N146" s="367"/>
      <c r="O146" s="367"/>
      <c r="P146" s="368"/>
      <c r="Q146" s="2"/>
      <c r="R146" s="2"/>
      <c r="S146" s="2"/>
      <c r="T146" s="2"/>
      <c r="U146" s="2"/>
      <c r="V146" s="2"/>
      <c r="W146" s="2"/>
      <c r="X146" s="2"/>
      <c r="Y146" s="2"/>
    </row>
    <row r="147" spans="1:25" x14ac:dyDescent="0.25">
      <c r="A147" s="2"/>
      <c r="B147" s="17">
        <f t="shared" si="17"/>
        <v>11</v>
      </c>
      <c r="C147" s="34" t="str">
        <f>PS!B58 &amp; TEXT("_m","")</f>
        <v>undef_VOC_m</v>
      </c>
      <c r="D147" s="35" t="str">
        <f t="shared" si="15"/>
        <v>C4_plus_mass*undef_VOC/100</v>
      </c>
      <c r="E147" s="205">
        <f t="shared" ca="1" si="16"/>
        <v>2.5600897062136595E-2</v>
      </c>
      <c r="F147" s="36"/>
      <c r="G147" s="37"/>
      <c r="H147" s="38" t="s">
        <v>530</v>
      </c>
      <c r="I147" s="36">
        <v>1</v>
      </c>
      <c r="J147" s="366" t="str">
        <f ca="1">"[kg/kg] Mass of "&amp;INDIRECT("'Species Data'!D"&amp;MATCH('Data Summary'!C95,'Species Data'!E:E,0))&amp;" per mass of associated gas"</f>
        <v>[kg/kg] Mass of Undefined VOC per mass of associated gas</v>
      </c>
      <c r="K147" s="367"/>
      <c r="L147" s="367"/>
      <c r="M147" s="367"/>
      <c r="N147" s="367"/>
      <c r="O147" s="367"/>
      <c r="P147" s="368"/>
      <c r="Q147" s="2"/>
      <c r="R147" s="2"/>
      <c r="S147" s="2"/>
      <c r="T147" s="2"/>
      <c r="U147" s="2"/>
      <c r="V147" s="2"/>
      <c r="W147" s="2"/>
      <c r="X147" s="2"/>
      <c r="Y147" s="2"/>
    </row>
    <row r="148" spans="1:25" x14ac:dyDescent="0.25">
      <c r="A148" s="2"/>
      <c r="B148" s="17">
        <f t="shared" si="17"/>
        <v>11</v>
      </c>
      <c r="C148" s="34" t="str">
        <f>PS!B59 &amp; TEXT("_m","")</f>
        <v>i_hexanes_m</v>
      </c>
      <c r="D148" s="35" t="str">
        <f t="shared" si="15"/>
        <v>C4_plus_mass*i_hexanes/100</v>
      </c>
      <c r="E148" s="205">
        <f t="shared" ca="1" si="16"/>
        <v>0</v>
      </c>
      <c r="F148" s="36"/>
      <c r="G148" s="37"/>
      <c r="H148" s="38" t="s">
        <v>530</v>
      </c>
      <c r="I148" s="36">
        <v>1</v>
      </c>
      <c r="J148" s="366" t="str">
        <f ca="1">"[kg/kg] Mass of "&amp;INDIRECT("'Species Data'!D"&amp;MATCH('Data Summary'!C96,'Species Data'!E:E,0))&amp;" per mass of associated gas"</f>
        <v>[kg/kg] Mass of Isomers of hexane per mass of associated gas</v>
      </c>
      <c r="K148" s="367"/>
      <c r="L148" s="367"/>
      <c r="M148" s="367"/>
      <c r="N148" s="367"/>
      <c r="O148" s="367"/>
      <c r="P148" s="368"/>
      <c r="Q148" s="2"/>
      <c r="R148" s="2"/>
      <c r="S148" s="2"/>
      <c r="T148" s="2"/>
      <c r="U148" s="2"/>
      <c r="V148" s="2"/>
      <c r="W148" s="2"/>
      <c r="X148" s="2"/>
      <c r="Y148" s="2"/>
    </row>
    <row r="149" spans="1:25" x14ac:dyDescent="0.25">
      <c r="A149" s="2"/>
      <c r="B149" s="17">
        <f t="shared" si="17"/>
        <v>12</v>
      </c>
      <c r="C149" s="34" t="str">
        <f>PS!B60 &amp; TEXT("_m","")</f>
        <v>i_heptanes_m</v>
      </c>
      <c r="D149" s="35" t="str">
        <f t="shared" si="15"/>
        <v>C4_plus_mass*i_heptanes/100</v>
      </c>
      <c r="E149" s="205">
        <f t="shared" ca="1" si="16"/>
        <v>0</v>
      </c>
      <c r="F149" s="36"/>
      <c r="G149" s="37"/>
      <c r="H149" s="38" t="s">
        <v>530</v>
      </c>
      <c r="I149" s="36">
        <v>1</v>
      </c>
      <c r="J149" s="366" t="str">
        <f ca="1">"[kg/kg] Mass of "&amp;INDIRECT("'Species Data'!D"&amp;MATCH('Data Summary'!C97,'Species Data'!E:E,0))&amp;" per mass of associated gas"</f>
        <v>[kg/kg] Mass of Isomers of heptane per mass of associated gas</v>
      </c>
      <c r="K149" s="367"/>
      <c r="L149" s="367"/>
      <c r="M149" s="367"/>
      <c r="N149" s="367"/>
      <c r="O149" s="367"/>
      <c r="P149" s="368"/>
      <c r="Q149" s="2"/>
      <c r="R149" s="2"/>
      <c r="S149" s="2"/>
      <c r="T149" s="2"/>
      <c r="U149" s="2"/>
      <c r="V149" s="2"/>
      <c r="W149" s="2"/>
      <c r="X149" s="2"/>
      <c r="Y149" s="2"/>
    </row>
    <row r="150" spans="1:25" x14ac:dyDescent="0.25">
      <c r="A150" s="2"/>
      <c r="B150" s="9"/>
      <c r="C150" s="39" t="s">
        <v>64</v>
      </c>
      <c r="D150" s="40" t="s">
        <v>65</v>
      </c>
      <c r="E150" s="41"/>
      <c r="F150" s="41"/>
      <c r="G150" s="41"/>
      <c r="H150" s="42"/>
      <c r="I150" s="43"/>
      <c r="J150" s="44"/>
      <c r="K150" s="44"/>
      <c r="L150" s="44"/>
      <c r="M150" s="44"/>
      <c r="N150" s="44"/>
      <c r="O150" s="44"/>
      <c r="P150" s="45"/>
      <c r="Q150" s="2"/>
      <c r="R150" s="2"/>
      <c r="S150" s="2"/>
      <c r="T150" s="2"/>
      <c r="U150" s="2"/>
      <c r="V150" s="2"/>
      <c r="W150" s="2"/>
      <c r="X150" s="2"/>
      <c r="Y150" s="2"/>
    </row>
    <row r="151" spans="1:25" ht="15.75" thickBot="1" x14ac:dyDescent="0.3">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thickBot="1" x14ac:dyDescent="0.3">
      <c r="A152" s="22"/>
      <c r="B152" s="386" t="s">
        <v>66</v>
      </c>
      <c r="C152" s="387"/>
      <c r="D152" s="387"/>
      <c r="E152" s="387"/>
      <c r="F152" s="387"/>
      <c r="G152" s="387"/>
      <c r="H152" s="387"/>
      <c r="I152" s="387"/>
      <c r="J152" s="387"/>
      <c r="K152" s="387"/>
      <c r="L152" s="387"/>
      <c r="M152" s="387"/>
      <c r="N152" s="387"/>
      <c r="O152" s="387"/>
      <c r="P152" s="388"/>
      <c r="Q152" s="22"/>
      <c r="R152" s="22"/>
      <c r="S152" s="22"/>
      <c r="T152" s="22"/>
      <c r="U152" s="22"/>
      <c r="V152" s="22"/>
      <c r="W152" s="22"/>
      <c r="X152" s="22"/>
      <c r="Y152" s="22"/>
    </row>
    <row r="153" spans="1:25" x14ac:dyDescent="0.25">
      <c r="A153" s="2"/>
      <c r="B153" s="9"/>
      <c r="C153" s="2"/>
      <c r="D153" s="2"/>
      <c r="E153" s="2"/>
      <c r="F153" s="2"/>
      <c r="G153" s="2"/>
      <c r="H153" s="32" t="s">
        <v>67</v>
      </c>
      <c r="I153" s="2"/>
      <c r="J153" s="2"/>
      <c r="K153" s="2"/>
      <c r="L153" s="2"/>
      <c r="M153" s="2"/>
      <c r="N153" s="2"/>
      <c r="O153" s="2"/>
      <c r="P153" s="2"/>
      <c r="Q153" s="2"/>
      <c r="R153" s="2"/>
      <c r="S153" s="2"/>
      <c r="T153" s="2"/>
      <c r="U153" s="2"/>
      <c r="V153" s="2"/>
      <c r="W153" s="2"/>
      <c r="X153" s="2"/>
      <c r="Y153" s="2"/>
    </row>
    <row r="154" spans="1:25" x14ac:dyDescent="0.25">
      <c r="A154" s="2"/>
      <c r="B154" s="9"/>
      <c r="C154" s="33" t="s">
        <v>68</v>
      </c>
      <c r="D154" s="33" t="s">
        <v>69</v>
      </c>
      <c r="E154" s="33" t="s">
        <v>58</v>
      </c>
      <c r="F154" s="33" t="s">
        <v>70</v>
      </c>
      <c r="G154" s="33" t="s">
        <v>68</v>
      </c>
      <c r="H154" s="33" t="s">
        <v>61</v>
      </c>
      <c r="I154" s="33" t="s">
        <v>71</v>
      </c>
      <c r="J154" s="33" t="s">
        <v>72</v>
      </c>
      <c r="K154" s="33" t="s">
        <v>73</v>
      </c>
      <c r="L154" s="33" t="s">
        <v>74</v>
      </c>
      <c r="M154" s="33" t="s">
        <v>62</v>
      </c>
      <c r="N154" s="403" t="s">
        <v>63</v>
      </c>
      <c r="O154" s="403"/>
      <c r="P154" s="403"/>
      <c r="Q154" s="2"/>
      <c r="R154" s="2"/>
      <c r="S154" s="2"/>
      <c r="T154" s="2"/>
      <c r="U154" s="2"/>
      <c r="V154" s="2"/>
      <c r="W154" s="2"/>
      <c r="X154" s="22"/>
      <c r="Y154" s="22"/>
    </row>
    <row r="155" spans="1:25" x14ac:dyDescent="0.25">
      <c r="A155" s="2"/>
      <c r="B155" s="17">
        <f t="shared" ref="B155" si="18">LEN(C155)</f>
        <v>0</v>
      </c>
      <c r="C155" s="46"/>
      <c r="D155" s="52"/>
      <c r="E155" s="46"/>
      <c r="F155" s="46"/>
      <c r="G155" s="208"/>
      <c r="H155" s="48"/>
      <c r="I155" s="193"/>
      <c r="J155" s="46"/>
      <c r="K155" s="49"/>
      <c r="L155" s="46"/>
      <c r="M155" s="50"/>
      <c r="N155" s="372"/>
      <c r="O155" s="404"/>
      <c r="P155" s="404"/>
      <c r="Q155" s="2"/>
      <c r="R155" s="2"/>
      <c r="S155" s="2"/>
      <c r="T155" s="2"/>
      <c r="U155" s="2"/>
      <c r="V155" s="2"/>
      <c r="W155" s="2"/>
      <c r="X155" s="22"/>
      <c r="Y155" s="22"/>
    </row>
    <row r="156" spans="1:25" x14ac:dyDescent="0.25">
      <c r="A156" s="2"/>
      <c r="B156" s="9"/>
      <c r="C156" s="54" t="s">
        <v>64</v>
      </c>
      <c r="D156" s="40" t="s">
        <v>65</v>
      </c>
      <c r="E156" s="55" t="s">
        <v>75</v>
      </c>
      <c r="F156" s="40"/>
      <c r="G156" s="40"/>
      <c r="H156" s="40"/>
      <c r="I156" s="55" t="s">
        <v>76</v>
      </c>
      <c r="J156" s="40"/>
      <c r="K156" s="55"/>
      <c r="L156" s="40" t="s">
        <v>77</v>
      </c>
      <c r="M156" s="56"/>
      <c r="N156" s="402"/>
      <c r="O156" s="402"/>
      <c r="P156" s="402"/>
      <c r="Q156" s="2"/>
      <c r="R156" s="2"/>
      <c r="S156" s="2"/>
      <c r="T156" s="2"/>
      <c r="U156" s="2"/>
      <c r="V156" s="2"/>
      <c r="W156" s="2"/>
      <c r="X156" s="22"/>
      <c r="Y156" s="22"/>
    </row>
    <row r="157" spans="1:25" ht="15.75" thickBot="1" x14ac:dyDescent="0.3">
      <c r="A157" s="2"/>
      <c r="B157" s="9"/>
      <c r="C157" s="2"/>
      <c r="D157" s="2"/>
      <c r="E157" s="2"/>
      <c r="F157" s="2"/>
      <c r="G157" s="2"/>
      <c r="H157" s="2"/>
      <c r="I157" s="2"/>
      <c r="J157" s="2"/>
      <c r="K157" s="2"/>
      <c r="L157" s="2"/>
      <c r="M157" s="2"/>
      <c r="N157" s="2"/>
      <c r="O157" s="2"/>
      <c r="P157" s="2"/>
      <c r="Q157" s="2"/>
      <c r="R157" s="2"/>
      <c r="S157" s="2"/>
      <c r="T157" s="2"/>
      <c r="U157" s="2"/>
      <c r="V157" s="2"/>
      <c r="W157" s="2"/>
      <c r="X157" s="22"/>
      <c r="Y157" s="22"/>
    </row>
    <row r="158" spans="1:25" ht="15.75" thickBot="1" x14ac:dyDescent="0.3">
      <c r="A158" s="22"/>
      <c r="B158" s="386" t="s">
        <v>78</v>
      </c>
      <c r="C158" s="387"/>
      <c r="D158" s="387"/>
      <c r="E158" s="387"/>
      <c r="F158" s="387"/>
      <c r="G158" s="387"/>
      <c r="H158" s="387"/>
      <c r="I158" s="387"/>
      <c r="J158" s="387"/>
      <c r="K158" s="387"/>
      <c r="L158" s="387"/>
      <c r="M158" s="387"/>
      <c r="N158" s="387"/>
      <c r="O158" s="387"/>
      <c r="P158" s="388"/>
      <c r="Q158" s="22"/>
      <c r="R158" s="22"/>
      <c r="S158" s="22"/>
      <c r="T158" s="22"/>
      <c r="U158" s="22"/>
      <c r="V158" s="22"/>
      <c r="W158" s="22"/>
      <c r="X158" s="22"/>
      <c r="Y158" s="22"/>
    </row>
    <row r="159" spans="1:25" x14ac:dyDescent="0.25">
      <c r="A159" s="2"/>
      <c r="B159" s="9"/>
      <c r="C159" s="2"/>
      <c r="D159" s="2"/>
      <c r="E159" s="2"/>
      <c r="F159" s="2"/>
      <c r="G159" s="2"/>
      <c r="H159" s="32" t="s">
        <v>79</v>
      </c>
      <c r="I159" s="2"/>
      <c r="J159" s="2"/>
      <c r="K159" s="2"/>
      <c r="L159" s="2"/>
      <c r="M159" s="2"/>
      <c r="N159" s="2"/>
      <c r="O159" s="2"/>
      <c r="P159" s="2"/>
      <c r="Q159" s="2"/>
      <c r="R159" s="2"/>
      <c r="S159" s="2"/>
      <c r="T159" s="2"/>
      <c r="U159" s="2"/>
      <c r="V159" s="2"/>
      <c r="W159" s="2"/>
      <c r="X159" s="22"/>
      <c r="Y159" s="22"/>
    </row>
    <row r="160" spans="1:25" x14ac:dyDescent="0.25">
      <c r="A160" s="2"/>
      <c r="B160" s="9"/>
      <c r="C160" s="33" t="s">
        <v>68</v>
      </c>
      <c r="D160" s="33" t="s">
        <v>69</v>
      </c>
      <c r="E160" s="33" t="s">
        <v>58</v>
      </c>
      <c r="F160" s="33" t="s">
        <v>70</v>
      </c>
      <c r="G160" s="33" t="s">
        <v>68</v>
      </c>
      <c r="H160" s="33" t="s">
        <v>61</v>
      </c>
      <c r="I160" s="33" t="s">
        <v>71</v>
      </c>
      <c r="J160" s="33" t="s">
        <v>72</v>
      </c>
      <c r="K160" s="33" t="s">
        <v>73</v>
      </c>
      <c r="L160" s="33" t="s">
        <v>74</v>
      </c>
      <c r="M160" s="33" t="s">
        <v>62</v>
      </c>
      <c r="N160" s="403" t="s">
        <v>63</v>
      </c>
      <c r="O160" s="403"/>
      <c r="P160" s="403"/>
      <c r="Q160" s="2"/>
      <c r="R160" s="2"/>
      <c r="S160" s="2"/>
      <c r="T160" s="2"/>
      <c r="U160" s="2"/>
      <c r="V160" s="2"/>
      <c r="W160" s="2"/>
      <c r="X160" s="22"/>
      <c r="Y160" s="22"/>
    </row>
    <row r="161" spans="1:25" s="190" customFormat="1" ht="12.75" x14ac:dyDescent="0.2">
      <c r="A161" s="9"/>
      <c r="B161" s="9"/>
      <c r="C161" s="256"/>
      <c r="D161" s="51" t="s">
        <v>745</v>
      </c>
      <c r="E161" s="271">
        <v>1</v>
      </c>
      <c r="F161" s="271" t="s">
        <v>40</v>
      </c>
      <c r="G161" s="47">
        <f>IF(PS!$C$3=PS!$D$3,1,0)</f>
        <v>0</v>
      </c>
      <c r="H161" s="48" t="s">
        <v>40</v>
      </c>
      <c r="I161" s="193">
        <f t="shared" ref="I161:I179" si="19">IF(D161="","",E161*G161*$D$5)</f>
        <v>0</v>
      </c>
      <c r="J161" s="271" t="s">
        <v>40</v>
      </c>
      <c r="K161" s="274" t="s">
        <v>89</v>
      </c>
      <c r="L161" s="271"/>
      <c r="M161" s="275"/>
      <c r="N161" s="372" t="s">
        <v>738</v>
      </c>
      <c r="O161" s="372"/>
      <c r="P161" s="372"/>
      <c r="Q161" s="2"/>
      <c r="R161" s="2"/>
      <c r="S161" s="2"/>
      <c r="T161" s="2"/>
      <c r="U161" s="2"/>
      <c r="V161" s="2"/>
      <c r="W161" s="2"/>
      <c r="X161" s="22"/>
      <c r="Y161" s="22"/>
    </row>
    <row r="162" spans="1:25" s="190" customFormat="1" ht="12.75" x14ac:dyDescent="0.2">
      <c r="A162" s="9"/>
      <c r="B162" s="9"/>
      <c r="C162" s="256"/>
      <c r="D162" s="51" t="s">
        <v>737</v>
      </c>
      <c r="E162" s="271">
        <v>1</v>
      </c>
      <c r="F162" s="271" t="s">
        <v>40</v>
      </c>
      <c r="G162" s="47">
        <f>IF(PS!$C$3=PS!$E$3,1,0)</f>
        <v>0</v>
      </c>
      <c r="H162" s="48" t="s">
        <v>40</v>
      </c>
      <c r="I162" s="193">
        <f t="shared" si="19"/>
        <v>0</v>
      </c>
      <c r="J162" s="271" t="s">
        <v>40</v>
      </c>
      <c r="K162" s="274" t="s">
        <v>89</v>
      </c>
      <c r="L162" s="271"/>
      <c r="M162" s="275"/>
      <c r="N162" s="372" t="s">
        <v>740</v>
      </c>
      <c r="O162" s="372"/>
      <c r="P162" s="372"/>
      <c r="Q162" s="2"/>
      <c r="R162" s="2"/>
      <c r="S162" s="2"/>
      <c r="T162" s="2"/>
      <c r="U162" s="2"/>
      <c r="V162" s="2"/>
      <c r="W162" s="2"/>
      <c r="X162" s="22"/>
      <c r="Y162" s="22"/>
    </row>
    <row r="163" spans="1:25" s="190" customFormat="1" ht="12.75" x14ac:dyDescent="0.2">
      <c r="A163" s="9"/>
      <c r="B163" s="9"/>
      <c r="C163" s="256"/>
      <c r="D163" s="51" t="s">
        <v>743</v>
      </c>
      <c r="E163" s="271">
        <v>1</v>
      </c>
      <c r="F163" s="271" t="s">
        <v>40</v>
      </c>
      <c r="G163" s="47">
        <f>IF(PS!$C$3=PS!$F$3,1,0)</f>
        <v>0</v>
      </c>
      <c r="H163" s="48" t="s">
        <v>40</v>
      </c>
      <c r="I163" s="193">
        <f t="shared" si="19"/>
        <v>0</v>
      </c>
      <c r="J163" s="271" t="s">
        <v>40</v>
      </c>
      <c r="K163" s="274" t="s">
        <v>89</v>
      </c>
      <c r="L163" s="271"/>
      <c r="M163" s="275"/>
      <c r="N163" s="372" t="s">
        <v>742</v>
      </c>
      <c r="O163" s="372"/>
      <c r="P163" s="372"/>
      <c r="Q163" s="2"/>
      <c r="R163" s="2"/>
      <c r="S163" s="2"/>
      <c r="T163" s="2"/>
      <c r="U163" s="2"/>
      <c r="V163" s="2"/>
      <c r="W163" s="2"/>
      <c r="X163" s="22"/>
      <c r="Y163" s="22"/>
    </row>
    <row r="164" spans="1:25" s="190" customFormat="1" ht="12.75" x14ac:dyDescent="0.2">
      <c r="A164" s="9"/>
      <c r="B164" s="9"/>
      <c r="C164" s="256"/>
      <c r="D164" s="51" t="s">
        <v>751</v>
      </c>
      <c r="E164" s="271">
        <v>1</v>
      </c>
      <c r="F164" s="271" t="s">
        <v>40</v>
      </c>
      <c r="G164" s="47">
        <f>IF(PS!$C$3=PS!$G$3,1,0)</f>
        <v>0</v>
      </c>
      <c r="H164" s="48" t="s">
        <v>40</v>
      </c>
      <c r="I164" s="193">
        <f t="shared" si="19"/>
        <v>0</v>
      </c>
      <c r="J164" s="271" t="s">
        <v>40</v>
      </c>
      <c r="K164" s="274" t="s">
        <v>89</v>
      </c>
      <c r="L164" s="271"/>
      <c r="M164" s="275"/>
      <c r="N164" s="372" t="s">
        <v>744</v>
      </c>
      <c r="O164" s="372"/>
      <c r="P164" s="372"/>
      <c r="Q164" s="2"/>
      <c r="R164" s="2"/>
      <c r="S164" s="2"/>
      <c r="T164" s="2"/>
      <c r="U164" s="2"/>
      <c r="V164" s="2"/>
      <c r="W164" s="2"/>
      <c r="X164" s="22"/>
      <c r="Y164" s="22"/>
    </row>
    <row r="165" spans="1:25" s="190" customFormat="1" ht="12.75" x14ac:dyDescent="0.2">
      <c r="A165" s="9"/>
      <c r="B165" s="9"/>
      <c r="C165" s="256"/>
      <c r="D165" s="51" t="s">
        <v>747</v>
      </c>
      <c r="E165" s="271">
        <v>1</v>
      </c>
      <c r="F165" s="271" t="s">
        <v>40</v>
      </c>
      <c r="G165" s="47">
        <f>IF(PS!$C$3=PS!$H$3,1,0)</f>
        <v>0</v>
      </c>
      <c r="H165" s="48" t="s">
        <v>40</v>
      </c>
      <c r="I165" s="193">
        <f t="shared" si="19"/>
        <v>0</v>
      </c>
      <c r="J165" s="271" t="s">
        <v>40</v>
      </c>
      <c r="K165" s="274" t="s">
        <v>89</v>
      </c>
      <c r="L165" s="271"/>
      <c r="M165" s="275"/>
      <c r="N165" s="372" t="s">
        <v>746</v>
      </c>
      <c r="O165" s="372"/>
      <c r="P165" s="372"/>
      <c r="Q165" s="2"/>
      <c r="R165" s="2"/>
      <c r="S165" s="2"/>
      <c r="T165" s="2"/>
      <c r="U165" s="2"/>
      <c r="V165" s="2"/>
      <c r="W165" s="2"/>
      <c r="X165" s="22"/>
      <c r="Y165" s="22"/>
    </row>
    <row r="166" spans="1:25" s="190" customFormat="1" ht="12.75" x14ac:dyDescent="0.2">
      <c r="A166" s="9"/>
      <c r="B166" s="9"/>
      <c r="C166" s="256"/>
      <c r="D166" s="51" t="s">
        <v>749</v>
      </c>
      <c r="E166" s="271">
        <v>1</v>
      </c>
      <c r="F166" s="271" t="s">
        <v>40</v>
      </c>
      <c r="G166" s="47">
        <f>IF(PS!$C$3=PS!$I$3,1,0)</f>
        <v>0</v>
      </c>
      <c r="H166" s="48" t="s">
        <v>40</v>
      </c>
      <c r="I166" s="193">
        <f t="shared" si="19"/>
        <v>0</v>
      </c>
      <c r="J166" s="271" t="s">
        <v>40</v>
      </c>
      <c r="K166" s="274" t="s">
        <v>89</v>
      </c>
      <c r="L166" s="271"/>
      <c r="M166" s="275"/>
      <c r="N166" s="372" t="s">
        <v>748</v>
      </c>
      <c r="O166" s="372"/>
      <c r="P166" s="372"/>
      <c r="Q166" s="2"/>
      <c r="R166" s="2"/>
      <c r="S166" s="2"/>
      <c r="T166" s="2"/>
      <c r="U166" s="2"/>
      <c r="V166" s="2"/>
      <c r="W166" s="2"/>
      <c r="X166" s="22"/>
      <c r="Y166" s="22"/>
    </row>
    <row r="167" spans="1:25" s="190" customFormat="1" ht="12.75" x14ac:dyDescent="0.2">
      <c r="A167" s="9"/>
      <c r="B167" s="9"/>
      <c r="C167" s="256"/>
      <c r="D167" s="272" t="s">
        <v>741</v>
      </c>
      <c r="E167" s="271">
        <v>1</v>
      </c>
      <c r="F167" s="271" t="s">
        <v>40</v>
      </c>
      <c r="G167" s="47">
        <f>IF(PS!$C$3=PS!$J$3,1,0)</f>
        <v>0</v>
      </c>
      <c r="H167" s="48" t="s">
        <v>40</v>
      </c>
      <c r="I167" s="193">
        <f t="shared" si="19"/>
        <v>0</v>
      </c>
      <c r="J167" s="271" t="s">
        <v>40</v>
      </c>
      <c r="K167" s="274" t="s">
        <v>89</v>
      </c>
      <c r="L167" s="271"/>
      <c r="M167" s="275"/>
      <c r="N167" s="372" t="s">
        <v>750</v>
      </c>
      <c r="O167" s="372"/>
      <c r="P167" s="372"/>
      <c r="Q167" s="2"/>
      <c r="R167" s="2"/>
      <c r="S167" s="2"/>
      <c r="T167" s="2"/>
      <c r="U167" s="2"/>
      <c r="V167" s="2"/>
      <c r="W167" s="2"/>
      <c r="X167" s="22"/>
      <c r="Y167" s="22"/>
    </row>
    <row r="168" spans="1:25" s="190" customFormat="1" ht="12.75" x14ac:dyDescent="0.2">
      <c r="A168" s="9"/>
      <c r="B168" s="9"/>
      <c r="C168" s="256"/>
      <c r="D168" s="272" t="s">
        <v>739</v>
      </c>
      <c r="E168" s="271">
        <v>1</v>
      </c>
      <c r="F168" s="271" t="s">
        <v>40</v>
      </c>
      <c r="G168" s="47">
        <f>IF(PS!$C$3=PS!$K$3,1,0)</f>
        <v>0</v>
      </c>
      <c r="H168" s="48" t="s">
        <v>40</v>
      </c>
      <c r="I168" s="193">
        <f t="shared" si="19"/>
        <v>0</v>
      </c>
      <c r="J168" s="271" t="s">
        <v>40</v>
      </c>
      <c r="K168" s="274" t="s">
        <v>89</v>
      </c>
      <c r="L168" s="271"/>
      <c r="M168" s="275"/>
      <c r="N168" s="372" t="s">
        <v>752</v>
      </c>
      <c r="O168" s="372"/>
      <c r="P168" s="372"/>
      <c r="Q168" s="2"/>
      <c r="R168" s="2"/>
      <c r="S168" s="2"/>
      <c r="T168" s="2"/>
      <c r="U168" s="2"/>
      <c r="V168" s="2"/>
      <c r="W168" s="2"/>
      <c r="X168" s="22"/>
      <c r="Y168" s="22"/>
    </row>
    <row r="169" spans="1:25" x14ac:dyDescent="0.25">
      <c r="A169" s="9"/>
      <c r="B169" s="9"/>
      <c r="C169" s="256"/>
      <c r="D169" s="284" t="s">
        <v>753</v>
      </c>
      <c r="E169" s="273">
        <v>1</v>
      </c>
      <c r="F169" s="271" t="s">
        <v>40</v>
      </c>
      <c r="G169" s="47">
        <f>IF(PS!$C$3=PS!$L$3,1,0)</f>
        <v>0</v>
      </c>
      <c r="H169" s="48" t="s">
        <v>40</v>
      </c>
      <c r="I169" s="193">
        <f t="shared" si="19"/>
        <v>0</v>
      </c>
      <c r="J169" s="273" t="s">
        <v>40</v>
      </c>
      <c r="K169" s="274" t="s">
        <v>89</v>
      </c>
      <c r="L169" s="271"/>
      <c r="M169" s="58"/>
      <c r="N169" s="372" t="s">
        <v>755</v>
      </c>
      <c r="O169" s="372"/>
      <c r="P169" s="372"/>
      <c r="Q169" s="2"/>
      <c r="R169" s="2"/>
      <c r="S169" s="2"/>
      <c r="T169" s="2"/>
      <c r="U169" s="2"/>
      <c r="V169" s="2"/>
      <c r="W169" s="2"/>
      <c r="X169" s="22"/>
      <c r="Y169" s="22"/>
    </row>
    <row r="170" spans="1:25" s="190" customFormat="1" ht="12.75" customHeight="1" x14ac:dyDescent="0.2">
      <c r="A170" s="9"/>
      <c r="B170" s="9"/>
      <c r="C170" s="256"/>
      <c r="D170" s="285" t="s">
        <v>778</v>
      </c>
      <c r="E170" s="271">
        <v>1</v>
      </c>
      <c r="F170" s="271" t="s">
        <v>40</v>
      </c>
      <c r="G170" s="47">
        <f>IF(PS!$C$3=PS!$M$3,1,0)</f>
        <v>0</v>
      </c>
      <c r="H170" s="48" t="s">
        <v>40</v>
      </c>
      <c r="I170" s="193">
        <f t="shared" si="19"/>
        <v>0</v>
      </c>
      <c r="J170" s="271" t="s">
        <v>40</v>
      </c>
      <c r="K170" s="274" t="s">
        <v>89</v>
      </c>
      <c r="L170" s="271"/>
      <c r="M170" s="275"/>
      <c r="N170" s="372" t="s">
        <v>756</v>
      </c>
      <c r="O170" s="372"/>
      <c r="P170" s="372"/>
      <c r="Q170" s="2"/>
      <c r="R170" s="2"/>
      <c r="S170" s="2"/>
      <c r="T170" s="2"/>
      <c r="U170" s="2"/>
      <c r="V170" s="2"/>
      <c r="W170" s="2"/>
      <c r="X170" s="22"/>
      <c r="Y170" s="22"/>
    </row>
    <row r="171" spans="1:25" x14ac:dyDescent="0.25">
      <c r="A171" s="9"/>
      <c r="B171" s="9"/>
      <c r="C171" s="256"/>
      <c r="D171" s="284" t="s">
        <v>779</v>
      </c>
      <c r="E171" s="273">
        <v>1</v>
      </c>
      <c r="F171" s="271" t="s">
        <v>40</v>
      </c>
      <c r="G171" s="47">
        <f>IF(PS!$C$3=PS!$N$3,1,0)</f>
        <v>1</v>
      </c>
      <c r="H171" s="48" t="s">
        <v>40</v>
      </c>
      <c r="I171" s="193">
        <f t="shared" si="19"/>
        <v>1</v>
      </c>
      <c r="J171" s="273" t="s">
        <v>40</v>
      </c>
      <c r="K171" s="274" t="s">
        <v>89</v>
      </c>
      <c r="L171" s="271"/>
      <c r="M171" s="58"/>
      <c r="N171" s="372" t="s">
        <v>757</v>
      </c>
      <c r="O171" s="372"/>
      <c r="P171" s="372"/>
      <c r="Q171" s="2"/>
      <c r="R171" s="2"/>
      <c r="S171" s="2"/>
      <c r="T171" s="2"/>
      <c r="U171" s="2"/>
      <c r="V171" s="2"/>
      <c r="W171" s="2"/>
      <c r="X171" s="22"/>
      <c r="Y171" s="22"/>
    </row>
    <row r="172" spans="1:25" x14ac:dyDescent="0.25">
      <c r="A172" s="2"/>
      <c r="B172" s="9"/>
      <c r="C172" s="256" t="s">
        <v>722</v>
      </c>
      <c r="D172" s="287" t="s">
        <v>786</v>
      </c>
      <c r="E172" s="273">
        <v>1</v>
      </c>
      <c r="F172" s="273" t="s">
        <v>40</v>
      </c>
      <c r="G172" s="47">
        <f t="shared" ref="G172:G203" ca="1" si="20">IF($C172="",1,VLOOKUP($C172,$C$22:$H$149,3,FALSE))</f>
        <v>2.7938625692151536E-2</v>
      </c>
      <c r="H172" s="48" t="s">
        <v>530</v>
      </c>
      <c r="I172" s="193">
        <f t="shared" ca="1" si="19"/>
        <v>2.7938625692151536E-2</v>
      </c>
      <c r="J172" s="273" t="s">
        <v>40</v>
      </c>
      <c r="K172" s="274"/>
      <c r="L172" s="271"/>
      <c r="M172" s="58"/>
      <c r="N172" s="369" t="s">
        <v>80</v>
      </c>
      <c r="O172" s="370"/>
      <c r="P172" s="371"/>
      <c r="Q172" s="2"/>
      <c r="R172" s="2"/>
      <c r="S172" s="2"/>
      <c r="T172" s="2"/>
      <c r="U172" s="2"/>
      <c r="V172" s="2"/>
      <c r="W172" s="2"/>
      <c r="X172" s="22"/>
      <c r="Y172" s="22"/>
    </row>
    <row r="173" spans="1:25" x14ac:dyDescent="0.25">
      <c r="A173" s="2"/>
      <c r="B173" s="9"/>
      <c r="C173" s="256" t="s">
        <v>723</v>
      </c>
      <c r="D173" s="287" t="s">
        <v>787</v>
      </c>
      <c r="E173" s="273">
        <v>1</v>
      </c>
      <c r="F173" s="273" t="s">
        <v>40</v>
      </c>
      <c r="G173" s="47">
        <f t="shared" ca="1" si="20"/>
        <v>0.13167758109100525</v>
      </c>
      <c r="H173" s="48" t="s">
        <v>530</v>
      </c>
      <c r="I173" s="193">
        <f t="shared" ca="1" si="19"/>
        <v>0.13167758109100525</v>
      </c>
      <c r="J173" s="273" t="s">
        <v>40</v>
      </c>
      <c r="K173" s="274"/>
      <c r="L173" s="271"/>
      <c r="M173" s="58"/>
      <c r="N173" s="365" t="s">
        <v>80</v>
      </c>
      <c r="O173" s="365"/>
      <c r="P173" s="365"/>
      <c r="Q173" s="2"/>
      <c r="R173" s="2"/>
      <c r="S173" s="2"/>
      <c r="T173" s="2"/>
      <c r="U173" s="2"/>
      <c r="V173" s="2"/>
      <c r="W173" s="2"/>
      <c r="X173" s="22"/>
      <c r="Y173" s="22"/>
    </row>
    <row r="174" spans="1:25" x14ac:dyDescent="0.25">
      <c r="A174" s="2"/>
      <c r="B174" s="9"/>
      <c r="C174" s="256" t="s">
        <v>724</v>
      </c>
      <c r="D174" s="287" t="s">
        <v>516</v>
      </c>
      <c r="E174" s="273">
        <v>1</v>
      </c>
      <c r="F174" s="273" t="s">
        <v>40</v>
      </c>
      <c r="G174" s="47">
        <f t="shared" ca="1" si="20"/>
        <v>0.67188179072474763</v>
      </c>
      <c r="H174" s="48" t="s">
        <v>530</v>
      </c>
      <c r="I174" s="193">
        <f t="shared" ca="1" si="19"/>
        <v>0.67188179072474763</v>
      </c>
      <c r="J174" s="273" t="s">
        <v>40</v>
      </c>
      <c r="K174" s="274"/>
      <c r="L174" s="271"/>
      <c r="M174" s="58"/>
      <c r="N174" s="365" t="s">
        <v>80</v>
      </c>
      <c r="O174" s="365"/>
      <c r="P174" s="365"/>
      <c r="Q174" s="2"/>
      <c r="R174" s="2"/>
      <c r="S174" s="2"/>
      <c r="T174" s="2"/>
      <c r="U174" s="2"/>
      <c r="V174" s="2"/>
      <c r="W174" s="2"/>
      <c r="X174" s="22"/>
      <c r="Y174" s="22"/>
    </row>
    <row r="175" spans="1:25" x14ac:dyDescent="0.25">
      <c r="A175" s="2"/>
      <c r="B175" s="9"/>
      <c r="C175" s="256" t="s">
        <v>725</v>
      </c>
      <c r="D175" s="287" t="s">
        <v>799</v>
      </c>
      <c r="E175" s="57">
        <v>1</v>
      </c>
      <c r="F175" s="57" t="s">
        <v>40</v>
      </c>
      <c r="G175" s="47">
        <f t="shared" ca="1" si="20"/>
        <v>5.9979472292759663E-2</v>
      </c>
      <c r="H175" s="48" t="s">
        <v>530</v>
      </c>
      <c r="I175" s="193">
        <f t="shared" ca="1" si="19"/>
        <v>5.9979472292759663E-2</v>
      </c>
      <c r="J175" s="273" t="s">
        <v>40</v>
      </c>
      <c r="K175" s="274"/>
      <c r="L175" s="271"/>
      <c r="M175" s="58"/>
      <c r="N175" s="365" t="s">
        <v>80</v>
      </c>
      <c r="O175" s="365"/>
      <c r="P175" s="365"/>
      <c r="Q175" s="2"/>
      <c r="R175" s="2"/>
      <c r="S175" s="2"/>
      <c r="T175" s="2"/>
      <c r="U175" s="2"/>
      <c r="V175" s="2"/>
      <c r="W175" s="2"/>
      <c r="X175" s="22"/>
      <c r="Y175" s="22"/>
    </row>
    <row r="176" spans="1:25" x14ac:dyDescent="0.25">
      <c r="A176" s="2"/>
      <c r="B176" s="9"/>
      <c r="C176" s="256" t="s">
        <v>726</v>
      </c>
      <c r="D176" s="287" t="s">
        <v>800</v>
      </c>
      <c r="E176" s="57">
        <v>1</v>
      </c>
      <c r="F176" s="57" t="s">
        <v>40</v>
      </c>
      <c r="G176" s="47">
        <f t="shared" ca="1" si="20"/>
        <v>4.3982286799313285E-2</v>
      </c>
      <c r="H176" s="48" t="s">
        <v>530</v>
      </c>
      <c r="I176" s="193">
        <f t="shared" ca="1" si="19"/>
        <v>4.3982286799313285E-2</v>
      </c>
      <c r="J176" s="273" t="s">
        <v>40</v>
      </c>
      <c r="K176" s="274"/>
      <c r="L176" s="271"/>
      <c r="M176" s="58"/>
      <c r="N176" s="365" t="s">
        <v>80</v>
      </c>
      <c r="O176" s="365"/>
      <c r="P176" s="365"/>
      <c r="Q176" s="2"/>
      <c r="R176" s="2"/>
      <c r="S176" s="2"/>
      <c r="T176" s="2"/>
      <c r="U176" s="2"/>
      <c r="V176" s="2"/>
      <c r="W176" s="2"/>
      <c r="X176" s="22"/>
      <c r="Y176" s="22"/>
    </row>
    <row r="177" spans="1:25" x14ac:dyDescent="0.25">
      <c r="A177" s="2"/>
      <c r="B177" s="9"/>
      <c r="C177" s="256" t="s">
        <v>728</v>
      </c>
      <c r="D177" s="287" t="s">
        <v>801</v>
      </c>
      <c r="E177" s="57">
        <v>1</v>
      </c>
      <c r="F177" s="57" t="s">
        <v>40</v>
      </c>
      <c r="G177" s="47">
        <f t="shared" ca="1" si="20"/>
        <v>1.6994965058715603E-2</v>
      </c>
      <c r="H177" s="48" t="s">
        <v>530</v>
      </c>
      <c r="I177" s="193">
        <f t="shared" ca="1" si="19"/>
        <v>1.6994965058715603E-2</v>
      </c>
      <c r="J177" s="273" t="s">
        <v>40</v>
      </c>
      <c r="K177" s="274"/>
      <c r="L177" s="271"/>
      <c r="M177" s="58"/>
      <c r="N177" s="369" t="s">
        <v>80</v>
      </c>
      <c r="O177" s="370"/>
      <c r="P177" s="371"/>
      <c r="Q177" s="2"/>
      <c r="R177" s="2"/>
      <c r="S177" s="2"/>
      <c r="T177" s="2"/>
      <c r="U177" s="2"/>
      <c r="V177" s="2"/>
      <c r="W177" s="2"/>
      <c r="X177" s="22"/>
      <c r="Y177" s="22"/>
    </row>
    <row r="178" spans="1:25" x14ac:dyDescent="0.25">
      <c r="A178" s="2"/>
      <c r="B178" s="9"/>
      <c r="C178" s="34" t="str">
        <f t="shared" ref="C178:C209" si="21">C98</f>
        <v>trimethben123_m</v>
      </c>
      <c r="D178" s="286" t="str">
        <f>VLOOKUP(C46,'Species Data'!E:F,2,FALSE)</f>
        <v>1,2,3-Trimethylbenzene [Group NMVOC to air]</v>
      </c>
      <c r="E178" s="57">
        <v>1</v>
      </c>
      <c r="F178" s="57" t="s">
        <v>40</v>
      </c>
      <c r="G178" s="47">
        <f t="shared" ca="1" si="20"/>
        <v>0</v>
      </c>
      <c r="H178" s="48" t="s">
        <v>530</v>
      </c>
      <c r="I178" s="193">
        <f t="shared" ca="1" si="19"/>
        <v>0</v>
      </c>
      <c r="J178" s="52" t="s">
        <v>40</v>
      </c>
      <c r="K178" s="49"/>
      <c r="L178" s="46" t="s">
        <v>93</v>
      </c>
      <c r="M178" s="50"/>
      <c r="N178" s="369" t="s">
        <v>80</v>
      </c>
      <c r="O178" s="370"/>
      <c r="P178" s="371"/>
      <c r="Q178" s="2"/>
      <c r="R178" s="2"/>
      <c r="S178" s="2"/>
      <c r="T178" s="2"/>
      <c r="U178" s="2"/>
      <c r="V178" s="2"/>
      <c r="W178" s="2"/>
      <c r="X178" s="22"/>
      <c r="Y178" s="22"/>
    </row>
    <row r="179" spans="1:25" x14ac:dyDescent="0.25">
      <c r="A179" s="2"/>
      <c r="B179" s="9"/>
      <c r="C179" s="34" t="str">
        <f t="shared" si="21"/>
        <v>trimetben124_m</v>
      </c>
      <c r="D179" s="286" t="str">
        <f>VLOOKUP(C47,'Species Data'!E:F,2,FALSE)</f>
        <v>1,2,4-Trimethylbenzene [Group NMVOC to air]</v>
      </c>
      <c r="E179" s="57">
        <v>1</v>
      </c>
      <c r="F179" s="57" t="s">
        <v>40</v>
      </c>
      <c r="G179" s="47">
        <f t="shared" ca="1" si="20"/>
        <v>2.6127702170990999E-4</v>
      </c>
      <c r="H179" s="48" t="s">
        <v>530</v>
      </c>
      <c r="I179" s="193">
        <f t="shared" ca="1" si="19"/>
        <v>2.6127702170990999E-4</v>
      </c>
      <c r="J179" s="52" t="s">
        <v>40</v>
      </c>
      <c r="K179" s="49"/>
      <c r="L179" s="46" t="s">
        <v>93</v>
      </c>
      <c r="M179" s="50"/>
      <c r="N179" s="369" t="s">
        <v>80</v>
      </c>
      <c r="O179" s="370"/>
      <c r="P179" s="371"/>
      <c r="Q179" s="2"/>
      <c r="R179" s="2"/>
      <c r="S179" s="2"/>
      <c r="T179" s="2"/>
      <c r="U179" s="2"/>
      <c r="V179" s="2"/>
      <c r="W179" s="2"/>
      <c r="X179" s="22"/>
      <c r="Y179" s="22"/>
    </row>
    <row r="180" spans="1:25" x14ac:dyDescent="0.25">
      <c r="A180" s="2"/>
      <c r="B180" s="9"/>
      <c r="C180" s="34" t="str">
        <f t="shared" si="21"/>
        <v>trimethben135_m</v>
      </c>
      <c r="D180" s="286" t="str">
        <f>VLOOKUP(C48,'Species Data'!E:F,2,FALSE)</f>
        <v>1,3,5-Trimethylbenzene [Group NMVOC to air]</v>
      </c>
      <c r="E180" s="57">
        <v>1</v>
      </c>
      <c r="F180" s="57" t="s">
        <v>40</v>
      </c>
      <c r="G180" s="47">
        <f t="shared" ca="1" si="20"/>
        <v>0</v>
      </c>
      <c r="H180" s="48" t="s">
        <v>530</v>
      </c>
      <c r="I180" s="193">
        <f t="shared" ref="I180:I200" ca="1" si="22">IF(D180="","",E180*G180*$D$5)</f>
        <v>0</v>
      </c>
      <c r="J180" s="52" t="s">
        <v>40</v>
      </c>
      <c r="K180" s="49"/>
      <c r="L180" s="46" t="s">
        <v>93</v>
      </c>
      <c r="M180" s="50"/>
      <c r="N180" s="369" t="s">
        <v>80</v>
      </c>
      <c r="O180" s="370"/>
      <c r="P180" s="371"/>
      <c r="Q180" s="2"/>
      <c r="R180" s="2"/>
      <c r="S180" s="2"/>
      <c r="T180" s="2"/>
      <c r="U180" s="2"/>
      <c r="V180" s="2"/>
      <c r="W180" s="2"/>
      <c r="X180" s="22"/>
      <c r="Y180" s="22"/>
    </row>
    <row r="181" spans="1:25" x14ac:dyDescent="0.25">
      <c r="A181" s="2"/>
      <c r="B181" s="9"/>
      <c r="C181" s="34" t="str">
        <f t="shared" si="21"/>
        <v>ethben12_m</v>
      </c>
      <c r="D181" s="59" t="str">
        <f>VLOOKUP(C49,'Species Data'!E:F,2,FALSE)</f>
        <v>ortho-Ethyltoluene [Group NMVOC to air]</v>
      </c>
      <c r="E181" s="57">
        <v>1</v>
      </c>
      <c r="F181" s="57" t="s">
        <v>40</v>
      </c>
      <c r="G181" s="47">
        <f t="shared" ca="1" si="20"/>
        <v>9.1997416071407627E-5</v>
      </c>
      <c r="H181" s="48" t="s">
        <v>530</v>
      </c>
      <c r="I181" s="193">
        <f t="shared" ca="1" si="22"/>
        <v>9.1997416071407627E-5</v>
      </c>
      <c r="J181" s="52" t="s">
        <v>40</v>
      </c>
      <c r="K181" s="49"/>
      <c r="L181" s="46" t="s">
        <v>93</v>
      </c>
      <c r="M181" s="50"/>
      <c r="N181" s="369" t="s">
        <v>80</v>
      </c>
      <c r="O181" s="370"/>
      <c r="P181" s="371"/>
      <c r="Q181" s="2"/>
      <c r="R181" s="2"/>
      <c r="S181" s="2"/>
      <c r="T181" s="2"/>
      <c r="U181" s="2"/>
      <c r="V181" s="2"/>
      <c r="W181" s="2"/>
      <c r="X181" s="22"/>
      <c r="Y181" s="22"/>
    </row>
    <row r="182" spans="1:25" x14ac:dyDescent="0.25">
      <c r="A182" s="2"/>
      <c r="B182" s="9"/>
      <c r="C182" s="34" t="str">
        <f t="shared" si="21"/>
        <v>ethben13_m</v>
      </c>
      <c r="D182" s="59" t="str">
        <f>VLOOKUP(C50,'Species Data'!E:F,2,FALSE)</f>
        <v>meta-Ethyltoluene [Group NMVOC to air]</v>
      </c>
      <c r="E182" s="57">
        <v>1</v>
      </c>
      <c r="F182" s="57" t="s">
        <v>40</v>
      </c>
      <c r="G182" s="47">
        <f t="shared" ca="1" si="20"/>
        <v>1.5799793198519588E-4</v>
      </c>
      <c r="H182" s="48" t="s">
        <v>530</v>
      </c>
      <c r="I182" s="193">
        <f t="shared" ca="1" si="22"/>
        <v>1.5799793198519588E-4</v>
      </c>
      <c r="J182" s="52" t="s">
        <v>40</v>
      </c>
      <c r="K182" s="49"/>
      <c r="L182" s="46" t="s">
        <v>93</v>
      </c>
      <c r="M182" s="50"/>
      <c r="N182" s="365" t="s">
        <v>80</v>
      </c>
      <c r="O182" s="365"/>
      <c r="P182" s="365"/>
      <c r="Q182" s="2"/>
      <c r="R182" s="2"/>
      <c r="S182" s="2"/>
      <c r="T182" s="2"/>
      <c r="U182" s="2"/>
      <c r="V182" s="2"/>
      <c r="W182" s="2"/>
      <c r="X182" s="22"/>
      <c r="Y182" s="22"/>
    </row>
    <row r="183" spans="1:25" x14ac:dyDescent="0.25">
      <c r="A183" s="2"/>
      <c r="B183" s="9"/>
      <c r="C183" s="34" t="str">
        <f t="shared" si="21"/>
        <v>trimetpen2_m</v>
      </c>
      <c r="D183" s="59" t="str">
        <f>VLOOKUP(C51,'Species Data'!E:F,2,FALSE)</f>
        <v>2,2,4-Trimethylpentane [Group NMVOC to air]</v>
      </c>
      <c r="E183" s="57">
        <v>1</v>
      </c>
      <c r="F183" s="57" t="s">
        <v>40</v>
      </c>
      <c r="G183" s="47">
        <f t="shared" ca="1" si="20"/>
        <v>0</v>
      </c>
      <c r="H183" s="48" t="s">
        <v>530</v>
      </c>
      <c r="I183" s="193">
        <f ca="1">IF(D183="","",E183*G183*$D$5)</f>
        <v>0</v>
      </c>
      <c r="J183" s="52" t="s">
        <v>40</v>
      </c>
      <c r="K183" s="49"/>
      <c r="L183" s="46" t="s">
        <v>93</v>
      </c>
      <c r="M183" s="50"/>
      <c r="N183" s="365" t="s">
        <v>80</v>
      </c>
      <c r="O183" s="365"/>
      <c r="P183" s="365"/>
      <c r="Q183" s="2"/>
      <c r="R183" s="2"/>
      <c r="S183" s="2"/>
      <c r="T183" s="2"/>
      <c r="U183" s="2"/>
      <c r="V183" s="2"/>
      <c r="W183" s="2"/>
      <c r="X183" s="22"/>
      <c r="Y183" s="22"/>
    </row>
    <row r="184" spans="1:25" x14ac:dyDescent="0.25">
      <c r="A184" s="2"/>
      <c r="B184" s="9"/>
      <c r="C184" s="34" t="str">
        <f t="shared" si="21"/>
        <v>dimetbut22_m</v>
      </c>
      <c r="D184" s="59" t="str">
        <f>VLOOKUP(C52,'Species Data'!E:F,2,FALSE)</f>
        <v>2,2-Dimethylbutane [Group NMVOC to air]</v>
      </c>
      <c r="E184" s="57">
        <v>1</v>
      </c>
      <c r="F184" s="57" t="s">
        <v>40</v>
      </c>
      <c r="G184" s="47">
        <f t="shared" ca="1" si="20"/>
        <v>1.3636109893996553E-4</v>
      </c>
      <c r="H184" s="48" t="s">
        <v>530</v>
      </c>
      <c r="I184" s="193">
        <f t="shared" ca="1" si="22"/>
        <v>1.3636109893996553E-4</v>
      </c>
      <c r="J184" s="52" t="s">
        <v>40</v>
      </c>
      <c r="K184" s="49"/>
      <c r="L184" s="46" t="s">
        <v>93</v>
      </c>
      <c r="M184" s="50"/>
      <c r="N184" s="365" t="s">
        <v>80</v>
      </c>
      <c r="O184" s="365"/>
      <c r="P184" s="365"/>
      <c r="Q184" s="2"/>
      <c r="R184" s="2"/>
      <c r="S184" s="2"/>
      <c r="T184" s="2"/>
      <c r="U184" s="2"/>
      <c r="V184" s="2"/>
      <c r="W184" s="2"/>
      <c r="X184" s="22"/>
      <c r="Y184" s="22"/>
    </row>
    <row r="185" spans="1:25" x14ac:dyDescent="0.25">
      <c r="A185" s="2"/>
      <c r="B185" s="9"/>
      <c r="C185" s="34" t="str">
        <f t="shared" si="21"/>
        <v>dimethpro_m</v>
      </c>
      <c r="D185" s="59" t="str">
        <f>VLOOKUP(C53,'Species Data'!E:F,2,FALSE)</f>
        <v>Neopentane [Group NMVOC to air]</v>
      </c>
      <c r="E185" s="57">
        <v>1</v>
      </c>
      <c r="F185" s="57" t="s">
        <v>40</v>
      </c>
      <c r="G185" s="47">
        <f t="shared" ca="1" si="20"/>
        <v>1.1254423233854071E-4</v>
      </c>
      <c r="H185" s="48" t="s">
        <v>530</v>
      </c>
      <c r="I185" s="193">
        <f t="shared" ca="1" si="22"/>
        <v>1.1254423233854071E-4</v>
      </c>
      <c r="J185" s="52" t="s">
        <v>40</v>
      </c>
      <c r="K185" s="49"/>
      <c r="L185" s="46" t="s">
        <v>93</v>
      </c>
      <c r="M185" s="50"/>
      <c r="N185" s="365" t="s">
        <v>80</v>
      </c>
      <c r="O185" s="365"/>
      <c r="P185" s="365"/>
      <c r="Q185" s="2"/>
      <c r="R185" s="2"/>
      <c r="S185" s="2"/>
      <c r="T185" s="2"/>
      <c r="U185" s="2"/>
      <c r="V185" s="2"/>
      <c r="W185" s="2"/>
      <c r="X185" s="22"/>
      <c r="Y185" s="22"/>
    </row>
    <row r="186" spans="1:25" x14ac:dyDescent="0.25">
      <c r="A186" s="2"/>
      <c r="B186" s="9"/>
      <c r="C186" s="34" t="str">
        <f t="shared" si="21"/>
        <v>trimentpen3_m</v>
      </c>
      <c r="D186" s="59" t="str">
        <f>VLOOKUP(C54,'Species Data'!E:F,2,FALSE)</f>
        <v>2,3,4-Trimethylpentane [Group NMVOC to air]</v>
      </c>
      <c r="E186" s="57">
        <v>1</v>
      </c>
      <c r="F186" s="57" t="s">
        <v>40</v>
      </c>
      <c r="G186" s="47">
        <f t="shared" ca="1" si="20"/>
        <v>1.9974557458632042E-4</v>
      </c>
      <c r="H186" s="48" t="s">
        <v>530</v>
      </c>
      <c r="I186" s="193">
        <f ca="1">IF(D186="","",E186*G186*$D$5)</f>
        <v>1.9974557458632042E-4</v>
      </c>
      <c r="J186" s="52" t="s">
        <v>40</v>
      </c>
      <c r="K186" s="49"/>
      <c r="L186" s="46" t="s">
        <v>93</v>
      </c>
      <c r="M186" s="50"/>
      <c r="N186" s="365" t="s">
        <v>80</v>
      </c>
      <c r="O186" s="365"/>
      <c r="P186" s="365"/>
      <c r="Q186" s="2"/>
      <c r="R186" s="2"/>
      <c r="S186" s="2"/>
      <c r="T186" s="2"/>
      <c r="U186" s="2"/>
      <c r="V186" s="2"/>
      <c r="W186" s="2"/>
      <c r="X186" s="22"/>
      <c r="Y186" s="22"/>
    </row>
    <row r="187" spans="1:25" x14ac:dyDescent="0.25">
      <c r="A187" s="2"/>
      <c r="B187" s="9"/>
      <c r="C187" s="34" t="str">
        <f t="shared" si="21"/>
        <v>dimetbut_m</v>
      </c>
      <c r="D187" s="59" t="str">
        <f>VLOOKUP(C55,'Species Data'!E:F,2,FALSE)</f>
        <v>2,3-Dimethylbutane [Group NMVOC to air]</v>
      </c>
      <c r="E187" s="57">
        <v>1</v>
      </c>
      <c r="F187" s="57" t="s">
        <v>40</v>
      </c>
      <c r="G187" s="47">
        <f t="shared" ca="1" si="20"/>
        <v>0</v>
      </c>
      <c r="H187" s="48" t="s">
        <v>530</v>
      </c>
      <c r="I187" s="193">
        <f t="shared" ca="1" si="22"/>
        <v>0</v>
      </c>
      <c r="J187" s="52" t="s">
        <v>40</v>
      </c>
      <c r="K187" s="49"/>
      <c r="L187" s="46" t="s">
        <v>93</v>
      </c>
      <c r="M187" s="50"/>
      <c r="N187" s="365" t="s">
        <v>80</v>
      </c>
      <c r="O187" s="365"/>
      <c r="P187" s="365"/>
      <c r="Q187" s="2"/>
      <c r="R187" s="2"/>
      <c r="S187" s="2"/>
      <c r="T187" s="2"/>
      <c r="U187" s="2"/>
      <c r="V187" s="2"/>
      <c r="W187" s="2"/>
      <c r="X187" s="22"/>
      <c r="Y187" s="22"/>
    </row>
    <row r="188" spans="1:25" x14ac:dyDescent="0.25">
      <c r="A188" s="2"/>
      <c r="B188" s="9"/>
      <c r="C188" s="34" t="str">
        <f t="shared" si="21"/>
        <v>dimethhex23_m</v>
      </c>
      <c r="D188" s="59" t="str">
        <f>VLOOKUP(C56,'Species Data'!E:F,2,FALSE)</f>
        <v>2,3-Dimethylhexane [Group NMVOC to air]</v>
      </c>
      <c r="E188" s="57">
        <v>1</v>
      </c>
      <c r="F188" s="57" t="s">
        <v>40</v>
      </c>
      <c r="G188" s="47">
        <f t="shared" ca="1" si="20"/>
        <v>1.0889267613191496E-4</v>
      </c>
      <c r="H188" s="48" t="s">
        <v>530</v>
      </c>
      <c r="I188" s="193">
        <f t="shared" ca="1" si="22"/>
        <v>1.0889267613191496E-4</v>
      </c>
      <c r="J188" s="52" t="s">
        <v>40</v>
      </c>
      <c r="K188" s="49"/>
      <c r="L188" s="46" t="s">
        <v>93</v>
      </c>
      <c r="M188" s="50"/>
      <c r="N188" s="365" t="s">
        <v>80</v>
      </c>
      <c r="O188" s="365"/>
      <c r="P188" s="365"/>
      <c r="Q188" s="2"/>
      <c r="R188" s="2"/>
      <c r="S188" s="2"/>
      <c r="T188" s="2"/>
      <c r="U188" s="2"/>
      <c r="V188" s="2"/>
      <c r="W188" s="2"/>
      <c r="X188" s="22"/>
      <c r="Y188" s="22"/>
    </row>
    <row r="189" spans="1:25" x14ac:dyDescent="0.25">
      <c r="A189" s="2"/>
      <c r="B189" s="9"/>
      <c r="C189" s="34" t="str">
        <f t="shared" si="21"/>
        <v>dimetpen3_m</v>
      </c>
      <c r="D189" s="59" t="str">
        <f>VLOOKUP(C57,'Species Data'!E:F,2,FALSE)</f>
        <v>2,3 Dimethylpentane [Group NMVOC to air]</v>
      </c>
      <c r="E189" s="57">
        <v>1</v>
      </c>
      <c r="F189" s="57" t="s">
        <v>40</v>
      </c>
      <c r="G189" s="47">
        <f t="shared" ca="1" si="20"/>
        <v>5.1715846036823863E-4</v>
      </c>
      <c r="H189" s="48" t="s">
        <v>530</v>
      </c>
      <c r="I189" s="193">
        <f t="shared" ca="1" si="22"/>
        <v>5.1715846036823863E-4</v>
      </c>
      <c r="J189" s="52" t="s">
        <v>40</v>
      </c>
      <c r="K189" s="49"/>
      <c r="L189" s="46" t="s">
        <v>93</v>
      </c>
      <c r="M189" s="50"/>
      <c r="N189" s="365" t="s">
        <v>80</v>
      </c>
      <c r="O189" s="365"/>
      <c r="P189" s="365"/>
      <c r="Q189" s="2"/>
      <c r="R189" s="2"/>
      <c r="S189" s="2"/>
      <c r="T189" s="2"/>
      <c r="U189" s="2"/>
      <c r="V189" s="2"/>
      <c r="W189" s="2"/>
      <c r="X189" s="22"/>
      <c r="Y189" s="22"/>
    </row>
    <row r="190" spans="1:25" x14ac:dyDescent="0.25">
      <c r="A190" s="2"/>
      <c r="B190" s="9"/>
      <c r="C190" s="34" t="str">
        <f t="shared" si="21"/>
        <v>dimethhex24_m</v>
      </c>
      <c r="D190" s="59" t="str">
        <f>VLOOKUP(C58,'Species Data'!E:F,2,FALSE)</f>
        <v>2,4-Dimethylhexane [Group NMVOC to air]</v>
      </c>
      <c r="E190" s="57">
        <v>1</v>
      </c>
      <c r="F190" s="57" t="s">
        <v>40</v>
      </c>
      <c r="G190" s="47">
        <f t="shared" ca="1" si="20"/>
        <v>1.2998450078809665E-4</v>
      </c>
      <c r="H190" s="48" t="s">
        <v>530</v>
      </c>
      <c r="I190" s="193">
        <f t="shared" ca="1" si="22"/>
        <v>1.2998450078809665E-4</v>
      </c>
      <c r="J190" s="52" t="s">
        <v>40</v>
      </c>
      <c r="K190" s="49"/>
      <c r="L190" s="46" t="s">
        <v>93</v>
      </c>
      <c r="M190" s="50"/>
      <c r="N190" s="365" t="s">
        <v>80</v>
      </c>
      <c r="O190" s="365"/>
      <c r="P190" s="365"/>
      <c r="Q190" s="2"/>
      <c r="R190" s="2"/>
      <c r="S190" s="2"/>
      <c r="T190" s="2"/>
      <c r="U190" s="2"/>
      <c r="V190" s="2"/>
      <c r="W190" s="2"/>
      <c r="X190" s="22"/>
      <c r="Y190" s="22"/>
    </row>
    <row r="191" spans="1:25" ht="15" customHeight="1" x14ac:dyDescent="0.25">
      <c r="A191" s="2"/>
      <c r="B191" s="9"/>
      <c r="C191" s="34" t="str">
        <f t="shared" si="21"/>
        <v>dimetpen4_m</v>
      </c>
      <c r="D191" s="59" t="str">
        <f>VLOOKUP(C59,'Species Data'!E:F,2,FALSE)</f>
        <v>2,4-Dimethylpentane [Group NMVOC to air]</v>
      </c>
      <c r="E191" s="57">
        <v>1</v>
      </c>
      <c r="F191" s="57" t="s">
        <v>40</v>
      </c>
      <c r="G191" s="47">
        <f t="shared" ca="1" si="20"/>
        <v>1.2807697142642647E-4</v>
      </c>
      <c r="H191" s="48" t="s">
        <v>530</v>
      </c>
      <c r="I191" s="193">
        <f t="shared" ca="1" si="22"/>
        <v>1.2807697142642647E-4</v>
      </c>
      <c r="J191" s="52" t="s">
        <v>40</v>
      </c>
      <c r="K191" s="49"/>
      <c r="L191" s="46" t="s">
        <v>93</v>
      </c>
      <c r="M191" s="50"/>
      <c r="N191" s="365" t="s">
        <v>80</v>
      </c>
      <c r="O191" s="365"/>
      <c r="P191" s="365"/>
      <c r="Q191" s="2"/>
      <c r="R191" s="2"/>
      <c r="S191" s="2"/>
      <c r="T191" s="2"/>
      <c r="U191" s="2"/>
      <c r="V191" s="2"/>
      <c r="W191" s="2"/>
      <c r="X191" s="22"/>
      <c r="Y191" s="22"/>
    </row>
    <row r="192" spans="1:25" ht="15" customHeight="1" x14ac:dyDescent="0.25">
      <c r="A192" s="2"/>
      <c r="B192" s="9"/>
      <c r="C192" s="34" t="str">
        <f t="shared" si="21"/>
        <v>methep2_m</v>
      </c>
      <c r="D192" s="59" t="str">
        <f>VLOOKUP(C60,'Species Data'!E:F,2,FALSE)</f>
        <v>2-Methylheptane [Group NMVOC to air]</v>
      </c>
      <c r="E192" s="57">
        <v>1</v>
      </c>
      <c r="F192" s="57" t="s">
        <v>40</v>
      </c>
      <c r="G192" s="47">
        <f t="shared" ca="1" si="20"/>
        <v>4.0603124984122443E-4</v>
      </c>
      <c r="H192" s="48" t="s">
        <v>530</v>
      </c>
      <c r="I192" s="193">
        <f t="shared" ca="1" si="22"/>
        <v>4.0603124984122443E-4</v>
      </c>
      <c r="J192" s="52" t="s">
        <v>40</v>
      </c>
      <c r="K192" s="49"/>
      <c r="L192" s="46" t="s">
        <v>93</v>
      </c>
      <c r="M192" s="50"/>
      <c r="N192" s="365" t="s">
        <v>80</v>
      </c>
      <c r="O192" s="365"/>
      <c r="P192" s="365"/>
      <c r="Q192" s="2"/>
      <c r="R192" s="2"/>
      <c r="S192" s="2"/>
      <c r="T192" s="2"/>
      <c r="U192" s="2"/>
      <c r="V192" s="2"/>
      <c r="W192" s="2"/>
      <c r="X192" s="22"/>
      <c r="Y192" s="22"/>
    </row>
    <row r="193" spans="1:25" ht="15" customHeight="1" x14ac:dyDescent="0.25">
      <c r="A193" s="2"/>
      <c r="B193" s="9"/>
      <c r="C193" s="34" t="str">
        <f t="shared" si="21"/>
        <v>twomethex_m</v>
      </c>
      <c r="D193" s="59" t="str">
        <f>VLOOKUP(C61,'Species Data'!E:F,2,FALSE)</f>
        <v>2-Methylhexane [Group NMVOC to air]</v>
      </c>
      <c r="E193" s="57">
        <v>1</v>
      </c>
      <c r="F193" s="57" t="s">
        <v>40</v>
      </c>
      <c r="G193" s="47">
        <f t="shared" ca="1" si="20"/>
        <v>3.5714399734356286E-4</v>
      </c>
      <c r="H193" s="48" t="s">
        <v>530</v>
      </c>
      <c r="I193" s="193">
        <f t="shared" ca="1" si="22"/>
        <v>3.5714399734356286E-4</v>
      </c>
      <c r="J193" s="52" t="s">
        <v>40</v>
      </c>
      <c r="K193" s="49"/>
      <c r="L193" s="46" t="s">
        <v>93</v>
      </c>
      <c r="M193" s="50"/>
      <c r="N193" s="365" t="s">
        <v>80</v>
      </c>
      <c r="O193" s="365"/>
      <c r="P193" s="365"/>
      <c r="Q193" s="2"/>
      <c r="R193" s="2"/>
      <c r="S193" s="2"/>
      <c r="T193" s="2"/>
      <c r="U193" s="2"/>
      <c r="V193" s="2"/>
      <c r="W193" s="2"/>
      <c r="X193" s="22"/>
      <c r="Y193" s="22"/>
    </row>
    <row r="194" spans="1:25" ht="15" customHeight="1" x14ac:dyDescent="0.25">
      <c r="A194" s="2"/>
      <c r="B194" s="9"/>
      <c r="C194" s="34" t="str">
        <f t="shared" si="21"/>
        <v>twometpen_m</v>
      </c>
      <c r="D194" s="59" t="str">
        <f>VLOOKUP(C62,'Species Data'!E:F,2,FALSE)</f>
        <v>2-Methylpentane [Group NMVOC to air]</v>
      </c>
      <c r="E194" s="57">
        <v>1</v>
      </c>
      <c r="F194" s="57" t="s">
        <v>40</v>
      </c>
      <c r="G194" s="47">
        <f t="shared" ca="1" si="20"/>
        <v>1.1596143493787557E-3</v>
      </c>
      <c r="H194" s="48" t="s">
        <v>530</v>
      </c>
      <c r="I194" s="193">
        <f t="shared" ca="1" si="22"/>
        <v>1.1596143493787557E-3</v>
      </c>
      <c r="J194" s="52" t="s">
        <v>40</v>
      </c>
      <c r="K194" s="49"/>
      <c r="L194" s="46" t="s">
        <v>93</v>
      </c>
      <c r="M194" s="50"/>
      <c r="N194" s="365" t="s">
        <v>80</v>
      </c>
      <c r="O194" s="365"/>
      <c r="P194" s="365"/>
      <c r="Q194" s="2"/>
      <c r="R194" s="2"/>
      <c r="S194" s="2"/>
      <c r="T194" s="2"/>
      <c r="U194" s="2"/>
      <c r="V194" s="2"/>
      <c r="W194" s="2"/>
      <c r="X194" s="22"/>
      <c r="Y194" s="22"/>
    </row>
    <row r="195" spans="1:25" ht="15" customHeight="1" x14ac:dyDescent="0.25">
      <c r="A195" s="2"/>
      <c r="B195" s="9"/>
      <c r="C195" s="34" t="str">
        <f t="shared" si="21"/>
        <v>methep3_m</v>
      </c>
      <c r="D195" s="59" t="str">
        <f>VLOOKUP(C63,'Species Data'!E:F,2,FALSE)</f>
        <v>3-Methylheptane [Group NMVOC to air]</v>
      </c>
      <c r="E195" s="57">
        <v>1</v>
      </c>
      <c r="F195" s="57" t="s">
        <v>40</v>
      </c>
      <c r="G195" s="47">
        <f t="shared" ca="1" si="20"/>
        <v>0</v>
      </c>
      <c r="H195" s="48" t="s">
        <v>530</v>
      </c>
      <c r="I195" s="193">
        <f t="shared" ca="1" si="22"/>
        <v>0</v>
      </c>
      <c r="J195" s="52" t="s">
        <v>40</v>
      </c>
      <c r="K195" s="49"/>
      <c r="L195" s="46" t="s">
        <v>93</v>
      </c>
      <c r="M195" s="50"/>
      <c r="N195" s="365" t="s">
        <v>80</v>
      </c>
      <c r="O195" s="365"/>
      <c r="P195" s="365"/>
      <c r="Q195" s="2"/>
      <c r="R195" s="2"/>
      <c r="S195" s="2"/>
      <c r="T195" s="2"/>
      <c r="U195" s="2"/>
      <c r="V195" s="2"/>
      <c r="W195" s="2"/>
      <c r="X195" s="22"/>
      <c r="Y195" s="22"/>
    </row>
    <row r="196" spans="1:25" ht="15" customHeight="1" x14ac:dyDescent="0.25">
      <c r="A196" s="2"/>
      <c r="B196" s="9"/>
      <c r="C196" s="34" t="str">
        <f t="shared" si="21"/>
        <v>threemethex_m</v>
      </c>
      <c r="D196" s="59" t="str">
        <f>VLOOKUP(C64,'Species Data'!E:F,2,FALSE)</f>
        <v>3-Methylhexane [Group NMVOC to air]</v>
      </c>
      <c r="E196" s="57">
        <v>1</v>
      </c>
      <c r="F196" s="57" t="s">
        <v>40</v>
      </c>
      <c r="G196" s="47">
        <f t="shared" ca="1" si="20"/>
        <v>5.0740281020426837E-4</v>
      </c>
      <c r="H196" s="48" t="s">
        <v>530</v>
      </c>
      <c r="I196" s="193">
        <f t="shared" ca="1" si="22"/>
        <v>5.0740281020426837E-4</v>
      </c>
      <c r="J196" s="52" t="s">
        <v>40</v>
      </c>
      <c r="K196" s="49"/>
      <c r="L196" s="46" t="s">
        <v>93</v>
      </c>
      <c r="M196" s="50"/>
      <c r="N196" s="365" t="s">
        <v>80</v>
      </c>
      <c r="O196" s="365"/>
      <c r="P196" s="365"/>
      <c r="Q196" s="2"/>
      <c r="R196" s="2"/>
      <c r="S196" s="2"/>
      <c r="T196" s="2"/>
      <c r="U196" s="2"/>
      <c r="V196" s="2"/>
      <c r="W196" s="2"/>
      <c r="X196" s="22"/>
      <c r="Y196" s="22"/>
    </row>
    <row r="197" spans="1:25" ht="15" customHeight="1" x14ac:dyDescent="0.25">
      <c r="A197" s="2"/>
      <c r="B197" s="9"/>
      <c r="C197" s="34" t="str">
        <f t="shared" si="21"/>
        <v>threemetpen_m</v>
      </c>
      <c r="D197" s="59" t="str">
        <f>VLOOKUP(C65,'Species Data'!E:F,2,FALSE)</f>
        <v>3-Methylpentane [Group NMVOC to air]</v>
      </c>
      <c r="E197" s="57">
        <v>1</v>
      </c>
      <c r="F197" s="57" t="s">
        <v>40</v>
      </c>
      <c r="G197" s="47">
        <f t="shared" ca="1" si="20"/>
        <v>7.6971534785337081E-4</v>
      </c>
      <c r="H197" s="48" t="s">
        <v>530</v>
      </c>
      <c r="I197" s="193">
        <f t="shared" ca="1" si="22"/>
        <v>7.6971534785337081E-4</v>
      </c>
      <c r="J197" s="52" t="s">
        <v>40</v>
      </c>
      <c r="K197" s="49"/>
      <c r="L197" s="46" t="s">
        <v>93</v>
      </c>
      <c r="M197" s="50"/>
      <c r="N197" s="365" t="s">
        <v>80</v>
      </c>
      <c r="O197" s="365"/>
      <c r="P197" s="365"/>
      <c r="Q197" s="2"/>
      <c r="R197" s="2"/>
      <c r="S197" s="2"/>
      <c r="T197" s="2"/>
      <c r="U197" s="2"/>
      <c r="V197" s="2"/>
      <c r="W197" s="2"/>
      <c r="X197" s="22"/>
      <c r="Y197" s="22"/>
    </row>
    <row r="198" spans="1:25" ht="15" customHeight="1" x14ac:dyDescent="0.25">
      <c r="A198" s="2"/>
      <c r="B198" s="9"/>
      <c r="C198" s="34" t="str">
        <f t="shared" si="21"/>
        <v>benzene_m</v>
      </c>
      <c r="D198" s="59" t="str">
        <f>VLOOKUP(C66,'Species Data'!E:F,2,FALSE)</f>
        <v>Benzene [Group NMVOC to air]</v>
      </c>
      <c r="E198" s="57">
        <v>1</v>
      </c>
      <c r="F198" s="57" t="s">
        <v>40</v>
      </c>
      <c r="G198" s="47">
        <f t="shared" ca="1" si="20"/>
        <v>1.4638925329846022E-4</v>
      </c>
      <c r="H198" s="48" t="s">
        <v>530</v>
      </c>
      <c r="I198" s="193">
        <f t="shared" ca="1" si="22"/>
        <v>1.4638925329846022E-4</v>
      </c>
      <c r="J198" s="52" t="s">
        <v>40</v>
      </c>
      <c r="K198" s="49"/>
      <c r="L198" s="46" t="s">
        <v>93</v>
      </c>
      <c r="M198" s="50"/>
      <c r="N198" s="365" t="s">
        <v>80</v>
      </c>
      <c r="O198" s="365"/>
      <c r="P198" s="365"/>
      <c r="Q198" s="2"/>
      <c r="R198" s="2"/>
      <c r="S198" s="2"/>
      <c r="T198" s="2"/>
      <c r="U198" s="2"/>
      <c r="V198" s="2"/>
      <c r="W198" s="2"/>
      <c r="X198" s="22"/>
      <c r="Y198" s="22"/>
    </row>
    <row r="199" spans="1:25" ht="15" customHeight="1" x14ac:dyDescent="0.25">
      <c r="A199" s="2"/>
      <c r="B199" s="9"/>
      <c r="C199" s="34" t="str">
        <f t="shared" si="21"/>
        <v>cyclohexane_m</v>
      </c>
      <c r="D199" s="59" t="str">
        <f>VLOOKUP(C67,'Species Data'!E:F,2,FALSE)</f>
        <v>Cyclohexane (hexahydro benzene) [Group NMVOC to air]</v>
      </c>
      <c r="E199" s="57">
        <v>1</v>
      </c>
      <c r="F199" s="57" t="s">
        <v>40</v>
      </c>
      <c r="G199" s="47">
        <f t="shared" ca="1" si="20"/>
        <v>0</v>
      </c>
      <c r="H199" s="48" t="s">
        <v>530</v>
      </c>
      <c r="I199" s="193">
        <f t="shared" ca="1" si="22"/>
        <v>0</v>
      </c>
      <c r="J199" s="52" t="s">
        <v>40</v>
      </c>
      <c r="K199" s="49"/>
      <c r="L199" s="46" t="s">
        <v>93</v>
      </c>
      <c r="M199" s="50"/>
      <c r="N199" s="365" t="s">
        <v>80</v>
      </c>
      <c r="O199" s="365"/>
      <c r="P199" s="365"/>
      <c r="Q199" s="2"/>
      <c r="R199" s="2"/>
      <c r="S199" s="2"/>
      <c r="T199" s="2"/>
      <c r="U199" s="2"/>
      <c r="V199" s="2"/>
      <c r="W199" s="2"/>
      <c r="X199" s="22"/>
      <c r="Y199" s="22"/>
    </row>
    <row r="200" spans="1:25" ht="15" customHeight="1" x14ac:dyDescent="0.25">
      <c r="A200" s="2"/>
      <c r="B200" s="9"/>
      <c r="C200" s="34" t="str">
        <f t="shared" si="21"/>
        <v>cyclopentane_m</v>
      </c>
      <c r="D200" s="59" t="str">
        <f>VLOOKUP(C68,'Species Data'!E:F,2,FALSE)</f>
        <v>Cyclopentane [Group NMVOC to air]</v>
      </c>
      <c r="E200" s="57">
        <v>1</v>
      </c>
      <c r="F200" s="57" t="s">
        <v>40</v>
      </c>
      <c r="G200" s="47">
        <f t="shared" ca="1" si="20"/>
        <v>3.5845201747727954E-4</v>
      </c>
      <c r="H200" s="48" t="s">
        <v>530</v>
      </c>
      <c r="I200" s="193">
        <f t="shared" ca="1" si="22"/>
        <v>3.5845201747727954E-4</v>
      </c>
      <c r="J200" s="52" t="s">
        <v>40</v>
      </c>
      <c r="K200" s="49"/>
      <c r="L200" s="46" t="s">
        <v>93</v>
      </c>
      <c r="M200" s="50"/>
      <c r="N200" s="365" t="s">
        <v>80</v>
      </c>
      <c r="O200" s="365"/>
      <c r="P200" s="365"/>
      <c r="Q200" s="2"/>
      <c r="R200" s="2"/>
      <c r="S200" s="2"/>
      <c r="T200" s="2"/>
      <c r="U200" s="2"/>
      <c r="V200" s="2"/>
      <c r="W200" s="2"/>
      <c r="X200" s="22"/>
      <c r="Y200" s="22"/>
    </row>
    <row r="201" spans="1:25" ht="15" customHeight="1" x14ac:dyDescent="0.25">
      <c r="A201" s="2"/>
      <c r="B201" s="9"/>
      <c r="C201" s="34" t="str">
        <f t="shared" si="21"/>
        <v>ethyl_benz_m</v>
      </c>
      <c r="D201" s="59" t="str">
        <f>VLOOKUP(C69,'Species Data'!E:F,2,FALSE)</f>
        <v>Ethyl benzene [Group NMVOC to air]</v>
      </c>
      <c r="E201" s="57">
        <v>1</v>
      </c>
      <c r="F201" s="57" t="s">
        <v>40</v>
      </c>
      <c r="G201" s="47">
        <f t="shared" ca="1" si="20"/>
        <v>5.9498565832438201E-4</v>
      </c>
      <c r="H201" s="48" t="s">
        <v>530</v>
      </c>
      <c r="I201" s="193">
        <f ca="1">IF(D201="","",E201*G201*$D$5)</f>
        <v>5.9498565832438201E-4</v>
      </c>
      <c r="J201" s="52" t="s">
        <v>40</v>
      </c>
      <c r="K201" s="49"/>
      <c r="L201" s="46" t="s">
        <v>93</v>
      </c>
      <c r="M201" s="50"/>
      <c r="N201" s="365" t="s">
        <v>80</v>
      </c>
      <c r="O201" s="365"/>
      <c r="P201" s="365"/>
      <c r="Q201" s="2"/>
      <c r="R201" s="2"/>
      <c r="S201" s="2"/>
      <c r="T201" s="2"/>
      <c r="U201" s="2"/>
      <c r="V201" s="2"/>
      <c r="W201" s="2"/>
      <c r="X201" s="22"/>
      <c r="Y201" s="22"/>
    </row>
    <row r="202" spans="1:25" ht="15" customHeight="1" x14ac:dyDescent="0.25">
      <c r="A202" s="2"/>
      <c r="B202" s="9"/>
      <c r="C202" s="34" t="str">
        <f t="shared" si="21"/>
        <v>ethcyclhex_m</v>
      </c>
      <c r="D202" s="59" t="str">
        <f>VLOOKUP(C70,'Species Data'!E:F,2,FALSE)</f>
        <v>Ethyl cyclohexane [Group NMVOC to air]</v>
      </c>
      <c r="E202" s="57">
        <v>1</v>
      </c>
      <c r="F202" s="57" t="s">
        <v>40</v>
      </c>
      <c r="G202" s="47">
        <f t="shared" ca="1" si="20"/>
        <v>0</v>
      </c>
      <c r="H202" s="48" t="s">
        <v>530</v>
      </c>
      <c r="I202" s="193">
        <f ca="1">IF(D202="","",E202*G202*$D$5)</f>
        <v>0</v>
      </c>
      <c r="J202" s="52" t="s">
        <v>40</v>
      </c>
      <c r="K202" s="49"/>
      <c r="L202" s="46" t="s">
        <v>93</v>
      </c>
      <c r="M202" s="50"/>
      <c r="N202" s="365" t="s">
        <v>80</v>
      </c>
      <c r="O202" s="365"/>
      <c r="P202" s="365"/>
      <c r="Q202" s="2"/>
      <c r="R202" s="2"/>
      <c r="S202" s="2"/>
      <c r="T202" s="2"/>
      <c r="U202" s="2"/>
      <c r="V202" s="2"/>
      <c r="W202" s="2"/>
      <c r="X202" s="22"/>
      <c r="Y202" s="22"/>
    </row>
    <row r="203" spans="1:25" ht="15" customHeight="1" x14ac:dyDescent="0.25">
      <c r="A203" s="2"/>
      <c r="B203" s="9"/>
      <c r="C203" s="34" t="str">
        <f t="shared" si="21"/>
        <v>isobut_m</v>
      </c>
      <c r="D203" s="59" t="str">
        <f>VLOOKUP(C71,'Species Data'!E:F,2,FALSE)</f>
        <v>iso-Butane [Group NMVOC to air]</v>
      </c>
      <c r="E203" s="57">
        <v>1</v>
      </c>
      <c r="F203" s="57" t="s">
        <v>40</v>
      </c>
      <c r="G203" s="47">
        <f t="shared" ca="1" si="20"/>
        <v>1.1502947059260245E-3</v>
      </c>
      <c r="H203" s="48" t="s">
        <v>530</v>
      </c>
      <c r="I203" s="193">
        <f t="shared" ref="I203:I225" ca="1" si="23">IF(D203="","",E203*G203*$D$5)</f>
        <v>1.1502947059260245E-3</v>
      </c>
      <c r="J203" s="52" t="s">
        <v>40</v>
      </c>
      <c r="K203" s="49"/>
      <c r="L203" s="46" t="s">
        <v>93</v>
      </c>
      <c r="M203" s="50"/>
      <c r="N203" s="365" t="s">
        <v>80</v>
      </c>
      <c r="O203" s="365"/>
      <c r="P203" s="365"/>
      <c r="Q203" s="2"/>
      <c r="R203" s="2"/>
      <c r="S203" s="2"/>
      <c r="T203" s="2"/>
      <c r="U203" s="2"/>
      <c r="V203" s="2"/>
      <c r="W203" s="2"/>
      <c r="X203" s="22"/>
      <c r="Y203" s="22"/>
    </row>
    <row r="204" spans="1:25" ht="15" customHeight="1" x14ac:dyDescent="0.25">
      <c r="A204" s="2"/>
      <c r="B204" s="9"/>
      <c r="C204" s="34" t="str">
        <f t="shared" si="21"/>
        <v>i_but_m</v>
      </c>
      <c r="D204" s="59" t="str">
        <f>VLOOKUP(C72,'Species Data'!E:F,2,FALSE)</f>
        <v>sec-Butyl benzene [Group NMVOC to air]</v>
      </c>
      <c r="E204" s="57">
        <v>1</v>
      </c>
      <c r="F204" s="57" t="s">
        <v>40</v>
      </c>
      <c r="G204" s="47">
        <f t="shared" ref="G204:G229" ca="1" si="24">IF($C204="",1,VLOOKUP($C204,$C$22:$H$149,3,FALSE))</f>
        <v>4.7851736558469137E-5</v>
      </c>
      <c r="H204" s="48" t="s">
        <v>530</v>
      </c>
      <c r="I204" s="193">
        <f t="shared" ca="1" si="23"/>
        <v>4.7851736558469137E-5</v>
      </c>
      <c r="J204" s="52" t="s">
        <v>40</v>
      </c>
      <c r="K204" s="49"/>
      <c r="L204" s="46" t="s">
        <v>93</v>
      </c>
      <c r="M204" s="50"/>
      <c r="N204" s="365" t="s">
        <v>80</v>
      </c>
      <c r="O204" s="365"/>
      <c r="P204" s="365"/>
      <c r="Q204" s="2"/>
      <c r="R204" s="2"/>
      <c r="S204" s="2"/>
      <c r="T204" s="2"/>
      <c r="U204" s="2"/>
      <c r="V204" s="2"/>
      <c r="W204" s="2"/>
      <c r="X204" s="22"/>
      <c r="Y204" s="22"/>
    </row>
    <row r="205" spans="1:25" ht="15" customHeight="1" x14ac:dyDescent="0.25">
      <c r="A205" s="2"/>
      <c r="B205" s="9"/>
      <c r="C205" s="34" t="str">
        <f t="shared" si="21"/>
        <v>isopentane_m</v>
      </c>
      <c r="D205" s="59" t="str">
        <f>VLOOKUP(C73,'Species Data'!E:F,2,FALSE)</f>
        <v>iso-Pentane [Group NMVOC to air]</v>
      </c>
      <c r="E205" s="57">
        <v>1</v>
      </c>
      <c r="F205" s="57" t="s">
        <v>40</v>
      </c>
      <c r="G205" s="47">
        <f t="shared" ca="1" si="24"/>
        <v>2.9327991431484517E-3</v>
      </c>
      <c r="H205" s="48" t="s">
        <v>530</v>
      </c>
      <c r="I205" s="193">
        <f t="shared" ca="1" si="23"/>
        <v>2.9327991431484517E-3</v>
      </c>
      <c r="J205" s="52" t="s">
        <v>40</v>
      </c>
      <c r="K205" s="49"/>
      <c r="L205" s="46" t="s">
        <v>93</v>
      </c>
      <c r="M205" s="50"/>
      <c r="N205" s="365" t="s">
        <v>80</v>
      </c>
      <c r="O205" s="365"/>
      <c r="P205" s="365"/>
      <c r="Q205" s="2"/>
      <c r="R205" s="2"/>
      <c r="S205" s="2"/>
      <c r="T205" s="2"/>
      <c r="U205" s="2"/>
      <c r="V205" s="2"/>
      <c r="W205" s="2"/>
      <c r="X205" s="22"/>
      <c r="Y205" s="22"/>
    </row>
    <row r="206" spans="1:25" ht="15" customHeight="1" x14ac:dyDescent="0.25">
      <c r="A206" s="2"/>
      <c r="B206" s="9"/>
      <c r="C206" s="34" t="str">
        <f t="shared" si="21"/>
        <v>isopben_m</v>
      </c>
      <c r="D206" s="59" t="str">
        <f>VLOOKUP(C74,'Species Data'!E:F,2,FALSE)</f>
        <v>Cumene (isopropylbenzene) [Group NMVOC to air]</v>
      </c>
      <c r="E206" s="57">
        <v>1</v>
      </c>
      <c r="F206" s="57" t="s">
        <v>40</v>
      </c>
      <c r="G206" s="47">
        <f t="shared" ca="1" si="24"/>
        <v>4.049412330631272E-5</v>
      </c>
      <c r="H206" s="48" t="s">
        <v>530</v>
      </c>
      <c r="I206" s="193">
        <f t="shared" ca="1" si="23"/>
        <v>4.049412330631272E-5</v>
      </c>
      <c r="J206" s="52" t="s">
        <v>40</v>
      </c>
      <c r="K206" s="49"/>
      <c r="L206" s="46" t="s">
        <v>93</v>
      </c>
      <c r="M206" s="50"/>
      <c r="N206" s="365" t="s">
        <v>80</v>
      </c>
      <c r="O206" s="365"/>
      <c r="P206" s="365"/>
      <c r="Q206" s="2"/>
      <c r="R206" s="2"/>
      <c r="S206" s="2"/>
      <c r="T206" s="2"/>
      <c r="U206" s="2"/>
      <c r="V206" s="2"/>
      <c r="W206" s="2"/>
      <c r="X206" s="22"/>
      <c r="Y206" s="22"/>
    </row>
    <row r="207" spans="1:25" ht="15" customHeight="1" x14ac:dyDescent="0.25">
      <c r="A207" s="2"/>
      <c r="B207" s="9"/>
      <c r="C207" s="34" t="str">
        <f t="shared" si="21"/>
        <v>xylene_m</v>
      </c>
      <c r="D207" s="59" t="str">
        <f>VLOOKUP(C75,'Species Data'!E:F,2,FALSE)</f>
        <v>Xylene (dimethyl benzene) [Group NMVOC to air]</v>
      </c>
      <c r="E207" s="57">
        <v>1</v>
      </c>
      <c r="F207" s="57" t="s">
        <v>40</v>
      </c>
      <c r="G207" s="47">
        <f t="shared" ca="1" si="24"/>
        <v>0</v>
      </c>
      <c r="H207" s="48" t="s">
        <v>530</v>
      </c>
      <c r="I207" s="193">
        <f t="shared" ca="1" si="23"/>
        <v>0</v>
      </c>
      <c r="J207" s="52" t="s">
        <v>40</v>
      </c>
      <c r="K207" s="49"/>
      <c r="L207" s="46" t="s">
        <v>93</v>
      </c>
      <c r="M207" s="50"/>
      <c r="N207" s="365" t="s">
        <v>80</v>
      </c>
      <c r="O207" s="365"/>
      <c r="P207" s="365"/>
      <c r="Q207" s="2"/>
      <c r="R207" s="2"/>
      <c r="S207" s="2"/>
      <c r="T207" s="2"/>
      <c r="U207" s="2"/>
      <c r="V207" s="2"/>
      <c r="W207" s="2"/>
      <c r="X207" s="22"/>
      <c r="Y207" s="22"/>
    </row>
    <row r="208" spans="1:25" ht="15" customHeight="1" x14ac:dyDescent="0.25">
      <c r="A208" s="2"/>
      <c r="B208" s="9"/>
      <c r="C208" s="34" t="str">
        <f t="shared" si="21"/>
        <v>M_xylene_m</v>
      </c>
      <c r="D208" s="59" t="str">
        <f>VLOOKUP(C76,'Species Data'!E:F,2,FALSE)</f>
        <v>m-Xylene [unspecified]</v>
      </c>
      <c r="E208" s="57">
        <v>1</v>
      </c>
      <c r="F208" s="57" t="s">
        <v>40</v>
      </c>
      <c r="G208" s="47">
        <f t="shared" ca="1" si="24"/>
        <v>2.5795247053671342E-4</v>
      </c>
      <c r="H208" s="48" t="s">
        <v>530</v>
      </c>
      <c r="I208" s="193">
        <f t="shared" ca="1" si="23"/>
        <v>2.5795247053671342E-4</v>
      </c>
      <c r="J208" s="52" t="s">
        <v>40</v>
      </c>
      <c r="K208" s="49"/>
      <c r="L208" s="46" t="s">
        <v>93</v>
      </c>
      <c r="M208" s="50"/>
      <c r="N208" s="365" t="s">
        <v>80</v>
      </c>
      <c r="O208" s="365"/>
      <c r="P208" s="365"/>
      <c r="Q208" s="2"/>
      <c r="R208" s="2"/>
      <c r="S208" s="2"/>
      <c r="T208" s="2"/>
      <c r="U208" s="2"/>
      <c r="V208" s="2"/>
      <c r="W208" s="2"/>
      <c r="X208" s="22"/>
      <c r="Y208" s="22"/>
    </row>
    <row r="209" spans="1:25" ht="15" customHeight="1" x14ac:dyDescent="0.25">
      <c r="A209" s="2"/>
      <c r="B209" s="9"/>
      <c r="C209" s="34" t="str">
        <f t="shared" si="21"/>
        <v>methcychex_m</v>
      </c>
      <c r="D209" s="59" t="str">
        <f>VLOOKUP(C77,'Species Data'!E:F,2,FALSE)</f>
        <v>Methyl cyclohexane [Group NMVOC to air]</v>
      </c>
      <c r="E209" s="57">
        <v>1</v>
      </c>
      <c r="F209" s="57" t="s">
        <v>40</v>
      </c>
      <c r="G209" s="47">
        <f t="shared" ca="1" si="24"/>
        <v>2.5184837657936886E-4</v>
      </c>
      <c r="H209" s="48" t="s">
        <v>530</v>
      </c>
      <c r="I209" s="193">
        <f t="shared" ca="1" si="23"/>
        <v>2.5184837657936886E-4</v>
      </c>
      <c r="J209" s="52" t="s">
        <v>40</v>
      </c>
      <c r="K209" s="49"/>
      <c r="L209" s="46" t="s">
        <v>93</v>
      </c>
      <c r="M209" s="50"/>
      <c r="N209" s="365" t="s">
        <v>80</v>
      </c>
      <c r="O209" s="365"/>
      <c r="P209" s="365"/>
      <c r="Q209" s="2"/>
      <c r="R209" s="2"/>
      <c r="S209" s="2"/>
      <c r="T209" s="2"/>
      <c r="U209" s="2"/>
      <c r="V209" s="2"/>
      <c r="W209" s="2"/>
      <c r="X209" s="22"/>
      <c r="Y209" s="22"/>
    </row>
    <row r="210" spans="1:25" x14ac:dyDescent="0.25">
      <c r="A210" s="2"/>
      <c r="B210" s="9"/>
      <c r="C210" s="34" t="str">
        <f t="shared" ref="C210:C229" si="25">C130</f>
        <v>methcycpen_m</v>
      </c>
      <c r="D210" s="59" t="str">
        <f>VLOOKUP(C78,'Species Data'!E:F,2,FALSE)</f>
        <v>Methyl cyclopentane [Group NMVOC to air]</v>
      </c>
      <c r="E210" s="57">
        <v>1</v>
      </c>
      <c r="F210" s="57" t="s">
        <v>40</v>
      </c>
      <c r="G210" s="47">
        <f t="shared" ca="1" si="24"/>
        <v>1.3967474994538121E-3</v>
      </c>
      <c r="H210" s="48" t="s">
        <v>530</v>
      </c>
      <c r="I210" s="193">
        <f t="shared" ca="1" si="23"/>
        <v>1.3967474994538121E-3</v>
      </c>
      <c r="J210" s="52" t="s">
        <v>40</v>
      </c>
      <c r="K210" s="49"/>
      <c r="L210" s="46" t="s">
        <v>93</v>
      </c>
      <c r="M210" s="50"/>
      <c r="N210" s="365" t="s">
        <v>80</v>
      </c>
      <c r="O210" s="365"/>
      <c r="P210" s="365"/>
      <c r="Q210" s="2"/>
      <c r="R210" s="2"/>
      <c r="S210" s="2"/>
      <c r="T210" s="2"/>
      <c r="U210" s="2"/>
      <c r="V210" s="2"/>
      <c r="W210" s="2"/>
      <c r="X210" s="22"/>
      <c r="Y210" s="22"/>
    </row>
    <row r="211" spans="1:25" x14ac:dyDescent="0.25">
      <c r="A211" s="2"/>
      <c r="B211" s="9"/>
      <c r="C211" s="34" t="str">
        <f t="shared" si="25"/>
        <v>methpent_m</v>
      </c>
      <c r="D211" s="59" t="str">
        <f>VLOOKUP(C79,'Species Data'!E:F,2,FALSE)</f>
        <v>2-Methyl-1-pentene [Group NMVOC to air]</v>
      </c>
      <c r="E211" s="57">
        <v>1</v>
      </c>
      <c r="F211" s="57" t="s">
        <v>40</v>
      </c>
      <c r="G211" s="47">
        <f t="shared" ca="1" si="24"/>
        <v>0</v>
      </c>
      <c r="H211" s="48" t="s">
        <v>530</v>
      </c>
      <c r="I211" s="193">
        <f t="shared" ca="1" si="23"/>
        <v>0</v>
      </c>
      <c r="J211" s="52" t="s">
        <v>40</v>
      </c>
      <c r="K211" s="49"/>
      <c r="L211" s="46" t="s">
        <v>93</v>
      </c>
      <c r="M211" s="50"/>
      <c r="N211" s="365" t="s">
        <v>80</v>
      </c>
      <c r="O211" s="365"/>
      <c r="P211" s="365"/>
      <c r="Q211" s="2"/>
      <c r="R211" s="2"/>
      <c r="S211" s="2"/>
      <c r="T211" s="2"/>
      <c r="U211" s="2"/>
      <c r="V211" s="2"/>
      <c r="W211" s="2"/>
      <c r="X211" s="22"/>
      <c r="Y211" s="22"/>
    </row>
    <row r="212" spans="1:25" x14ac:dyDescent="0.25">
      <c r="A212" s="2"/>
      <c r="B212" s="9"/>
      <c r="C212" s="34" t="str">
        <f t="shared" si="25"/>
        <v>N_but_m</v>
      </c>
      <c r="D212" s="59" t="str">
        <f>VLOOKUP(C80,'Species Data'!E:F,2,FALSE)</f>
        <v>Butane (n-butane) [Group NMVOC to air]</v>
      </c>
      <c r="E212" s="57">
        <v>1</v>
      </c>
      <c r="F212" s="57" t="s">
        <v>40</v>
      </c>
      <c r="G212" s="47">
        <f t="shared" ca="1" si="24"/>
        <v>3.6066475153681697E-3</v>
      </c>
      <c r="H212" s="48" t="s">
        <v>530</v>
      </c>
      <c r="I212" s="193">
        <f t="shared" ca="1" si="23"/>
        <v>3.6066475153681697E-3</v>
      </c>
      <c r="J212" s="52" t="s">
        <v>40</v>
      </c>
      <c r="K212" s="49"/>
      <c r="L212" s="46" t="s">
        <v>93</v>
      </c>
      <c r="M212" s="50"/>
      <c r="N212" s="365" t="s">
        <v>80</v>
      </c>
      <c r="O212" s="365"/>
      <c r="P212" s="365"/>
      <c r="Q212" s="2"/>
      <c r="R212" s="2"/>
      <c r="S212" s="2"/>
      <c r="T212" s="2"/>
      <c r="U212" s="2"/>
      <c r="V212" s="2"/>
      <c r="W212" s="2"/>
      <c r="X212" s="22"/>
      <c r="Y212" s="22"/>
    </row>
    <row r="213" spans="1:25" x14ac:dyDescent="0.25">
      <c r="A213" s="2"/>
      <c r="B213" s="9"/>
      <c r="C213" s="34" t="str">
        <f t="shared" si="25"/>
        <v>N_dec_m</v>
      </c>
      <c r="D213" s="59" t="str">
        <f>VLOOKUP(C81,'Species Data'!E:F,2,FALSE)</f>
        <v>Decane [Group NMVOC to air]</v>
      </c>
      <c r="E213" s="57">
        <v>1</v>
      </c>
      <c r="F213" s="57" t="s">
        <v>40</v>
      </c>
      <c r="G213" s="47">
        <f t="shared" ca="1" si="24"/>
        <v>3.264600250401254E-5</v>
      </c>
      <c r="H213" s="48" t="s">
        <v>530</v>
      </c>
      <c r="I213" s="193">
        <f t="shared" ca="1" si="23"/>
        <v>3.264600250401254E-5</v>
      </c>
      <c r="J213" s="52" t="s">
        <v>40</v>
      </c>
      <c r="K213" s="49"/>
      <c r="L213" s="46" t="s">
        <v>93</v>
      </c>
      <c r="M213" s="50"/>
      <c r="N213" s="365" t="s">
        <v>80</v>
      </c>
      <c r="O213" s="365"/>
      <c r="P213" s="365"/>
      <c r="Q213" s="2"/>
      <c r="R213" s="2"/>
      <c r="S213" s="2"/>
      <c r="T213" s="2"/>
      <c r="U213" s="2"/>
      <c r="V213" s="2"/>
      <c r="W213" s="2"/>
      <c r="X213" s="22"/>
      <c r="Y213" s="22"/>
    </row>
    <row r="214" spans="1:25" x14ac:dyDescent="0.25">
      <c r="A214" s="2"/>
      <c r="B214" s="9"/>
      <c r="C214" s="34" t="str">
        <f t="shared" si="25"/>
        <v>N_hep_m</v>
      </c>
      <c r="D214" s="59" t="str">
        <f>VLOOKUP(C82,'Species Data'!E:F,2,FALSE)</f>
        <v>Heptane (isomers) [Group NMVOC to air]</v>
      </c>
      <c r="E214" s="57">
        <v>1</v>
      </c>
      <c r="F214" s="57" t="s">
        <v>40</v>
      </c>
      <c r="G214" s="47">
        <f t="shared" ca="1" si="24"/>
        <v>7.4121140910612786E-4</v>
      </c>
      <c r="H214" s="48" t="s">
        <v>530</v>
      </c>
      <c r="I214" s="193">
        <f t="shared" ca="1" si="23"/>
        <v>7.4121140910612786E-4</v>
      </c>
      <c r="J214" s="52" t="s">
        <v>40</v>
      </c>
      <c r="K214" s="49"/>
      <c r="L214" s="46" t="s">
        <v>93</v>
      </c>
      <c r="M214" s="50"/>
      <c r="N214" s="365" t="s">
        <v>80</v>
      </c>
      <c r="O214" s="365"/>
      <c r="P214" s="365"/>
      <c r="Q214" s="2"/>
      <c r="R214" s="2"/>
      <c r="S214" s="2"/>
      <c r="T214" s="2"/>
      <c r="U214" s="2"/>
      <c r="V214" s="2"/>
      <c r="W214" s="2"/>
      <c r="X214" s="22"/>
      <c r="Y214" s="22"/>
    </row>
    <row r="215" spans="1:25" x14ac:dyDescent="0.25">
      <c r="A215" s="2"/>
      <c r="B215" s="9"/>
      <c r="C215" s="34" t="str">
        <f t="shared" si="25"/>
        <v>N_hex_m</v>
      </c>
      <c r="D215" s="59" t="str">
        <f>VLOOKUP(C83,'Species Data'!E:F,2,FALSE)</f>
        <v>Hexane (isomers) [Group NMVOC to air]</v>
      </c>
      <c r="E215" s="57">
        <v>1</v>
      </c>
      <c r="F215" s="57" t="s">
        <v>40</v>
      </c>
      <c r="G215" s="47">
        <f t="shared" ca="1" si="24"/>
        <v>1.2620214256809923E-3</v>
      </c>
      <c r="H215" s="48" t="s">
        <v>530</v>
      </c>
      <c r="I215" s="193">
        <f t="shared" ca="1" si="23"/>
        <v>1.2620214256809923E-3</v>
      </c>
      <c r="J215" s="52" t="s">
        <v>40</v>
      </c>
      <c r="K215" s="49"/>
      <c r="L215" s="46" t="s">
        <v>93</v>
      </c>
      <c r="M215" s="50"/>
      <c r="N215" s="365" t="s">
        <v>80</v>
      </c>
      <c r="O215" s="365"/>
      <c r="P215" s="365"/>
      <c r="Q215" s="2"/>
      <c r="R215" s="2"/>
      <c r="S215" s="2"/>
      <c r="T215" s="2"/>
      <c r="U215" s="2"/>
      <c r="V215" s="2"/>
      <c r="W215" s="2"/>
      <c r="X215" s="22"/>
      <c r="Y215" s="22"/>
    </row>
    <row r="216" spans="1:25" x14ac:dyDescent="0.25">
      <c r="A216" s="2"/>
      <c r="B216" s="9"/>
      <c r="C216" s="34" t="str">
        <f t="shared" si="25"/>
        <v>N_nonane_m</v>
      </c>
      <c r="D216" s="59" t="str">
        <f>VLOOKUP(C84,'Species Data'!E:F,2,FALSE)</f>
        <v>Nonane [Group NMVOC to air]</v>
      </c>
      <c r="E216" s="57">
        <v>1</v>
      </c>
      <c r="F216" s="57" t="s">
        <v>40</v>
      </c>
      <c r="G216" s="47">
        <f t="shared" ca="1" si="24"/>
        <v>1.1962934139617281E-4</v>
      </c>
      <c r="H216" s="48" t="s">
        <v>530</v>
      </c>
      <c r="I216" s="193">
        <f t="shared" ca="1" si="23"/>
        <v>1.1962934139617281E-4</v>
      </c>
      <c r="J216" s="52" t="s">
        <v>40</v>
      </c>
      <c r="K216" s="49"/>
      <c r="L216" s="46" t="s">
        <v>93</v>
      </c>
      <c r="M216" s="50"/>
      <c r="N216" s="365" t="s">
        <v>80</v>
      </c>
      <c r="O216" s="365"/>
      <c r="P216" s="365"/>
      <c r="Q216" s="2"/>
      <c r="R216" s="2"/>
      <c r="S216" s="2"/>
      <c r="T216" s="2"/>
      <c r="U216" s="2"/>
      <c r="V216" s="2"/>
      <c r="W216" s="2"/>
      <c r="X216" s="22"/>
      <c r="Y216" s="22"/>
    </row>
    <row r="217" spans="1:25" x14ac:dyDescent="0.25">
      <c r="A217" s="2"/>
      <c r="B217" s="9"/>
      <c r="C217" s="34" t="str">
        <f t="shared" si="25"/>
        <v>N_octane_m</v>
      </c>
      <c r="D217" s="59" t="str">
        <f>VLOOKUP(C85,'Species Data'!E:F,2,FALSE)</f>
        <v>Octane [Group NMVOC to air]</v>
      </c>
      <c r="E217" s="57">
        <v>1</v>
      </c>
      <c r="F217" s="57" t="s">
        <v>40</v>
      </c>
      <c r="G217" s="47">
        <f t="shared" ca="1" si="24"/>
        <v>7.4475396363494388E-4</v>
      </c>
      <c r="H217" s="48" t="s">
        <v>530</v>
      </c>
      <c r="I217" s="193">
        <f t="shared" ca="1" si="23"/>
        <v>7.4475396363494388E-4</v>
      </c>
      <c r="J217" s="52" t="s">
        <v>40</v>
      </c>
      <c r="K217" s="49"/>
      <c r="L217" s="46" t="s">
        <v>93</v>
      </c>
      <c r="M217" s="50"/>
      <c r="N217" s="365" t="s">
        <v>80</v>
      </c>
      <c r="O217" s="365"/>
      <c r="P217" s="365"/>
      <c r="Q217" s="2"/>
      <c r="R217" s="2"/>
      <c r="S217" s="2"/>
      <c r="T217" s="2"/>
      <c r="U217" s="2"/>
      <c r="V217" s="2"/>
      <c r="W217" s="2"/>
      <c r="X217" s="22"/>
      <c r="Y217" s="22"/>
    </row>
    <row r="218" spans="1:25" x14ac:dyDescent="0.25">
      <c r="A218" s="2"/>
      <c r="B218" s="9"/>
      <c r="C218" s="34" t="str">
        <f t="shared" si="25"/>
        <v>N_pentane_m</v>
      </c>
      <c r="D218" s="59" t="str">
        <f>VLOOKUP(C86,'Species Data'!E:F,2,FALSE)</f>
        <v>Pentane (n-pentane) [Group NMVOC to air]</v>
      </c>
      <c r="E218" s="57">
        <v>1</v>
      </c>
      <c r="F218" s="57" t="s">
        <v>40</v>
      </c>
      <c r="G218" s="47">
        <f t="shared" ca="1" si="24"/>
        <v>2.3739475410179938E-3</v>
      </c>
      <c r="H218" s="48" t="s">
        <v>530</v>
      </c>
      <c r="I218" s="193">
        <f t="shared" ca="1" si="23"/>
        <v>2.3739475410179938E-3</v>
      </c>
      <c r="J218" s="52" t="s">
        <v>40</v>
      </c>
      <c r="K218" s="49"/>
      <c r="L218" s="46" t="s">
        <v>93</v>
      </c>
      <c r="M218" s="50"/>
      <c r="N218" s="365" t="s">
        <v>80</v>
      </c>
      <c r="O218" s="365"/>
      <c r="P218" s="365"/>
      <c r="Q218" s="2"/>
      <c r="R218" s="2"/>
      <c r="S218" s="2"/>
      <c r="T218" s="2"/>
      <c r="U218" s="2"/>
      <c r="V218" s="2"/>
      <c r="W218" s="2"/>
      <c r="X218" s="22"/>
      <c r="Y218" s="22"/>
    </row>
    <row r="219" spans="1:25" x14ac:dyDescent="0.25">
      <c r="A219" s="2"/>
      <c r="B219" s="9"/>
      <c r="C219" s="34" t="str">
        <f t="shared" si="25"/>
        <v>N_proben_m</v>
      </c>
      <c r="D219" s="59" t="str">
        <f>VLOOKUP(C87,'Species Data'!E:F,2,FALSE)</f>
        <v>1-Propylbenzene [Group NMVOC to air]</v>
      </c>
      <c r="E219" s="57">
        <v>1</v>
      </c>
      <c r="F219" s="57" t="s">
        <v>40</v>
      </c>
      <c r="G219" s="47">
        <f t="shared" ca="1" si="24"/>
        <v>2.1800335561944937E-4</v>
      </c>
      <c r="H219" s="48" t="s">
        <v>530</v>
      </c>
      <c r="I219" s="193">
        <f t="shared" ca="1" si="23"/>
        <v>2.1800335561944937E-4</v>
      </c>
      <c r="J219" s="52" t="s">
        <v>40</v>
      </c>
      <c r="K219" s="49"/>
      <c r="L219" s="46" t="s">
        <v>93</v>
      </c>
      <c r="M219" s="50"/>
      <c r="N219" s="365" t="s">
        <v>80</v>
      </c>
      <c r="O219" s="365"/>
      <c r="P219" s="365"/>
      <c r="Q219" s="2"/>
      <c r="R219" s="2"/>
      <c r="S219" s="2"/>
      <c r="T219" s="2"/>
      <c r="U219" s="2"/>
      <c r="V219" s="2"/>
      <c r="W219" s="2"/>
      <c r="X219" s="22"/>
      <c r="Y219" s="22"/>
    </row>
    <row r="220" spans="1:25" x14ac:dyDescent="0.25">
      <c r="A220" s="2"/>
      <c r="B220" s="9"/>
      <c r="C220" s="34" t="str">
        <f t="shared" si="25"/>
        <v>N_und_m</v>
      </c>
      <c r="D220" s="59" t="str">
        <f>VLOOKUP(C88,'Species Data'!E:F,2,FALSE)</f>
        <v>1-Undecane [Group NMVOC to air]</v>
      </c>
      <c r="E220" s="57">
        <v>1</v>
      </c>
      <c r="F220" s="57" t="s">
        <v>40</v>
      </c>
      <c r="G220" s="47">
        <f t="shared" ca="1" si="24"/>
        <v>5.4446338065957478E-5</v>
      </c>
      <c r="H220" s="48" t="s">
        <v>530</v>
      </c>
      <c r="I220" s="193">
        <f t="shared" ca="1" si="23"/>
        <v>5.4446338065957478E-5</v>
      </c>
      <c r="J220" s="52" t="s">
        <v>40</v>
      </c>
      <c r="K220" s="49"/>
      <c r="L220" s="46" t="s">
        <v>93</v>
      </c>
      <c r="M220" s="50"/>
      <c r="N220" s="365" t="s">
        <v>80</v>
      </c>
      <c r="O220" s="365"/>
      <c r="P220" s="365"/>
      <c r="Q220" s="2"/>
      <c r="R220" s="2"/>
      <c r="S220" s="2"/>
      <c r="T220" s="2"/>
      <c r="U220" s="2"/>
      <c r="V220" s="2"/>
      <c r="W220" s="2"/>
      <c r="X220" s="22"/>
      <c r="Y220" s="22"/>
    </row>
    <row r="221" spans="1:25" x14ac:dyDescent="0.25">
      <c r="A221" s="2"/>
      <c r="B221" s="9"/>
      <c r="C221" s="34" t="str">
        <f t="shared" si="25"/>
        <v>O_xylene_m</v>
      </c>
      <c r="D221" s="59" t="str">
        <f>VLOOKUP(C89,'Species Data'!E:F,2,FALSE)</f>
        <v>o-Xylene [unspecified]</v>
      </c>
      <c r="E221" s="57">
        <v>1</v>
      </c>
      <c r="F221" s="57" t="s">
        <v>40</v>
      </c>
      <c r="G221" s="47">
        <f t="shared" ca="1" si="24"/>
        <v>1.5167583467223187E-4</v>
      </c>
      <c r="H221" s="48" t="s">
        <v>530</v>
      </c>
      <c r="I221" s="193">
        <f t="shared" ca="1" si="23"/>
        <v>1.5167583467223187E-4</v>
      </c>
      <c r="J221" s="52" t="s">
        <v>40</v>
      </c>
      <c r="K221" s="49"/>
      <c r="L221" s="46" t="s">
        <v>93</v>
      </c>
      <c r="M221" s="50"/>
      <c r="N221" s="365" t="s">
        <v>80</v>
      </c>
      <c r="O221" s="365"/>
      <c r="P221" s="365"/>
      <c r="Q221" s="2"/>
      <c r="R221" s="2"/>
      <c r="S221" s="2"/>
      <c r="T221" s="2"/>
      <c r="U221" s="2"/>
      <c r="V221" s="2"/>
      <c r="W221" s="2"/>
      <c r="X221" s="22"/>
      <c r="Y221" s="22"/>
    </row>
    <row r="222" spans="1:25" x14ac:dyDescent="0.25">
      <c r="A222" s="2"/>
      <c r="B222" s="9"/>
      <c r="C222" s="34" t="str">
        <f t="shared" si="25"/>
        <v>P_xylene_m</v>
      </c>
      <c r="D222" s="59" t="str">
        <f>VLOOKUP(C90,'Species Data'!E:F,2,FALSE)</f>
        <v>Xylene (para-Xylene; 1,4-Dimethylbenzene) [Group NMVOC to air]</v>
      </c>
      <c r="E222" s="57">
        <v>1</v>
      </c>
      <c r="F222" s="57" t="s">
        <v>40</v>
      </c>
      <c r="G222" s="47">
        <f t="shared" ca="1" si="24"/>
        <v>1.5058581789413462E-4</v>
      </c>
      <c r="H222" s="48" t="s">
        <v>530</v>
      </c>
      <c r="I222" s="206">
        <f t="shared" ca="1" si="23"/>
        <v>1.5058581789413462E-4</v>
      </c>
      <c r="J222" s="52" t="s">
        <v>40</v>
      </c>
      <c r="K222" s="49"/>
      <c r="L222" s="46" t="s">
        <v>93</v>
      </c>
      <c r="M222" s="50"/>
      <c r="N222" s="365" t="s">
        <v>80</v>
      </c>
      <c r="O222" s="365"/>
      <c r="P222" s="365"/>
      <c r="Q222" s="2"/>
      <c r="R222" s="2"/>
      <c r="S222" s="2"/>
      <c r="T222" s="2"/>
      <c r="U222" s="2"/>
      <c r="V222" s="2"/>
      <c r="W222" s="2"/>
      <c r="X222" s="22"/>
      <c r="Y222" s="22"/>
    </row>
    <row r="223" spans="1:25" x14ac:dyDescent="0.25">
      <c r="A223" s="2"/>
      <c r="B223" s="9"/>
      <c r="C223" s="34" t="str">
        <f t="shared" si="25"/>
        <v>propylene_m</v>
      </c>
      <c r="D223" s="59" t="str">
        <f>VLOOKUP(C91,'Species Data'!E:F,2,FALSE)</f>
        <v>Propene (propylene) [Group NMVOC to air]</v>
      </c>
      <c r="E223" s="57">
        <v>1</v>
      </c>
      <c r="F223" s="57" t="s">
        <v>40</v>
      </c>
      <c r="G223" s="47">
        <f t="shared" ca="1" si="24"/>
        <v>0</v>
      </c>
      <c r="H223" s="48" t="s">
        <v>530</v>
      </c>
      <c r="I223" s="206">
        <f t="shared" ca="1" si="23"/>
        <v>0</v>
      </c>
      <c r="J223" s="52" t="s">
        <v>40</v>
      </c>
      <c r="K223" s="49"/>
      <c r="L223" s="46" t="s">
        <v>93</v>
      </c>
      <c r="M223" s="50"/>
      <c r="N223" s="365" t="s">
        <v>80</v>
      </c>
      <c r="O223" s="365"/>
      <c r="P223" s="365"/>
      <c r="Q223" s="2"/>
      <c r="R223" s="2"/>
      <c r="S223" s="2"/>
      <c r="T223" s="2"/>
      <c r="U223" s="2"/>
      <c r="V223" s="2"/>
      <c r="W223" s="2"/>
      <c r="X223" s="22"/>
      <c r="Y223" s="22"/>
    </row>
    <row r="224" spans="1:25" x14ac:dyDescent="0.25">
      <c r="A224" s="2"/>
      <c r="B224" s="9"/>
      <c r="C224" s="34" t="str">
        <f t="shared" si="25"/>
        <v>toluene_m</v>
      </c>
      <c r="D224" s="59" t="str">
        <f>VLOOKUP(C92,'Species Data'!E:F,2,FALSE)</f>
        <v>Toluene (methyl benzene) [Group NMVOC to air]</v>
      </c>
      <c r="E224" s="57">
        <v>1</v>
      </c>
      <c r="F224" s="57" t="s">
        <v>40</v>
      </c>
      <c r="G224" s="47">
        <f t="shared" ca="1" si="24"/>
        <v>2.6705411063382542E-4</v>
      </c>
      <c r="H224" s="48" t="s">
        <v>530</v>
      </c>
      <c r="I224" s="206">
        <f t="shared" ca="1" si="23"/>
        <v>2.6705411063382542E-4</v>
      </c>
      <c r="J224" s="52" t="s">
        <v>40</v>
      </c>
      <c r="K224" s="49"/>
      <c r="L224" s="46" t="s">
        <v>93</v>
      </c>
      <c r="M224" s="50"/>
      <c r="N224" s="365" t="s">
        <v>80</v>
      </c>
      <c r="O224" s="365"/>
      <c r="P224" s="365"/>
      <c r="Q224" s="2"/>
      <c r="R224" s="2"/>
      <c r="S224" s="2"/>
      <c r="T224" s="2"/>
      <c r="U224" s="2"/>
      <c r="V224" s="2"/>
      <c r="W224" s="2"/>
      <c r="X224" s="22"/>
      <c r="Y224" s="22"/>
    </row>
    <row r="225" spans="1:25" x14ac:dyDescent="0.25">
      <c r="A225" s="2"/>
      <c r="B225" s="9"/>
      <c r="C225" s="34" t="str">
        <f t="shared" si="25"/>
        <v>betben_m</v>
      </c>
      <c r="D225" s="59" t="str">
        <f>VLOOKUP(C93,'Species Data'!E:F,2,FALSE)</f>
        <v>1-Butylbenzene [Group NMVOC to air]</v>
      </c>
      <c r="E225" s="57">
        <v>1</v>
      </c>
      <c r="F225" s="57" t="s">
        <v>40</v>
      </c>
      <c r="G225" s="47">
        <f t="shared" ca="1" si="24"/>
        <v>0</v>
      </c>
      <c r="H225" s="48" t="s">
        <v>530</v>
      </c>
      <c r="I225" s="206">
        <f t="shared" ca="1" si="23"/>
        <v>0</v>
      </c>
      <c r="J225" s="52" t="s">
        <v>40</v>
      </c>
      <c r="K225" s="49"/>
      <c r="L225" s="46" t="s">
        <v>93</v>
      </c>
      <c r="M225" s="50"/>
      <c r="N225" s="365" t="s">
        <v>80</v>
      </c>
      <c r="O225" s="365"/>
      <c r="P225" s="365"/>
      <c r="Q225" s="2"/>
      <c r="R225" s="2"/>
      <c r="S225" s="2"/>
      <c r="T225" s="2"/>
      <c r="U225" s="2"/>
      <c r="V225" s="2"/>
      <c r="W225" s="2"/>
      <c r="X225" s="22"/>
      <c r="Y225" s="22"/>
    </row>
    <row r="226" spans="1:25" x14ac:dyDescent="0.25">
      <c r="A226" s="2"/>
      <c r="B226" s="9"/>
      <c r="C226" s="34" t="str">
        <f t="shared" si="25"/>
        <v>isompentane_m</v>
      </c>
      <c r="D226" s="59" t="str">
        <f>VLOOKUP(C94,'Species Data'!E:F,2,FALSE)</f>
        <v>iso-Pentane [Group NMVOC to air]</v>
      </c>
      <c r="E226" s="57">
        <v>1</v>
      </c>
      <c r="F226" s="57" t="s">
        <v>40</v>
      </c>
      <c r="G226" s="47">
        <f t="shared" ca="1" si="24"/>
        <v>0</v>
      </c>
      <c r="H226" s="48" t="s">
        <v>530</v>
      </c>
      <c r="I226" s="193">
        <f t="shared" ref="I226:I229" ca="1" si="26">IF(D226="","",E226*G226*$D$5)</f>
        <v>0</v>
      </c>
      <c r="J226" s="52" t="s">
        <v>40</v>
      </c>
      <c r="K226" s="49"/>
      <c r="L226" s="46" t="s">
        <v>93</v>
      </c>
      <c r="M226" s="50"/>
      <c r="N226" s="365" t="s">
        <v>80</v>
      </c>
      <c r="O226" s="365"/>
      <c r="P226" s="365"/>
      <c r="Q226" s="2"/>
      <c r="R226" s="2"/>
      <c r="S226" s="2"/>
      <c r="T226" s="2"/>
      <c r="U226" s="2"/>
      <c r="V226" s="2"/>
      <c r="W226" s="2"/>
      <c r="X226" s="22"/>
      <c r="Y226" s="22"/>
    </row>
    <row r="227" spans="1:25" x14ac:dyDescent="0.25">
      <c r="A227" s="2"/>
      <c r="B227" s="9"/>
      <c r="C227" s="34" t="str">
        <f t="shared" si="25"/>
        <v>undef_VOC_m</v>
      </c>
      <c r="D227" s="59" t="str">
        <f>VLOOKUP(C95,'Species Data'!E:F,2,FALSE)</f>
        <v>NMVOC (unspecified) [Group NMVOC to air]</v>
      </c>
      <c r="E227" s="57">
        <v>1</v>
      </c>
      <c r="F227" s="57" t="s">
        <v>40</v>
      </c>
      <c r="G227" s="47">
        <f t="shared" ca="1" si="24"/>
        <v>2.5600897062136595E-2</v>
      </c>
      <c r="H227" s="48" t="s">
        <v>530</v>
      </c>
      <c r="I227" s="193">
        <f t="shared" ca="1" si="26"/>
        <v>2.5600897062136595E-2</v>
      </c>
      <c r="J227" s="52" t="s">
        <v>40</v>
      </c>
      <c r="K227" s="49"/>
      <c r="L227" s="46" t="s">
        <v>93</v>
      </c>
      <c r="M227" s="50"/>
      <c r="N227" s="365" t="s">
        <v>80</v>
      </c>
      <c r="O227" s="365"/>
      <c r="P227" s="365"/>
      <c r="Q227" s="2"/>
      <c r="R227" s="2"/>
      <c r="S227" s="2"/>
      <c r="T227" s="2"/>
      <c r="U227" s="2"/>
      <c r="V227" s="2"/>
      <c r="W227" s="2"/>
      <c r="X227" s="22"/>
      <c r="Y227" s="22"/>
    </row>
    <row r="228" spans="1:25" x14ac:dyDescent="0.25">
      <c r="A228" s="2"/>
      <c r="B228" s="9"/>
      <c r="C228" s="34" t="str">
        <f t="shared" si="25"/>
        <v>i_hexanes_m</v>
      </c>
      <c r="D228" s="59" t="str">
        <f>VLOOKUP(C96,'Species Data'!E:F,2,FALSE)</f>
        <v>Hexane (isomers) [Group NMVOC to air]</v>
      </c>
      <c r="E228" s="57">
        <v>1</v>
      </c>
      <c r="F228" s="57" t="s">
        <v>40</v>
      </c>
      <c r="G228" s="47">
        <f t="shared" ca="1" si="24"/>
        <v>0</v>
      </c>
      <c r="H228" s="48" t="s">
        <v>530</v>
      </c>
      <c r="I228" s="193">
        <f t="shared" ca="1" si="26"/>
        <v>0</v>
      </c>
      <c r="J228" s="52" t="s">
        <v>40</v>
      </c>
      <c r="K228" s="49"/>
      <c r="L228" s="46" t="s">
        <v>93</v>
      </c>
      <c r="M228" s="50"/>
      <c r="N228" s="365" t="s">
        <v>80</v>
      </c>
      <c r="O228" s="365"/>
      <c r="P228" s="365"/>
      <c r="Q228" s="2"/>
      <c r="R228" s="2"/>
      <c r="S228" s="2"/>
      <c r="T228" s="2"/>
      <c r="U228" s="2"/>
      <c r="V228" s="2"/>
      <c r="W228" s="2"/>
      <c r="X228" s="22"/>
      <c r="Y228" s="22"/>
    </row>
    <row r="229" spans="1:25" x14ac:dyDescent="0.25">
      <c r="A229" s="2"/>
      <c r="B229" s="9"/>
      <c r="C229" s="34" t="str">
        <f t="shared" si="25"/>
        <v>i_heptanes_m</v>
      </c>
      <c r="D229" s="59" t="str">
        <f>VLOOKUP(C97,'Species Data'!E:F,2,FALSE)</f>
        <v>Heptane (isomers) [Group NMVOC to air]</v>
      </c>
      <c r="E229" s="57">
        <v>1</v>
      </c>
      <c r="F229" s="57" t="s">
        <v>40</v>
      </c>
      <c r="G229" s="47">
        <f t="shared" ca="1" si="24"/>
        <v>0</v>
      </c>
      <c r="H229" s="48" t="s">
        <v>530</v>
      </c>
      <c r="I229" s="193">
        <f t="shared" ca="1" si="26"/>
        <v>0</v>
      </c>
      <c r="J229" s="52" t="s">
        <v>40</v>
      </c>
      <c r="K229" s="49"/>
      <c r="L229" s="46" t="s">
        <v>93</v>
      </c>
      <c r="M229" s="50"/>
      <c r="N229" s="365" t="s">
        <v>80</v>
      </c>
      <c r="O229" s="365"/>
      <c r="P229" s="365"/>
      <c r="Q229" s="2"/>
      <c r="R229" s="2"/>
      <c r="S229" s="2"/>
      <c r="T229" s="2"/>
      <c r="U229" s="2"/>
      <c r="V229" s="2"/>
      <c r="W229" s="2"/>
      <c r="X229" s="22"/>
      <c r="Y229" s="22"/>
    </row>
    <row r="230" spans="1:25" x14ac:dyDescent="0.25">
      <c r="A230" s="2"/>
      <c r="B230" s="9"/>
      <c r="C230" s="54" t="s">
        <v>64</v>
      </c>
      <c r="D230" s="60" t="s">
        <v>65</v>
      </c>
      <c r="E230" s="55" t="s">
        <v>75</v>
      </c>
      <c r="F230" s="40"/>
      <c r="G230" s="61"/>
      <c r="H230" s="62"/>
      <c r="I230" s="62"/>
      <c r="J230" s="40"/>
      <c r="K230" s="55"/>
      <c r="L230" s="40" t="s">
        <v>77</v>
      </c>
      <c r="M230" s="56"/>
      <c r="N230" s="402"/>
      <c r="O230" s="402"/>
      <c r="P230" s="402"/>
      <c r="Q230" s="2"/>
      <c r="R230" s="2"/>
      <c r="S230" s="2"/>
      <c r="T230" s="2"/>
      <c r="U230" s="2"/>
      <c r="V230" s="2"/>
      <c r="W230" s="2"/>
      <c r="X230" s="22"/>
      <c r="Y230" s="22"/>
    </row>
    <row r="231" spans="1:25" x14ac:dyDescent="0.25">
      <c r="A231" s="2"/>
      <c r="B231" s="9"/>
      <c r="C231" s="2"/>
      <c r="D231" s="2"/>
      <c r="E231" s="2"/>
      <c r="F231" s="2"/>
      <c r="G231" s="2"/>
      <c r="H231" s="2"/>
      <c r="I231" s="2"/>
      <c r="J231" s="2"/>
      <c r="K231" s="2"/>
      <c r="L231" s="2"/>
      <c r="M231" s="2"/>
      <c r="N231" s="2"/>
      <c r="O231" s="2"/>
      <c r="P231" s="2"/>
      <c r="Q231" s="2"/>
      <c r="R231" s="2"/>
      <c r="S231" s="2"/>
      <c r="T231" s="2"/>
      <c r="U231" s="2"/>
      <c r="V231" s="2"/>
      <c r="W231" s="2"/>
      <c r="X231" s="22"/>
      <c r="Y231" s="22"/>
    </row>
    <row r="232" spans="1:25" x14ac:dyDescent="0.25">
      <c r="A232" s="2"/>
      <c r="B232" s="9"/>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5">
      <c r="A233" s="2"/>
      <c r="B233" s="9"/>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5">
      <c r="A234" s="2"/>
      <c r="B234" s="9"/>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5">
      <c r="A235" s="2"/>
      <c r="B235" s="9"/>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5">
      <c r="A236" s="2"/>
      <c r="B236" s="9"/>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5">
      <c r="A237" s="2"/>
      <c r="B237" s="9"/>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5">
      <c r="A238" s="2"/>
      <c r="B238" s="9"/>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5">
      <c r="A239" s="2"/>
      <c r="B239" s="9"/>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5">
      <c r="A240" s="2"/>
      <c r="B240" s="9"/>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5">
      <c r="A241" s="2"/>
      <c r="B241" s="9"/>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5">
      <c r="A242" s="2"/>
      <c r="B242" s="9"/>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5">
      <c r="A243" s="2"/>
      <c r="B243" s="9"/>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5">
      <c r="A244" s="2"/>
      <c r="B244" s="9"/>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5">
      <c r="A245" s="2"/>
      <c r="B245" s="9"/>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5">
      <c r="A246" s="2"/>
      <c r="B246" s="9"/>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5">
      <c r="A247" s="2"/>
      <c r="B247" s="9"/>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5">
      <c r="A248" s="2"/>
      <c r="B248" s="9"/>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5">
      <c r="A249" s="2"/>
      <c r="B249" s="9"/>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5">
      <c r="A250" s="2"/>
      <c r="B250" s="9"/>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5">
      <c r="A251" s="2"/>
      <c r="B251" s="9"/>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5">
      <c r="A252" s="2"/>
      <c r="B252" s="9"/>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5">
      <c r="A253" s="2"/>
      <c r="B253" s="9"/>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5">
      <c r="A254" s="2"/>
      <c r="B254" s="9"/>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5">
      <c r="A255" s="2"/>
      <c r="B255" s="9"/>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5">
      <c r="A256" s="2"/>
      <c r="B256" s="9"/>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5">
      <c r="A257" s="2"/>
      <c r="B257" s="9"/>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5">
      <c r="A258" s="2"/>
      <c r="B258" s="9"/>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5">
      <c r="A259" s="2"/>
      <c r="B259" s="9"/>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5">
      <c r="A260" s="2"/>
      <c r="B260" s="9"/>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5">
      <c r="A261" s="2"/>
      <c r="B261" s="9"/>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5">
      <c r="A262" s="2"/>
      <c r="B262" s="9"/>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5">
      <c r="A263" s="2"/>
      <c r="B263" s="9"/>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5">
      <c r="A264" s="2"/>
      <c r="B264" s="9"/>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5">
      <c r="A265" s="2"/>
      <c r="B265" s="9"/>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5">
      <c r="A266" s="2"/>
      <c r="B266" s="9"/>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5">
      <c r="A267" s="2"/>
      <c r="B267" s="9"/>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5">
      <c r="A268" s="2"/>
      <c r="B268" s="9"/>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5">
      <c r="A269" s="2"/>
      <c r="B269" s="9"/>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5">
      <c r="A270" s="2"/>
      <c r="B270" s="9"/>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5">
      <c r="A271" s="2"/>
      <c r="B271" s="9"/>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5">
      <c r="A272" s="2"/>
      <c r="B272" s="9"/>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5">
      <c r="A273" s="2"/>
      <c r="B273" s="9"/>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5">
      <c r="A274" s="2"/>
      <c r="B274" s="9"/>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5">
      <c r="A275" s="2"/>
      <c r="B275" s="9"/>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5">
      <c r="A276" s="2"/>
      <c r="B276" s="9"/>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5">
      <c r="A277" s="2"/>
      <c r="B277" s="9"/>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5">
      <c r="A278" s="2"/>
      <c r="B278" s="9"/>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5">
      <c r="A279" s="2"/>
      <c r="B279" s="9"/>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5">
      <c r="A280" s="2"/>
      <c r="B280" s="9"/>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5">
      <c r="A281" s="2"/>
      <c r="B281" s="9"/>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5">
      <c r="A282" s="2"/>
      <c r="B282" s="9"/>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5">
      <c r="A283" s="2"/>
      <c r="B283" s="9"/>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5">
      <c r="A284" s="2"/>
      <c r="B284" s="9"/>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5">
      <c r="A285" s="2"/>
      <c r="B285" s="9"/>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5">
      <c r="A286" s="2"/>
      <c r="B286" s="63" t="s">
        <v>81</v>
      </c>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5">
      <c r="A287" s="9"/>
      <c r="B287" s="9"/>
      <c r="C287" s="9" t="s">
        <v>82</v>
      </c>
      <c r="D287" s="9" t="s">
        <v>83</v>
      </c>
      <c r="E287" s="9" t="s">
        <v>84</v>
      </c>
      <c r="F287" s="9"/>
      <c r="G287" s="9"/>
      <c r="H287" s="9" t="s">
        <v>74</v>
      </c>
      <c r="I287" s="9"/>
      <c r="J287" s="9" t="s">
        <v>73</v>
      </c>
      <c r="K287" s="9"/>
      <c r="L287" s="9"/>
      <c r="M287" s="9"/>
      <c r="N287" s="9"/>
      <c r="O287" s="9"/>
      <c r="P287" s="9"/>
      <c r="Q287" s="9"/>
      <c r="R287" s="9"/>
      <c r="S287" s="9"/>
      <c r="T287" s="9"/>
      <c r="U287" s="9"/>
      <c r="V287" s="9"/>
      <c r="W287" s="9"/>
      <c r="X287" s="9"/>
      <c r="Y287" s="9"/>
    </row>
    <row r="288" spans="1:25" x14ac:dyDescent="0.25">
      <c r="A288" s="2"/>
      <c r="B288" s="9"/>
      <c r="C288" s="64" t="s">
        <v>77</v>
      </c>
      <c r="D288" s="64" t="s">
        <v>77</v>
      </c>
      <c r="E288" s="64" t="s">
        <v>77</v>
      </c>
      <c r="F288" s="2"/>
      <c r="G288" s="2"/>
      <c r="H288" s="64" t="s">
        <v>77</v>
      </c>
      <c r="I288" s="2"/>
      <c r="J288" s="2"/>
      <c r="K288" s="2"/>
      <c r="L288" s="2"/>
      <c r="M288" s="2"/>
      <c r="N288" s="2"/>
      <c r="O288" s="2"/>
      <c r="P288" s="2"/>
      <c r="Q288" s="2"/>
      <c r="R288" s="2"/>
      <c r="S288" s="2"/>
      <c r="T288" s="2"/>
      <c r="U288" s="2"/>
      <c r="V288" s="2"/>
      <c r="W288" s="2"/>
      <c r="X288" s="2"/>
      <c r="Y288" s="2"/>
    </row>
    <row r="289" spans="1:25" x14ac:dyDescent="0.25">
      <c r="A289" s="2"/>
      <c r="B289" s="9"/>
      <c r="C289" s="17" t="s">
        <v>85</v>
      </c>
      <c r="D289" s="2" t="s">
        <v>86</v>
      </c>
      <c r="E289" s="2" t="s">
        <v>87</v>
      </c>
      <c r="F289" s="2"/>
      <c r="G289" s="2"/>
      <c r="H289" s="2" t="s">
        <v>88</v>
      </c>
      <c r="I289" s="2"/>
      <c r="J289" s="2" t="s">
        <v>89</v>
      </c>
      <c r="K289" s="2"/>
      <c r="L289" s="2"/>
      <c r="M289" s="2"/>
      <c r="N289" s="2"/>
      <c r="O289" s="2"/>
      <c r="P289" s="2"/>
      <c r="Q289" s="2"/>
      <c r="R289" s="2"/>
      <c r="S289" s="2"/>
      <c r="T289" s="2"/>
      <c r="U289" s="2"/>
      <c r="V289" s="2"/>
      <c r="W289" s="2"/>
      <c r="X289" s="2"/>
      <c r="Y289" s="2"/>
    </row>
    <row r="290" spans="1:25" x14ac:dyDescent="0.25">
      <c r="A290" s="2"/>
      <c r="B290" s="9"/>
      <c r="C290" s="2" t="s">
        <v>90</v>
      </c>
      <c r="D290" s="2" t="s">
        <v>91</v>
      </c>
      <c r="E290" s="2" t="s">
        <v>92</v>
      </c>
      <c r="F290" s="2"/>
      <c r="G290" s="2"/>
      <c r="H290" s="2" t="s">
        <v>93</v>
      </c>
      <c r="I290" s="2"/>
      <c r="J290" s="2" t="s">
        <v>94</v>
      </c>
      <c r="K290" s="2"/>
      <c r="L290" s="2"/>
      <c r="M290" s="2"/>
      <c r="N290" s="2"/>
      <c r="O290" s="2"/>
      <c r="P290" s="2"/>
      <c r="Q290" s="2"/>
      <c r="R290" s="2"/>
      <c r="S290" s="2"/>
      <c r="T290" s="2"/>
      <c r="U290" s="2"/>
      <c r="V290" s="2"/>
      <c r="W290" s="2"/>
      <c r="X290" s="2"/>
      <c r="Y290" s="2"/>
    </row>
    <row r="291" spans="1:25" x14ac:dyDescent="0.25">
      <c r="A291" s="2"/>
      <c r="B291" s="9"/>
      <c r="C291" s="2" t="s">
        <v>95</v>
      </c>
      <c r="D291" s="2" t="s">
        <v>96</v>
      </c>
      <c r="E291" s="2" t="s">
        <v>97</v>
      </c>
      <c r="F291" s="2"/>
      <c r="G291" s="2"/>
      <c r="H291" s="2" t="s">
        <v>98</v>
      </c>
      <c r="I291" s="2"/>
      <c r="J291" s="2"/>
      <c r="K291" s="2"/>
      <c r="L291" s="2"/>
      <c r="M291" s="2"/>
      <c r="N291" s="2"/>
      <c r="O291" s="2"/>
      <c r="P291" s="2"/>
      <c r="Q291" s="2"/>
      <c r="R291" s="2"/>
      <c r="S291" s="2"/>
      <c r="T291" s="2"/>
      <c r="U291" s="2"/>
      <c r="V291" s="2"/>
      <c r="W291" s="2"/>
      <c r="X291" s="2"/>
      <c r="Y291" s="2"/>
    </row>
    <row r="292" spans="1:25" x14ac:dyDescent="0.25">
      <c r="A292" s="2"/>
      <c r="B292" s="9"/>
      <c r="C292" s="2" t="s">
        <v>99</v>
      </c>
      <c r="D292" s="2" t="s">
        <v>100</v>
      </c>
      <c r="E292" s="2" t="s">
        <v>101</v>
      </c>
      <c r="F292" s="2"/>
      <c r="G292" s="2"/>
      <c r="H292" s="2" t="s">
        <v>102</v>
      </c>
      <c r="I292" s="2"/>
      <c r="J292" s="2"/>
      <c r="K292" s="2"/>
      <c r="L292" s="2"/>
      <c r="M292" s="2"/>
      <c r="N292" s="2"/>
      <c r="O292" s="2"/>
      <c r="P292" s="2"/>
      <c r="Q292" s="2"/>
      <c r="R292" s="2"/>
      <c r="S292" s="2"/>
      <c r="T292" s="2"/>
      <c r="U292" s="2"/>
      <c r="V292" s="2"/>
      <c r="W292" s="2"/>
      <c r="X292" s="2"/>
      <c r="Y292" s="2"/>
    </row>
    <row r="293" spans="1:25" x14ac:dyDescent="0.25">
      <c r="A293" s="2"/>
      <c r="B293" s="9"/>
      <c r="C293" s="2" t="s">
        <v>103</v>
      </c>
      <c r="D293" s="2"/>
      <c r="E293" s="2" t="s">
        <v>104</v>
      </c>
      <c r="F293" s="2"/>
      <c r="G293" s="2"/>
      <c r="H293" s="2" t="s">
        <v>104</v>
      </c>
      <c r="I293" s="2"/>
      <c r="J293" s="2"/>
      <c r="K293" s="2"/>
      <c r="L293" s="2"/>
      <c r="M293" s="2"/>
      <c r="N293" s="2"/>
      <c r="O293" s="2"/>
      <c r="P293" s="2"/>
      <c r="Q293" s="2"/>
      <c r="R293" s="2"/>
      <c r="S293" s="2"/>
      <c r="T293" s="2"/>
      <c r="U293" s="2"/>
      <c r="V293" s="2"/>
      <c r="W293" s="2"/>
      <c r="X293" s="2"/>
      <c r="Y293" s="2"/>
    </row>
    <row r="294" spans="1:25" x14ac:dyDescent="0.25">
      <c r="A294" s="2"/>
      <c r="B294" s="9"/>
      <c r="C294" s="2" t="s">
        <v>105</v>
      </c>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5">
      <c r="A295" s="2"/>
      <c r="B295" s="9"/>
      <c r="C295" s="2" t="s">
        <v>106</v>
      </c>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5">
      <c r="A296" s="2"/>
      <c r="B296" s="9"/>
      <c r="C296" s="2" t="s">
        <v>107</v>
      </c>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5">
      <c r="A297" s="2"/>
      <c r="B297" s="9"/>
      <c r="C297" s="17" t="s">
        <v>108</v>
      </c>
      <c r="D297" s="2"/>
      <c r="E297" s="2"/>
      <c r="F297" s="2"/>
      <c r="G297" s="2"/>
      <c r="H297" s="2"/>
      <c r="I297" s="2"/>
      <c r="J297" s="2"/>
      <c r="K297" s="2"/>
      <c r="L297" s="2"/>
      <c r="M297" s="2"/>
      <c r="N297" s="2"/>
      <c r="O297" s="2"/>
      <c r="P297" s="2"/>
      <c r="Q297" s="2"/>
      <c r="R297" s="2"/>
      <c r="S297" s="2"/>
      <c r="T297" s="2"/>
      <c r="U297" s="2"/>
      <c r="V297" s="2"/>
      <c r="W297" s="2"/>
      <c r="X297" s="2"/>
      <c r="Y297" s="2"/>
    </row>
  </sheetData>
  <sheetProtection formatCells="0" formatRows="0" insertRows="0" insertHyperlinks="0" deleteRows="0" selectLockedCells="1"/>
  <mergeCells count="245">
    <mergeCell ref="J98:P98"/>
    <mergeCell ref="J88:P88"/>
    <mergeCell ref="J89:P89"/>
    <mergeCell ref="J47:P47"/>
    <mergeCell ref="J90:P90"/>
    <mergeCell ref="J91:P91"/>
    <mergeCell ref="J93:P93"/>
    <mergeCell ref="J82:P82"/>
    <mergeCell ref="J84:P84"/>
    <mergeCell ref="J85:P85"/>
    <mergeCell ref="J86:P86"/>
    <mergeCell ref="J87:P87"/>
    <mergeCell ref="J92:P92"/>
    <mergeCell ref="J50:P50"/>
    <mergeCell ref="J76:P76"/>
    <mergeCell ref="J78:P78"/>
    <mergeCell ref="J77:P77"/>
    <mergeCell ref="J79:P79"/>
    <mergeCell ref="J80:P80"/>
    <mergeCell ref="J72:P72"/>
    <mergeCell ref="J71:P71"/>
    <mergeCell ref="J73:P73"/>
    <mergeCell ref="J67:P67"/>
    <mergeCell ref="J58:P58"/>
    <mergeCell ref="J111:P111"/>
    <mergeCell ref="J122:P122"/>
    <mergeCell ref="J123:P123"/>
    <mergeCell ref="J124:P124"/>
    <mergeCell ref="J127:P127"/>
    <mergeCell ref="J128:P128"/>
    <mergeCell ref="J117:P117"/>
    <mergeCell ref="J103:P103"/>
    <mergeCell ref="J104:P104"/>
    <mergeCell ref="N223:P223"/>
    <mergeCell ref="N224:P224"/>
    <mergeCell ref="N225:P225"/>
    <mergeCell ref="N186:P186"/>
    <mergeCell ref="N187:P187"/>
    <mergeCell ref="N160:P160"/>
    <mergeCell ref="N155:P155"/>
    <mergeCell ref="N156:P156"/>
    <mergeCell ref="B158:P158"/>
    <mergeCell ref="N198:P198"/>
    <mergeCell ref="N221:P221"/>
    <mergeCell ref="N189:P189"/>
    <mergeCell ref="N190:P190"/>
    <mergeCell ref="N191:P191"/>
    <mergeCell ref="N192:P192"/>
    <mergeCell ref="N193:P193"/>
    <mergeCell ref="N194:P194"/>
    <mergeCell ref="N195:P195"/>
    <mergeCell ref="N196:P196"/>
    <mergeCell ref="N197:P197"/>
    <mergeCell ref="N188:P188"/>
    <mergeCell ref="N179:P179"/>
    <mergeCell ref="N178:P178"/>
    <mergeCell ref="N180:P180"/>
    <mergeCell ref="J99:P99"/>
    <mergeCell ref="J100:P100"/>
    <mergeCell ref="J139:P139"/>
    <mergeCell ref="J141:P141"/>
    <mergeCell ref="J140:P140"/>
    <mergeCell ref="J142:P142"/>
    <mergeCell ref="J143:P143"/>
    <mergeCell ref="J144:P144"/>
    <mergeCell ref="J145:P145"/>
    <mergeCell ref="J133:P133"/>
    <mergeCell ref="J134:P134"/>
    <mergeCell ref="J135:P135"/>
    <mergeCell ref="J106:P106"/>
    <mergeCell ref="J105:P105"/>
    <mergeCell ref="J107:P107"/>
    <mergeCell ref="J136:P136"/>
    <mergeCell ref="J137:P137"/>
    <mergeCell ref="J138:P138"/>
    <mergeCell ref="J108:P108"/>
    <mergeCell ref="J109:P109"/>
    <mergeCell ref="J112:P112"/>
    <mergeCell ref="J101:P101"/>
    <mergeCell ref="J102:P102"/>
    <mergeCell ref="J110:P110"/>
    <mergeCell ref="N154:P154"/>
    <mergeCell ref="J126:P126"/>
    <mergeCell ref="J125:P125"/>
    <mergeCell ref="J129:P129"/>
    <mergeCell ref="J130:P130"/>
    <mergeCell ref="J131:P131"/>
    <mergeCell ref="J132:P132"/>
    <mergeCell ref="J116:P116"/>
    <mergeCell ref="J113:P113"/>
    <mergeCell ref="J114:P114"/>
    <mergeCell ref="J115:P115"/>
    <mergeCell ref="J118:P118"/>
    <mergeCell ref="J119:P119"/>
    <mergeCell ref="J120:P120"/>
    <mergeCell ref="J121:P121"/>
    <mergeCell ref="J146:P146"/>
    <mergeCell ref="J147:P147"/>
    <mergeCell ref="J148:P148"/>
    <mergeCell ref="J149:P149"/>
    <mergeCell ref="N181:P181"/>
    <mergeCell ref="N182:P182"/>
    <mergeCell ref="N183:P183"/>
    <mergeCell ref="N184:P184"/>
    <mergeCell ref="N185:P185"/>
    <mergeCell ref="N230:P230"/>
    <mergeCell ref="N220:P220"/>
    <mergeCell ref="N199:P199"/>
    <mergeCell ref="N200:P200"/>
    <mergeCell ref="N201:P201"/>
    <mergeCell ref="N202:P202"/>
    <mergeCell ref="N214:P214"/>
    <mergeCell ref="N215:P215"/>
    <mergeCell ref="N216:P216"/>
    <mergeCell ref="N217:P217"/>
    <mergeCell ref="N218:P218"/>
    <mergeCell ref="N219:P219"/>
    <mergeCell ref="N203:P203"/>
    <mergeCell ref="N204:P204"/>
    <mergeCell ref="N205:P205"/>
    <mergeCell ref="N206:P206"/>
    <mergeCell ref="N208:P208"/>
    <mergeCell ref="N222:P222"/>
    <mergeCell ref="N209:P209"/>
    <mergeCell ref="N210:P210"/>
    <mergeCell ref="N211:P211"/>
    <mergeCell ref="N212:P212"/>
    <mergeCell ref="N213:P213"/>
    <mergeCell ref="N207:P207"/>
    <mergeCell ref="B17:C17"/>
    <mergeCell ref="D17:E17"/>
    <mergeCell ref="B20:P20"/>
    <mergeCell ref="J22:P22"/>
    <mergeCell ref="J54:P54"/>
    <mergeCell ref="J57:P57"/>
    <mergeCell ref="J61:P61"/>
    <mergeCell ref="B152:P152"/>
    <mergeCell ref="J53:P53"/>
    <mergeCell ref="J51:P51"/>
    <mergeCell ref="J52:P52"/>
    <mergeCell ref="J69:P69"/>
    <mergeCell ref="J70:P70"/>
    <mergeCell ref="J68:P68"/>
    <mergeCell ref="J49:P49"/>
    <mergeCell ref="J81:P81"/>
    <mergeCell ref="J83:P83"/>
    <mergeCell ref="N167:P167"/>
    <mergeCell ref="J55:P55"/>
    <mergeCell ref="B13:C13"/>
    <mergeCell ref="D13:E13"/>
    <mergeCell ref="G13:O16"/>
    <mergeCell ref="B14:C14"/>
    <mergeCell ref="D14:E14"/>
    <mergeCell ref="B15:C15"/>
    <mergeCell ref="D15:E15"/>
    <mergeCell ref="B16:C16"/>
    <mergeCell ref="D16:E16"/>
    <mergeCell ref="J23:P23"/>
    <mergeCell ref="J48:P48"/>
    <mergeCell ref="J46:P4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4:P24"/>
    <mergeCell ref="J25:P25"/>
    <mergeCell ref="J26:P26"/>
    <mergeCell ref="J27:P27"/>
    <mergeCell ref="J28:P28"/>
    <mergeCell ref="J29:P29"/>
    <mergeCell ref="J30:P30"/>
    <mergeCell ref="J75:P75"/>
    <mergeCell ref="J74:P74"/>
    <mergeCell ref="J56:P56"/>
    <mergeCell ref="J59:P59"/>
    <mergeCell ref="J60:P60"/>
    <mergeCell ref="J62:P62"/>
    <mergeCell ref="J63:P63"/>
    <mergeCell ref="J64:P64"/>
    <mergeCell ref="J65:P65"/>
    <mergeCell ref="J66:P66"/>
    <mergeCell ref="S30:Y30"/>
    <mergeCell ref="J31:P31"/>
    <mergeCell ref="S31:Y31"/>
    <mergeCell ref="J32:P32"/>
    <mergeCell ref="S32:Y32"/>
    <mergeCell ref="J33:P33"/>
    <mergeCell ref="S33:Y33"/>
    <mergeCell ref="J34:P34"/>
    <mergeCell ref="S34:Y34"/>
    <mergeCell ref="S35:Y35"/>
    <mergeCell ref="J36:P36"/>
    <mergeCell ref="S36:Y36"/>
    <mergeCell ref="J37:P37"/>
    <mergeCell ref="S37:Y37"/>
    <mergeCell ref="J38:P38"/>
    <mergeCell ref="J39:P39"/>
    <mergeCell ref="S39:Y39"/>
    <mergeCell ref="J40:P40"/>
    <mergeCell ref="S40:Y40"/>
    <mergeCell ref="J35:P35"/>
    <mergeCell ref="S41:Y41"/>
    <mergeCell ref="J42:P42"/>
    <mergeCell ref="S42:Y42"/>
    <mergeCell ref="J43:P43"/>
    <mergeCell ref="S43:Y43"/>
    <mergeCell ref="J44:P44"/>
    <mergeCell ref="S44:Y44"/>
    <mergeCell ref="J45:P45"/>
    <mergeCell ref="S45:Y45"/>
    <mergeCell ref="J41:P41"/>
    <mergeCell ref="N227:P227"/>
    <mergeCell ref="N228:P228"/>
    <mergeCell ref="N229:P229"/>
    <mergeCell ref="J94:P94"/>
    <mergeCell ref="J95:P95"/>
    <mergeCell ref="J96:P96"/>
    <mergeCell ref="J97:P97"/>
    <mergeCell ref="N177:P177"/>
    <mergeCell ref="N176:P176"/>
    <mergeCell ref="N165:P165"/>
    <mergeCell ref="N172:P172"/>
    <mergeCell ref="N173:P173"/>
    <mergeCell ref="N174:P174"/>
    <mergeCell ref="N175:P175"/>
    <mergeCell ref="N169:P169"/>
    <mergeCell ref="N161:P161"/>
    <mergeCell ref="N162:P162"/>
    <mergeCell ref="N163:P163"/>
    <mergeCell ref="N164:P164"/>
    <mergeCell ref="N166:P166"/>
    <mergeCell ref="N168:P168"/>
    <mergeCell ref="N170:P170"/>
    <mergeCell ref="N171:P171"/>
    <mergeCell ref="N226:P226"/>
  </mergeCells>
  <conditionalFormatting sqref="H155 H230 H161:H225">
    <cfRule type="cellIs" dxfId="14" priority="99" stopIfTrue="1" operator="equal">
      <formula>0</formula>
    </cfRule>
  </conditionalFormatting>
  <conditionalFormatting sqref="G155 G172:G225 G230 G161:G170">
    <cfRule type="cellIs" dxfId="13" priority="98" stopIfTrue="1" operator="equal">
      <formula>1</formula>
    </cfRule>
  </conditionalFormatting>
  <conditionalFormatting sqref="G170:G171">
    <cfRule type="cellIs" dxfId="12" priority="3" stopIfTrue="1" operator="equal">
      <formula>1</formula>
    </cfRule>
  </conditionalFormatting>
  <conditionalFormatting sqref="H226:H229">
    <cfRule type="cellIs" dxfId="11" priority="2" stopIfTrue="1" operator="equal">
      <formula>0</formula>
    </cfRule>
  </conditionalFormatting>
  <conditionalFormatting sqref="G226:G229">
    <cfRule type="cellIs" dxfId="10" priority="1" stopIfTrue="1" operator="equal">
      <formula>1</formula>
    </cfRule>
  </conditionalFormatting>
  <dataValidations disablePrompts="1" count="9">
    <dataValidation type="list" allowBlank="1" showInputMessage="1" showErrorMessage="1" sqref="L155 L171:L229 L169">
      <formula1>$H$288:$H$293</formula1>
    </dataValidation>
    <dataValidation type="list" allowBlank="1" showInputMessage="1" showErrorMessage="1" sqref="K155 K171:K229 K169">
      <formula1>$J$288:$J$290</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$C$288:$C$297</formula1>
    </dataValidation>
    <dataValidation type="list" allowBlank="1" showInputMessage="1" showErrorMessage="1" sqref="D14:E14">
      <formula1>$D$288:$D$292</formula1>
    </dataValidation>
    <dataValidation type="list" allowBlank="1" showInputMessage="1" showErrorMessage="1" sqref="D16:E16">
      <formula1>$E$288:$E$293</formula1>
    </dataValidation>
    <dataValidation type="list" allowBlank="1" showInputMessage="1" showErrorMessage="1" sqref="TC170 JG161:JG168 ACY170 AMU170 AWQ170 BGM170 BQI170 CAE170 CKA170 CTW170 DDS170 DNO170 DXK170 EHG170 ERC170 FAY170 FKU170 FUQ170 GEM170 GOI170 GYE170 HIA170 HRW170 IBS170 ILO170 IVK170 JFG170 JPC170 JYY170 KIU170 KSQ170 LCM170 LMI170 LWE170 MGA170 MPW170 MZS170 NJO170 NTK170 ODG170 ONC170 OWY170 PGU170 PQQ170 QAM170 QKI170 QUE170 REA170 RNW170 RXS170 SHO170 SRK170 TBG170 TLC170 TUY170 UEU170 UOQ170 UYM170 VII170 VSE170 WCA170 WLW170 WVS170 K170 JG170 TC161:TC168 ACY161:ACY168 AMU161:AMU168 AWQ161:AWQ168 BGM161:BGM168 BQI161:BQI168 CAE161:CAE168 CKA161:CKA168 CTW161:CTW168 DDS161:DDS168 DNO161:DNO168 DXK161:DXK168 EHG161:EHG168 ERC161:ERC168 FAY161:FAY168 FKU161:FKU168 FUQ161:FUQ168 GEM161:GEM168 GOI161:GOI168 GYE161:GYE168 HIA161:HIA168 HRW161:HRW168 IBS161:IBS168 ILO161:ILO168 IVK161:IVK168 JFG161:JFG168 JPC161:JPC168 JYY161:JYY168 KIU161:KIU168 KSQ161:KSQ168 LCM161:LCM168 LMI161:LMI168 LWE161:LWE168 MGA161:MGA168 MPW161:MPW168 MZS161:MZS168 NJO161:NJO168 NTK161:NTK168 ODG161:ODG168 ONC161:ONC168 OWY161:OWY168 PGU161:PGU168 PQQ161:PQQ168 QAM161:QAM168 QKI161:QKI168 QUE161:QUE168 REA161:REA168 RNW161:RNW168 RXS161:RXS168 SHO161:SHO168 SRK161:SRK168 TBG161:TBG168 TLC161:TLC168 TUY161:TUY168 UEU161:UEU168 UOQ161:UOQ168 UYM161:UYM168 VII161:VII168 VSE161:VSE168 WCA161:WCA168 WLW161:WLW168 WVS161:WVS168 K161:K168">
      <formula1>$J$315:$J$317</formula1>
    </dataValidation>
    <dataValidation type="list" allowBlank="1" showInputMessage="1" showErrorMessage="1" sqref="JH170 WVT161:WVT168 TD170 ACZ170 AMV170 AWR170 BGN170 BQJ170 CAF170 CKB170 CTX170 DDT170 DNP170 DXL170 EHH170 ERD170 FAZ170 FKV170 FUR170 GEN170 GOJ170 GYF170 HIB170 HRX170 IBT170 ILP170 IVL170 JFH170 JPD170 JYZ170 KIV170 KSR170 LCN170 LMJ170 LWF170 MGB170 MPX170 MZT170 NJP170 NTL170 ODH170 OND170 OWZ170 PGV170 PQR170 QAN170 QKJ170 QUF170 REB170 RNX170 RXT170 SHP170 SRL170 TBH170 TLD170 TUZ170 UEV170 UOR170 UYN170 VIJ170 VSF170 WCB170 WLX170 L170 WVT170 JH161:JH168 TD161:TD168 ACZ161:ACZ168 AMV161:AMV168 AWR161:AWR168 BGN161:BGN168 BQJ161:BQJ168 CAF161:CAF168 CKB161:CKB168 CTX161:CTX168 DDT161:DDT168 DNP161:DNP168 DXL161:DXL168 EHH161:EHH168 ERD161:ERD168 FAZ161:FAZ168 FKV161:FKV168 FUR161:FUR168 GEN161:GEN168 GOJ161:GOJ168 GYF161:GYF168 HIB161:HIB168 HRX161:HRX168 IBT161:IBT168 ILP161:ILP168 IVL161:IVL168 JFH161:JFH168 JPD161:JPD168 JYZ161:JYZ168 KIV161:KIV168 KSR161:KSR168 LCN161:LCN168 LMJ161:LMJ168 LWF161:LWF168 MGB161:MGB168 MPX161:MPX168 MZT161:MZT168 NJP161:NJP168 NTL161:NTL168 ODH161:ODH168 OND161:OND168 OWZ161:OWZ168 PGV161:PGV168 PQR161:PQR168 QAN161:QAN168 QKJ161:QKJ168 QUF161:QUF168 REB161:REB168 RNX161:RNX168 RXT161:RXT168 SHP161:SHP168 SRL161:SRL168 TBH161:TBH168 TLD161:TLD168 TUZ161:TUZ168 UEV161:UEV168 UOR161:UOR168 UYN161:UYN168 VIJ161:VIJ168 VSF161:VSF168 WCB161:WCB168 WLX161:WLX168 L161:L168">
      <formula1>$H$315:$H$320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T120"/>
  <sheetViews>
    <sheetView workbookViewId="0">
      <selection activeCell="C4" sqref="C4"/>
    </sheetView>
  </sheetViews>
  <sheetFormatPr defaultColWidth="9.140625" defaultRowHeight="15" x14ac:dyDescent="0.25"/>
  <cols>
    <col min="1" max="1" width="3.5703125" customWidth="1"/>
    <col min="2" max="2" width="24.42578125" customWidth="1"/>
    <col min="3" max="3" width="41.28515625" customWidth="1"/>
    <col min="4" max="14" width="16.5703125" customWidth="1"/>
    <col min="15" max="15" width="83.85546875" customWidth="1"/>
    <col min="265" max="265" width="2.5703125" customWidth="1"/>
    <col min="266" max="266" width="24.42578125" customWidth="1"/>
    <col min="267" max="267" width="32.140625" customWidth="1"/>
    <col min="268" max="270" width="16.5703125" customWidth="1"/>
    <col min="271" max="271" width="83.85546875" customWidth="1"/>
    <col min="521" max="521" width="2.5703125" customWidth="1"/>
    <col min="522" max="522" width="24.42578125" customWidth="1"/>
    <col min="523" max="523" width="32.140625" customWidth="1"/>
    <col min="524" max="526" width="16.5703125" customWidth="1"/>
    <col min="527" max="527" width="83.85546875" customWidth="1"/>
    <col min="777" max="777" width="2.5703125" customWidth="1"/>
    <col min="778" max="778" width="24.42578125" customWidth="1"/>
    <col min="779" max="779" width="32.140625" customWidth="1"/>
    <col min="780" max="782" width="16.5703125" customWidth="1"/>
    <col min="783" max="783" width="83.85546875" customWidth="1"/>
    <col min="1033" max="1033" width="2.5703125" customWidth="1"/>
    <col min="1034" max="1034" width="24.42578125" customWidth="1"/>
    <col min="1035" max="1035" width="32.140625" customWidth="1"/>
    <col min="1036" max="1038" width="16.5703125" customWidth="1"/>
    <col min="1039" max="1039" width="83.85546875" customWidth="1"/>
    <col min="1289" max="1289" width="2.5703125" customWidth="1"/>
    <col min="1290" max="1290" width="24.42578125" customWidth="1"/>
    <col min="1291" max="1291" width="32.140625" customWidth="1"/>
    <col min="1292" max="1294" width="16.5703125" customWidth="1"/>
    <col min="1295" max="1295" width="83.85546875" customWidth="1"/>
    <col min="1545" max="1545" width="2.5703125" customWidth="1"/>
    <col min="1546" max="1546" width="24.42578125" customWidth="1"/>
    <col min="1547" max="1547" width="32.140625" customWidth="1"/>
    <col min="1548" max="1550" width="16.5703125" customWidth="1"/>
    <col min="1551" max="1551" width="83.85546875" customWidth="1"/>
    <col min="1801" max="1801" width="2.5703125" customWidth="1"/>
    <col min="1802" max="1802" width="24.42578125" customWidth="1"/>
    <col min="1803" max="1803" width="32.140625" customWidth="1"/>
    <col min="1804" max="1806" width="16.5703125" customWidth="1"/>
    <col min="1807" max="1807" width="83.85546875" customWidth="1"/>
    <col min="2057" max="2057" width="2.5703125" customWidth="1"/>
    <col min="2058" max="2058" width="24.42578125" customWidth="1"/>
    <col min="2059" max="2059" width="32.140625" customWidth="1"/>
    <col min="2060" max="2062" width="16.5703125" customWidth="1"/>
    <col min="2063" max="2063" width="83.85546875" customWidth="1"/>
    <col min="2313" max="2313" width="2.5703125" customWidth="1"/>
    <col min="2314" max="2314" width="24.42578125" customWidth="1"/>
    <col min="2315" max="2315" width="32.140625" customWidth="1"/>
    <col min="2316" max="2318" width="16.5703125" customWidth="1"/>
    <col min="2319" max="2319" width="83.85546875" customWidth="1"/>
    <col min="2569" max="2569" width="2.5703125" customWidth="1"/>
    <col min="2570" max="2570" width="24.42578125" customWidth="1"/>
    <col min="2571" max="2571" width="32.140625" customWidth="1"/>
    <col min="2572" max="2574" width="16.5703125" customWidth="1"/>
    <col min="2575" max="2575" width="83.85546875" customWidth="1"/>
    <col min="2825" max="2825" width="2.5703125" customWidth="1"/>
    <col min="2826" max="2826" width="24.42578125" customWidth="1"/>
    <col min="2827" max="2827" width="32.140625" customWidth="1"/>
    <col min="2828" max="2830" width="16.5703125" customWidth="1"/>
    <col min="2831" max="2831" width="83.85546875" customWidth="1"/>
    <col min="3081" max="3081" width="2.5703125" customWidth="1"/>
    <col min="3082" max="3082" width="24.42578125" customWidth="1"/>
    <col min="3083" max="3083" width="32.140625" customWidth="1"/>
    <col min="3084" max="3086" width="16.5703125" customWidth="1"/>
    <col min="3087" max="3087" width="83.85546875" customWidth="1"/>
    <col min="3337" max="3337" width="2.5703125" customWidth="1"/>
    <col min="3338" max="3338" width="24.42578125" customWidth="1"/>
    <col min="3339" max="3339" width="32.140625" customWidth="1"/>
    <col min="3340" max="3342" width="16.5703125" customWidth="1"/>
    <col min="3343" max="3343" width="83.85546875" customWidth="1"/>
    <col min="3593" max="3593" width="2.5703125" customWidth="1"/>
    <col min="3594" max="3594" width="24.42578125" customWidth="1"/>
    <col min="3595" max="3595" width="32.140625" customWidth="1"/>
    <col min="3596" max="3598" width="16.5703125" customWidth="1"/>
    <col min="3599" max="3599" width="83.85546875" customWidth="1"/>
    <col min="3849" max="3849" width="2.5703125" customWidth="1"/>
    <col min="3850" max="3850" width="24.42578125" customWidth="1"/>
    <col min="3851" max="3851" width="32.140625" customWidth="1"/>
    <col min="3852" max="3854" width="16.5703125" customWidth="1"/>
    <col min="3855" max="3855" width="83.85546875" customWidth="1"/>
    <col min="4105" max="4105" width="2.5703125" customWidth="1"/>
    <col min="4106" max="4106" width="24.42578125" customWidth="1"/>
    <col min="4107" max="4107" width="32.140625" customWidth="1"/>
    <col min="4108" max="4110" width="16.5703125" customWidth="1"/>
    <col min="4111" max="4111" width="83.85546875" customWidth="1"/>
    <col min="4361" max="4361" width="2.5703125" customWidth="1"/>
    <col min="4362" max="4362" width="24.42578125" customWidth="1"/>
    <col min="4363" max="4363" width="32.140625" customWidth="1"/>
    <col min="4364" max="4366" width="16.5703125" customWidth="1"/>
    <col min="4367" max="4367" width="83.85546875" customWidth="1"/>
    <col min="4617" max="4617" width="2.5703125" customWidth="1"/>
    <col min="4618" max="4618" width="24.42578125" customWidth="1"/>
    <col min="4619" max="4619" width="32.140625" customWidth="1"/>
    <col min="4620" max="4622" width="16.5703125" customWidth="1"/>
    <col min="4623" max="4623" width="83.85546875" customWidth="1"/>
    <col min="4873" max="4873" width="2.5703125" customWidth="1"/>
    <col min="4874" max="4874" width="24.42578125" customWidth="1"/>
    <col min="4875" max="4875" width="32.140625" customWidth="1"/>
    <col min="4876" max="4878" width="16.5703125" customWidth="1"/>
    <col min="4879" max="4879" width="83.85546875" customWidth="1"/>
    <col min="5129" max="5129" width="2.5703125" customWidth="1"/>
    <col min="5130" max="5130" width="24.42578125" customWidth="1"/>
    <col min="5131" max="5131" width="32.140625" customWidth="1"/>
    <col min="5132" max="5134" width="16.5703125" customWidth="1"/>
    <col min="5135" max="5135" width="83.85546875" customWidth="1"/>
    <col min="5385" max="5385" width="2.5703125" customWidth="1"/>
    <col min="5386" max="5386" width="24.42578125" customWidth="1"/>
    <col min="5387" max="5387" width="32.140625" customWidth="1"/>
    <col min="5388" max="5390" width="16.5703125" customWidth="1"/>
    <col min="5391" max="5391" width="83.85546875" customWidth="1"/>
    <col min="5641" max="5641" width="2.5703125" customWidth="1"/>
    <col min="5642" max="5642" width="24.42578125" customWidth="1"/>
    <col min="5643" max="5643" width="32.140625" customWidth="1"/>
    <col min="5644" max="5646" width="16.5703125" customWidth="1"/>
    <col min="5647" max="5647" width="83.85546875" customWidth="1"/>
    <col min="5897" max="5897" width="2.5703125" customWidth="1"/>
    <col min="5898" max="5898" width="24.42578125" customWidth="1"/>
    <col min="5899" max="5899" width="32.140625" customWidth="1"/>
    <col min="5900" max="5902" width="16.5703125" customWidth="1"/>
    <col min="5903" max="5903" width="83.85546875" customWidth="1"/>
    <col min="6153" max="6153" width="2.5703125" customWidth="1"/>
    <col min="6154" max="6154" width="24.42578125" customWidth="1"/>
    <col min="6155" max="6155" width="32.140625" customWidth="1"/>
    <col min="6156" max="6158" width="16.5703125" customWidth="1"/>
    <col min="6159" max="6159" width="83.85546875" customWidth="1"/>
    <col min="6409" max="6409" width="2.5703125" customWidth="1"/>
    <col min="6410" max="6410" width="24.42578125" customWidth="1"/>
    <col min="6411" max="6411" width="32.140625" customWidth="1"/>
    <col min="6412" max="6414" width="16.5703125" customWidth="1"/>
    <col min="6415" max="6415" width="83.85546875" customWidth="1"/>
    <col min="6665" max="6665" width="2.5703125" customWidth="1"/>
    <col min="6666" max="6666" width="24.42578125" customWidth="1"/>
    <col min="6667" max="6667" width="32.140625" customWidth="1"/>
    <col min="6668" max="6670" width="16.5703125" customWidth="1"/>
    <col min="6671" max="6671" width="83.85546875" customWidth="1"/>
    <col min="6921" max="6921" width="2.5703125" customWidth="1"/>
    <col min="6922" max="6922" width="24.42578125" customWidth="1"/>
    <col min="6923" max="6923" width="32.140625" customWidth="1"/>
    <col min="6924" max="6926" width="16.5703125" customWidth="1"/>
    <col min="6927" max="6927" width="83.85546875" customWidth="1"/>
    <col min="7177" max="7177" width="2.5703125" customWidth="1"/>
    <col min="7178" max="7178" width="24.42578125" customWidth="1"/>
    <col min="7179" max="7179" width="32.140625" customWidth="1"/>
    <col min="7180" max="7182" width="16.5703125" customWidth="1"/>
    <col min="7183" max="7183" width="83.85546875" customWidth="1"/>
    <col min="7433" max="7433" width="2.5703125" customWidth="1"/>
    <col min="7434" max="7434" width="24.42578125" customWidth="1"/>
    <col min="7435" max="7435" width="32.140625" customWidth="1"/>
    <col min="7436" max="7438" width="16.5703125" customWidth="1"/>
    <col min="7439" max="7439" width="83.85546875" customWidth="1"/>
    <col min="7689" max="7689" width="2.5703125" customWidth="1"/>
    <col min="7690" max="7690" width="24.42578125" customWidth="1"/>
    <col min="7691" max="7691" width="32.140625" customWidth="1"/>
    <col min="7692" max="7694" width="16.5703125" customWidth="1"/>
    <col min="7695" max="7695" width="83.85546875" customWidth="1"/>
    <col min="7945" max="7945" width="2.5703125" customWidth="1"/>
    <col min="7946" max="7946" width="24.42578125" customWidth="1"/>
    <col min="7947" max="7947" width="32.140625" customWidth="1"/>
    <col min="7948" max="7950" width="16.5703125" customWidth="1"/>
    <col min="7951" max="7951" width="83.85546875" customWidth="1"/>
    <col min="8201" max="8201" width="2.5703125" customWidth="1"/>
    <col min="8202" max="8202" width="24.42578125" customWidth="1"/>
    <col min="8203" max="8203" width="32.140625" customWidth="1"/>
    <col min="8204" max="8206" width="16.5703125" customWidth="1"/>
    <col min="8207" max="8207" width="83.85546875" customWidth="1"/>
    <col min="8457" max="8457" width="2.5703125" customWidth="1"/>
    <col min="8458" max="8458" width="24.42578125" customWidth="1"/>
    <col min="8459" max="8459" width="32.140625" customWidth="1"/>
    <col min="8460" max="8462" width="16.5703125" customWidth="1"/>
    <col min="8463" max="8463" width="83.85546875" customWidth="1"/>
    <col min="8713" max="8713" width="2.5703125" customWidth="1"/>
    <col min="8714" max="8714" width="24.42578125" customWidth="1"/>
    <col min="8715" max="8715" width="32.140625" customWidth="1"/>
    <col min="8716" max="8718" width="16.5703125" customWidth="1"/>
    <col min="8719" max="8719" width="83.85546875" customWidth="1"/>
    <col min="8969" max="8969" width="2.5703125" customWidth="1"/>
    <col min="8970" max="8970" width="24.42578125" customWidth="1"/>
    <col min="8971" max="8971" width="32.140625" customWidth="1"/>
    <col min="8972" max="8974" width="16.5703125" customWidth="1"/>
    <col min="8975" max="8975" width="83.85546875" customWidth="1"/>
    <col min="9225" max="9225" width="2.5703125" customWidth="1"/>
    <col min="9226" max="9226" width="24.42578125" customWidth="1"/>
    <col min="9227" max="9227" width="32.140625" customWidth="1"/>
    <col min="9228" max="9230" width="16.5703125" customWidth="1"/>
    <col min="9231" max="9231" width="83.85546875" customWidth="1"/>
    <col min="9481" max="9481" width="2.5703125" customWidth="1"/>
    <col min="9482" max="9482" width="24.42578125" customWidth="1"/>
    <col min="9483" max="9483" width="32.140625" customWidth="1"/>
    <col min="9484" max="9486" width="16.5703125" customWidth="1"/>
    <col min="9487" max="9487" width="83.85546875" customWidth="1"/>
    <col min="9737" max="9737" width="2.5703125" customWidth="1"/>
    <col min="9738" max="9738" width="24.42578125" customWidth="1"/>
    <col min="9739" max="9739" width="32.140625" customWidth="1"/>
    <col min="9740" max="9742" width="16.5703125" customWidth="1"/>
    <col min="9743" max="9743" width="83.85546875" customWidth="1"/>
    <col min="9993" max="9993" width="2.5703125" customWidth="1"/>
    <col min="9994" max="9994" width="24.42578125" customWidth="1"/>
    <col min="9995" max="9995" width="32.140625" customWidth="1"/>
    <col min="9996" max="9998" width="16.5703125" customWidth="1"/>
    <col min="9999" max="9999" width="83.85546875" customWidth="1"/>
    <col min="10249" max="10249" width="2.5703125" customWidth="1"/>
    <col min="10250" max="10250" width="24.42578125" customWidth="1"/>
    <col min="10251" max="10251" width="32.140625" customWidth="1"/>
    <col min="10252" max="10254" width="16.5703125" customWidth="1"/>
    <col min="10255" max="10255" width="83.85546875" customWidth="1"/>
    <col min="10505" max="10505" width="2.5703125" customWidth="1"/>
    <col min="10506" max="10506" width="24.42578125" customWidth="1"/>
    <col min="10507" max="10507" width="32.140625" customWidth="1"/>
    <col min="10508" max="10510" width="16.5703125" customWidth="1"/>
    <col min="10511" max="10511" width="83.85546875" customWidth="1"/>
    <col min="10761" max="10761" width="2.5703125" customWidth="1"/>
    <col min="10762" max="10762" width="24.42578125" customWidth="1"/>
    <col min="10763" max="10763" width="32.140625" customWidth="1"/>
    <col min="10764" max="10766" width="16.5703125" customWidth="1"/>
    <col min="10767" max="10767" width="83.85546875" customWidth="1"/>
    <col min="11017" max="11017" width="2.5703125" customWidth="1"/>
    <col min="11018" max="11018" width="24.42578125" customWidth="1"/>
    <col min="11019" max="11019" width="32.140625" customWidth="1"/>
    <col min="11020" max="11022" width="16.5703125" customWidth="1"/>
    <col min="11023" max="11023" width="83.85546875" customWidth="1"/>
    <col min="11273" max="11273" width="2.5703125" customWidth="1"/>
    <col min="11274" max="11274" width="24.42578125" customWidth="1"/>
    <col min="11275" max="11275" width="32.140625" customWidth="1"/>
    <col min="11276" max="11278" width="16.5703125" customWidth="1"/>
    <col min="11279" max="11279" width="83.85546875" customWidth="1"/>
    <col min="11529" max="11529" width="2.5703125" customWidth="1"/>
    <col min="11530" max="11530" width="24.42578125" customWidth="1"/>
    <col min="11531" max="11531" width="32.140625" customWidth="1"/>
    <col min="11532" max="11534" width="16.5703125" customWidth="1"/>
    <col min="11535" max="11535" width="83.85546875" customWidth="1"/>
    <col min="11785" max="11785" width="2.5703125" customWidth="1"/>
    <col min="11786" max="11786" width="24.42578125" customWidth="1"/>
    <col min="11787" max="11787" width="32.140625" customWidth="1"/>
    <col min="11788" max="11790" width="16.5703125" customWidth="1"/>
    <col min="11791" max="11791" width="83.85546875" customWidth="1"/>
    <col min="12041" max="12041" width="2.5703125" customWidth="1"/>
    <col min="12042" max="12042" width="24.42578125" customWidth="1"/>
    <col min="12043" max="12043" width="32.140625" customWidth="1"/>
    <col min="12044" max="12046" width="16.5703125" customWidth="1"/>
    <col min="12047" max="12047" width="83.85546875" customWidth="1"/>
    <col min="12297" max="12297" width="2.5703125" customWidth="1"/>
    <col min="12298" max="12298" width="24.42578125" customWidth="1"/>
    <col min="12299" max="12299" width="32.140625" customWidth="1"/>
    <col min="12300" max="12302" width="16.5703125" customWidth="1"/>
    <col min="12303" max="12303" width="83.85546875" customWidth="1"/>
    <col min="12553" max="12553" width="2.5703125" customWidth="1"/>
    <col min="12554" max="12554" width="24.42578125" customWidth="1"/>
    <col min="12555" max="12555" width="32.140625" customWidth="1"/>
    <col min="12556" max="12558" width="16.5703125" customWidth="1"/>
    <col min="12559" max="12559" width="83.85546875" customWidth="1"/>
    <col min="12809" max="12809" width="2.5703125" customWidth="1"/>
    <col min="12810" max="12810" width="24.42578125" customWidth="1"/>
    <col min="12811" max="12811" width="32.140625" customWidth="1"/>
    <col min="12812" max="12814" width="16.5703125" customWidth="1"/>
    <col min="12815" max="12815" width="83.85546875" customWidth="1"/>
    <col min="13065" max="13065" width="2.5703125" customWidth="1"/>
    <col min="13066" max="13066" width="24.42578125" customWidth="1"/>
    <col min="13067" max="13067" width="32.140625" customWidth="1"/>
    <col min="13068" max="13070" width="16.5703125" customWidth="1"/>
    <col min="13071" max="13071" width="83.85546875" customWidth="1"/>
    <col min="13321" max="13321" width="2.5703125" customWidth="1"/>
    <col min="13322" max="13322" width="24.42578125" customWidth="1"/>
    <col min="13323" max="13323" width="32.140625" customWidth="1"/>
    <col min="13324" max="13326" width="16.5703125" customWidth="1"/>
    <col min="13327" max="13327" width="83.85546875" customWidth="1"/>
    <col min="13577" max="13577" width="2.5703125" customWidth="1"/>
    <col min="13578" max="13578" width="24.42578125" customWidth="1"/>
    <col min="13579" max="13579" width="32.140625" customWidth="1"/>
    <col min="13580" max="13582" width="16.5703125" customWidth="1"/>
    <col min="13583" max="13583" width="83.85546875" customWidth="1"/>
    <col min="13833" max="13833" width="2.5703125" customWidth="1"/>
    <col min="13834" max="13834" width="24.42578125" customWidth="1"/>
    <col min="13835" max="13835" width="32.140625" customWidth="1"/>
    <col min="13836" max="13838" width="16.5703125" customWidth="1"/>
    <col min="13839" max="13839" width="83.85546875" customWidth="1"/>
    <col min="14089" max="14089" width="2.5703125" customWidth="1"/>
    <col min="14090" max="14090" width="24.42578125" customWidth="1"/>
    <col min="14091" max="14091" width="32.140625" customWidth="1"/>
    <col min="14092" max="14094" width="16.5703125" customWidth="1"/>
    <col min="14095" max="14095" width="83.85546875" customWidth="1"/>
    <col min="14345" max="14345" width="2.5703125" customWidth="1"/>
    <col min="14346" max="14346" width="24.42578125" customWidth="1"/>
    <col min="14347" max="14347" width="32.140625" customWidth="1"/>
    <col min="14348" max="14350" width="16.5703125" customWidth="1"/>
    <col min="14351" max="14351" width="83.85546875" customWidth="1"/>
    <col min="14601" max="14601" width="2.5703125" customWidth="1"/>
    <col min="14602" max="14602" width="24.42578125" customWidth="1"/>
    <col min="14603" max="14603" width="32.140625" customWidth="1"/>
    <col min="14604" max="14606" width="16.5703125" customWidth="1"/>
    <col min="14607" max="14607" width="83.85546875" customWidth="1"/>
    <col min="14857" max="14857" width="2.5703125" customWidth="1"/>
    <col min="14858" max="14858" width="24.42578125" customWidth="1"/>
    <col min="14859" max="14859" width="32.140625" customWidth="1"/>
    <col min="14860" max="14862" width="16.5703125" customWidth="1"/>
    <col min="14863" max="14863" width="83.85546875" customWidth="1"/>
    <col min="15113" max="15113" width="2.5703125" customWidth="1"/>
    <col min="15114" max="15114" width="24.42578125" customWidth="1"/>
    <col min="15115" max="15115" width="32.140625" customWidth="1"/>
    <col min="15116" max="15118" width="16.5703125" customWidth="1"/>
    <col min="15119" max="15119" width="83.85546875" customWidth="1"/>
    <col min="15369" max="15369" width="2.5703125" customWidth="1"/>
    <col min="15370" max="15370" width="24.42578125" customWidth="1"/>
    <col min="15371" max="15371" width="32.140625" customWidth="1"/>
    <col min="15372" max="15374" width="16.5703125" customWidth="1"/>
    <col min="15375" max="15375" width="83.85546875" customWidth="1"/>
    <col min="15625" max="15625" width="2.5703125" customWidth="1"/>
    <col min="15626" max="15626" width="24.42578125" customWidth="1"/>
    <col min="15627" max="15627" width="32.140625" customWidth="1"/>
    <col min="15628" max="15630" width="16.5703125" customWidth="1"/>
    <col min="15631" max="15631" width="83.85546875" customWidth="1"/>
    <col min="15881" max="15881" width="2.5703125" customWidth="1"/>
    <col min="15882" max="15882" width="24.42578125" customWidth="1"/>
    <col min="15883" max="15883" width="32.140625" customWidth="1"/>
    <col min="15884" max="15886" width="16.5703125" customWidth="1"/>
    <col min="15887" max="15887" width="83.85546875" customWidth="1"/>
    <col min="16137" max="16137" width="2.5703125" customWidth="1"/>
    <col min="16138" max="16138" width="24.42578125" customWidth="1"/>
    <col min="16139" max="16139" width="32.140625" customWidth="1"/>
    <col min="16140" max="16142" width="16.5703125" customWidth="1"/>
    <col min="16143" max="16143" width="83.85546875" customWidth="1"/>
  </cols>
  <sheetData>
    <row r="1" spans="1:46" ht="21" thickBot="1" x14ac:dyDescent="0.35">
      <c r="A1" s="407" t="s">
        <v>13</v>
      </c>
      <c r="B1" s="407"/>
      <c r="C1" s="407"/>
      <c r="D1" s="407"/>
      <c r="E1" s="407"/>
      <c r="F1" s="407"/>
      <c r="G1" s="407"/>
      <c r="H1" s="407"/>
      <c r="I1" s="407"/>
      <c r="J1" s="407"/>
      <c r="K1" s="407"/>
      <c r="L1" s="407"/>
      <c r="M1" s="407"/>
      <c r="N1" s="407"/>
      <c r="O1" s="407"/>
      <c r="P1" s="407"/>
      <c r="Q1" s="407"/>
      <c r="R1" s="407"/>
    </row>
    <row r="2" spans="1:46" s="3" customFormat="1" x14ac:dyDescent="0.25">
      <c r="B2" s="414" t="s">
        <v>56</v>
      </c>
      <c r="C2" s="66" t="s">
        <v>109</v>
      </c>
      <c r="D2" s="408" t="s">
        <v>110</v>
      </c>
      <c r="E2" s="409"/>
      <c r="F2" s="409"/>
      <c r="G2" s="409"/>
      <c r="H2" s="409"/>
      <c r="I2" s="409"/>
      <c r="J2" s="409"/>
      <c r="K2" s="409"/>
      <c r="L2" s="409"/>
      <c r="M2" s="409"/>
      <c r="N2" s="410"/>
      <c r="O2" s="417" t="s">
        <v>111</v>
      </c>
      <c r="V2" s="11"/>
      <c r="W2" s="11"/>
      <c r="X2" s="11"/>
      <c r="Y2" s="11"/>
      <c r="Z2" s="11"/>
      <c r="AA2" s="11"/>
      <c r="AB2" s="11"/>
      <c r="AC2" s="11"/>
      <c r="AD2" s="11"/>
      <c r="AE2" s="11"/>
      <c r="AF2" s="11"/>
      <c r="AG2" s="11"/>
      <c r="AH2" s="11"/>
      <c r="AI2" s="11"/>
      <c r="AJ2" s="11"/>
      <c r="AK2" s="11"/>
      <c r="AL2" s="11"/>
      <c r="AM2" s="11"/>
      <c r="AN2" s="11"/>
      <c r="AO2" s="11"/>
      <c r="AP2" s="11"/>
      <c r="AQ2" s="11"/>
      <c r="AR2" s="11"/>
      <c r="AS2" s="11"/>
      <c r="AT2" s="11"/>
    </row>
    <row r="3" spans="1:46" s="3" customFormat="1" ht="20.25" x14ac:dyDescent="0.3">
      <c r="A3" s="65"/>
      <c r="B3" s="415"/>
      <c r="C3" s="331">
        <v>11</v>
      </c>
      <c r="D3" s="333">
        <v>1</v>
      </c>
      <c r="E3" s="333">
        <v>2</v>
      </c>
      <c r="F3" s="333">
        <v>3</v>
      </c>
      <c r="G3" s="333">
        <v>4</v>
      </c>
      <c r="H3" s="333">
        <v>5</v>
      </c>
      <c r="I3" s="333">
        <v>6</v>
      </c>
      <c r="J3" s="333">
        <v>7</v>
      </c>
      <c r="K3" s="333">
        <v>8</v>
      </c>
      <c r="L3" s="333">
        <v>9</v>
      </c>
      <c r="M3" s="333">
        <v>10</v>
      </c>
      <c r="N3" s="327">
        <v>11</v>
      </c>
      <c r="O3" s="418"/>
      <c r="P3" s="65"/>
      <c r="Q3" s="65"/>
      <c r="R3" s="65"/>
      <c r="V3" s="11"/>
      <c r="W3" s="11"/>
      <c r="X3" s="11"/>
      <c r="Y3" s="11"/>
      <c r="Z3" s="11"/>
      <c r="AA3" s="11"/>
      <c r="AB3" s="11"/>
      <c r="AC3" s="11"/>
      <c r="AD3" s="11"/>
      <c r="AE3" s="11"/>
      <c r="AF3" s="11"/>
      <c r="AG3" s="11"/>
      <c r="AH3" s="11"/>
      <c r="AI3" s="11"/>
      <c r="AJ3" s="11"/>
      <c r="AK3" s="11"/>
      <c r="AL3" s="11"/>
      <c r="AM3" s="11"/>
      <c r="AN3" s="11"/>
      <c r="AO3" s="11"/>
      <c r="AP3" s="11"/>
      <c r="AQ3" s="11"/>
      <c r="AR3" s="11"/>
      <c r="AS3" s="11"/>
      <c r="AT3" s="11"/>
    </row>
    <row r="4" spans="1:46" s="3" customFormat="1" ht="46.5" customHeight="1" x14ac:dyDescent="0.3">
      <c r="A4" s="65"/>
      <c r="B4" s="415"/>
      <c r="C4" s="334" t="s">
        <v>825</v>
      </c>
      <c r="D4" s="332" t="str">
        <f>IF($C$5=1,"Water Flood",IF($C$5=2,"Gas Drive","Primary"))</f>
        <v>Primary</v>
      </c>
      <c r="E4" s="332" t="str">
        <f>IF($C$5=3,"Produced Water","Crude")</f>
        <v>Crude</v>
      </c>
      <c r="F4" s="332"/>
      <c r="G4" s="332"/>
      <c r="H4" s="332" t="str">
        <f>IF($C$5=3,"Produced Water","Crude")</f>
        <v>Crude</v>
      </c>
      <c r="I4" s="332"/>
      <c r="J4" s="332" t="str">
        <f>IF($C$5=1,"Water Flood",IF($C$5=2,"Gas Drive","Primary"))</f>
        <v>Primary</v>
      </c>
      <c r="K4" s="332" t="str">
        <f>IF($C$5=1,"Water Flood",IF($C$5=2,"Gas Drive","Primary"))</f>
        <v>Primary</v>
      </c>
      <c r="L4" s="332"/>
      <c r="M4" s="332" t="str">
        <f>IF($C$5=3,"Produced Water","Crude")</f>
        <v>Crude</v>
      </c>
      <c r="N4" s="335"/>
      <c r="O4" s="418"/>
      <c r="P4" s="65"/>
      <c r="Q4" s="65"/>
      <c r="R4" s="65"/>
      <c r="V4" s="11"/>
      <c r="W4" s="11"/>
      <c r="X4" s="11"/>
      <c r="Y4" s="11"/>
      <c r="Z4" s="11"/>
      <c r="AA4" s="11"/>
      <c r="AB4" s="11"/>
      <c r="AC4" s="11"/>
      <c r="AD4" s="11"/>
      <c r="AE4" s="11"/>
      <c r="AF4" s="11"/>
      <c r="AG4" s="11"/>
      <c r="AH4" s="11"/>
      <c r="AI4" s="11"/>
      <c r="AJ4" s="11"/>
      <c r="AK4" s="11"/>
      <c r="AL4" s="11"/>
      <c r="AM4" s="11"/>
      <c r="AN4" s="11"/>
      <c r="AO4" s="11"/>
      <c r="AP4" s="11"/>
      <c r="AQ4" s="11"/>
      <c r="AR4" s="11"/>
      <c r="AS4" s="11"/>
      <c r="AT4" s="11"/>
    </row>
    <row r="5" spans="1:46" ht="15" customHeight="1" x14ac:dyDescent="0.25">
      <c r="B5" s="415"/>
      <c r="C5" s="331">
        <v>0</v>
      </c>
      <c r="D5" s="332">
        <f>IF($C$5=1,1,IF($C$5=2,2,0))</f>
        <v>0</v>
      </c>
      <c r="E5" s="332">
        <f>IF($C$5=3,3,0)</f>
        <v>0</v>
      </c>
      <c r="F5" s="333"/>
      <c r="G5" s="333"/>
      <c r="H5" s="332">
        <f>IF($C$5=3,3,0)</f>
        <v>0</v>
      </c>
      <c r="I5" s="333"/>
      <c r="J5" s="332">
        <f>IF($C$5=1,1,IF($C$5=2,2,0))</f>
        <v>0</v>
      </c>
      <c r="K5" s="332">
        <f>IF($C$5=1,1,IF($C$5=2,2,0))</f>
        <v>0</v>
      </c>
      <c r="L5" s="333"/>
      <c r="M5" s="332">
        <f>IF($C$5=3,3,0)</f>
        <v>0</v>
      </c>
      <c r="N5" s="327"/>
      <c r="O5" s="418"/>
    </row>
    <row r="6" spans="1:46" ht="15" customHeight="1" x14ac:dyDescent="0.25">
      <c r="B6" s="415"/>
      <c r="C6" s="328" t="str">
        <f>D6</f>
        <v>Crude Production Associated Gas Emissions Composition</v>
      </c>
      <c r="D6" s="411" t="str">
        <f>'Data Summary'!D4</f>
        <v>Crude Production Associated Gas Emissions Composition</v>
      </c>
      <c r="E6" s="412"/>
      <c r="F6" s="412"/>
      <c r="G6" s="412"/>
      <c r="H6" s="412"/>
      <c r="I6" s="412"/>
      <c r="J6" s="412"/>
      <c r="K6" s="412"/>
      <c r="L6" s="412"/>
      <c r="M6" s="412"/>
      <c r="N6" s="413"/>
      <c r="O6" s="418"/>
      <c r="P6" s="201"/>
      <c r="Q6" s="201"/>
      <c r="R6" s="201"/>
      <c r="S6" s="201"/>
      <c r="T6" s="201"/>
      <c r="U6" s="201"/>
      <c r="V6" s="201"/>
    </row>
    <row r="7" spans="1:46" ht="27" thickBot="1" x14ac:dyDescent="0.3">
      <c r="B7" s="416"/>
      <c r="C7" s="311" t="str">
        <f>HLOOKUP($C$3,$D$3:$N$56,5,FALSE)</f>
        <v>Heater Treater</v>
      </c>
      <c r="D7" s="312" t="s">
        <v>606</v>
      </c>
      <c r="E7" s="313" t="s">
        <v>605</v>
      </c>
      <c r="F7" s="313" t="s">
        <v>607</v>
      </c>
      <c r="G7" s="313" t="s">
        <v>608</v>
      </c>
      <c r="H7" s="313" t="s">
        <v>609</v>
      </c>
      <c r="I7" s="313" t="s">
        <v>610</v>
      </c>
      <c r="J7" s="313" t="s">
        <v>611</v>
      </c>
      <c r="K7" s="313" t="s">
        <v>612</v>
      </c>
      <c r="L7" s="313" t="s">
        <v>697</v>
      </c>
      <c r="M7" s="313" t="s">
        <v>701</v>
      </c>
      <c r="N7" s="329" t="s">
        <v>698</v>
      </c>
      <c r="O7" s="419"/>
      <c r="P7" s="201"/>
      <c r="Q7" s="201"/>
      <c r="R7" s="201"/>
      <c r="S7" s="201"/>
      <c r="T7" s="201"/>
      <c r="U7" s="201"/>
      <c r="V7" s="201"/>
    </row>
    <row r="8" spans="1:46" ht="15" customHeight="1" thickBot="1" x14ac:dyDescent="0.3">
      <c r="B8" s="314" t="s">
        <v>803</v>
      </c>
      <c r="C8" s="315">
        <f ca="1">HLOOKUP($C$3,$D$3:$N$60,A8+6,FALSE)</f>
        <v>95.34505490443847</v>
      </c>
      <c r="D8" s="316">
        <f ca="1">Well_Head!G9</f>
        <v>94.596747495598393</v>
      </c>
      <c r="E8" s="317">
        <f ca="1">Tank!G9</f>
        <v>77.508989035614164</v>
      </c>
      <c r="F8" s="317">
        <f ca="1">Compressor!G9</f>
        <v>75.93054439705044</v>
      </c>
      <c r="G8" s="317">
        <f ca="1">Separator!G9</f>
        <v>73.462535643669611</v>
      </c>
      <c r="H8" s="317">
        <f ca="1">Tank!G9</f>
        <v>77.508989035614164</v>
      </c>
      <c r="I8" s="317">
        <f ca="1">Separator!G9</f>
        <v>73.462535643669611</v>
      </c>
      <c r="J8" s="317">
        <f ca="1">Well_Head!G9</f>
        <v>94.596747495598393</v>
      </c>
      <c r="K8" s="317">
        <f ca="1">Well_Head!G9</f>
        <v>94.596747495598393</v>
      </c>
      <c r="L8" s="317">
        <f ca="1">Separator!G9</f>
        <v>73.462535643669611</v>
      </c>
      <c r="M8" s="317">
        <f ca="1">IF($C$5=0,AVERAGE(Separator!G9,Tank!G9),Tank!G9)</f>
        <v>75.485762339641894</v>
      </c>
      <c r="N8" s="318">
        <f ca="1">Dehydration_Tank!G9</f>
        <v>95.34505490443847</v>
      </c>
      <c r="O8" s="326" t="s">
        <v>676</v>
      </c>
      <c r="P8" s="207"/>
      <c r="Q8" s="207"/>
      <c r="R8" s="207"/>
      <c r="S8" s="207"/>
      <c r="T8" s="207"/>
      <c r="U8" s="207"/>
      <c r="V8" s="201"/>
    </row>
    <row r="9" spans="1:46" ht="15" customHeight="1" thickBot="1" x14ac:dyDescent="0.3">
      <c r="A9">
        <v>1</v>
      </c>
      <c r="B9" s="191" t="str">
        <f>VLOOKUP(A9,'Species Data'!A:F,5,FALSE)</f>
        <v>trimethben123</v>
      </c>
      <c r="C9" s="315">
        <f t="shared" ref="C9:C60" ca="1" si="0">HLOOKUP($C$3,$D$3:$N$60,A9+6,FALSE)</f>
        <v>0</v>
      </c>
      <c r="D9" s="67">
        <f ca="1">IFERROR(VLOOKUP(B9,Well_Head!C:M,9,FALSE),0)</f>
        <v>0.33505463283703474</v>
      </c>
      <c r="E9" s="319">
        <f ca="1">IFERROR(VLOOKUP(B9,Tank!C:M,9,FALSE),0)</f>
        <v>2.6707595832468522E-2</v>
      </c>
      <c r="F9" s="319">
        <f ca="1">IFERROR(VLOOKUP(B9,Compressor!C:M,9,FALSE),0)</f>
        <v>0</v>
      </c>
      <c r="G9" s="319">
        <f ca="1">IFERROR(VLOOKUP(B9,Separator!C:M,9,FALSE),0)</f>
        <v>0</v>
      </c>
      <c r="H9" s="319">
        <f ca="1">IFERROR(VLOOKUP(B9,Tank!C:M,9,FALSE),0)</f>
        <v>2.6707595832468522E-2</v>
      </c>
      <c r="I9" s="319">
        <f ca="1">IFERROR(VLOOKUP(B9,Separator!C:M,9,FALSE),0)</f>
        <v>0</v>
      </c>
      <c r="J9" s="319">
        <f ca="1">IFERROR(VLOOKUP(B9,Well_Head!C:M,9,FALSE),0)</f>
        <v>0.33505463283703474</v>
      </c>
      <c r="K9" s="319">
        <f ca="1">IFERROR(VLOOKUP(B9,Well_Head!C:M,9,FALSE),0)</f>
        <v>0.33505463283703474</v>
      </c>
      <c r="L9" s="319">
        <f ca="1">IFERROR(VLOOKUP(B9,Separator!C:M,9,FALSE),0)</f>
        <v>0</v>
      </c>
      <c r="M9" s="319">
        <f ca="1">IFERROR(IF('Data Summary'!$C$5=0,AVERAGE(VLOOKUP(B9,Separator!C:M,9,FALSE),VLOOKUP(B9,Tank!C:M,9,FALSE))*100/99.69,VLOOKUP(B9,Tank!C:M,9,FALSE)),0)</f>
        <v>0</v>
      </c>
      <c r="N9" s="320">
        <f ca="1">IFERROR(VLOOKUP(B9,Dehydration_Tank!C:M,9,FALSE),0)</f>
        <v>0</v>
      </c>
      <c r="O9" s="326" t="str">
        <f>"[percent] of C4+ VOC that is " &amp;B9</f>
        <v>[percent] of C4+ VOC that is trimethben123</v>
      </c>
      <c r="P9" s="207"/>
      <c r="Q9" s="207"/>
      <c r="R9" s="207"/>
      <c r="S9" s="207"/>
      <c r="T9" s="207"/>
      <c r="U9" s="207"/>
      <c r="V9" s="201"/>
    </row>
    <row r="10" spans="1:46" ht="15" customHeight="1" thickBot="1" x14ac:dyDescent="0.3">
      <c r="A10">
        <f>A9+1</f>
        <v>2</v>
      </c>
      <c r="B10" s="191" t="str">
        <f>VLOOKUP(A10,'Species Data'!A:F,5,FALSE)</f>
        <v>trimetben124</v>
      </c>
      <c r="C10" s="315">
        <f t="shared" ca="1" si="0"/>
        <v>0.54953305738230152</v>
      </c>
      <c r="D10" s="67">
        <f ca="1">IFERROR(VLOOKUP(B10,Well_Head!C:M,9,FALSE),0)</f>
        <v>0.37987487216310639</v>
      </c>
      <c r="E10" s="319">
        <f ca="1">IFERROR(VLOOKUP(B10,Tank!C:M,9,FALSE),0)</f>
        <v>2.8832063682778516E-2</v>
      </c>
      <c r="F10" s="319">
        <f ca="1">IFERROR(VLOOKUP(B10,Compressor!C:M,9,FALSE),0)</f>
        <v>0</v>
      </c>
      <c r="G10" s="319">
        <f ca="1">IFERROR(VLOOKUP(B10,Separator!C:M,9,FALSE),0)</f>
        <v>4.4756710658444476E-3</v>
      </c>
      <c r="H10" s="319">
        <f ca="1">IFERROR(VLOOKUP(B10,Tank!C:M,9,FALSE),0)</f>
        <v>2.8832063682778516E-2</v>
      </c>
      <c r="I10" s="319">
        <f ca="1">IFERROR(VLOOKUP(B10,Separator!C:M,9,FALSE),0)</f>
        <v>4.4756710658444476E-3</v>
      </c>
      <c r="J10" s="319">
        <f ca="1">IFERROR(VLOOKUP(B10,Well_Head!C:M,9,FALSE),0)</f>
        <v>0.37987487216310639</v>
      </c>
      <c r="K10" s="319">
        <f ca="1">IFERROR(VLOOKUP(B10,Well_Head!C:M,9,FALSE),0)</f>
        <v>0.37987487216310639</v>
      </c>
      <c r="L10" s="319">
        <f ca="1">IFERROR(VLOOKUP(B10,Separator!C:M,9,FALSE),0)</f>
        <v>4.4756710658444476E-3</v>
      </c>
      <c r="M10" s="319">
        <f ca="1">IFERROR(IF('Data Summary'!$C$5=0,AVERAGE(VLOOKUP(B10,Separator!C:M,9,FALSE),VLOOKUP(B10,Tank!C:M,9,FALSE))*100/99.69,VLOOKUP(B10,Tank!C:M,9,FALSE)),0)</f>
        <v>1.6705654904515477E-2</v>
      </c>
      <c r="N10" s="320">
        <f ca="1">IFERROR(VLOOKUP(B10,Dehydration_Tank!C:M,9,FALSE),0)</f>
        <v>0.54953305738230152</v>
      </c>
      <c r="O10" s="326" t="str">
        <f t="shared" ref="O10:O60" si="1">"[percent] of C4+ VOC that is " &amp;B10</f>
        <v>[percent] of C4+ VOC that is trimetben124</v>
      </c>
      <c r="P10" s="207"/>
      <c r="Q10" s="207"/>
      <c r="R10" s="207"/>
      <c r="S10" s="207"/>
      <c r="T10" s="207"/>
      <c r="U10" s="207"/>
      <c r="V10" s="201"/>
    </row>
    <row r="11" spans="1:46" ht="15" customHeight="1" thickBot="1" x14ac:dyDescent="0.3">
      <c r="A11">
        <f t="shared" ref="A11:A60" si="2">A10+1</f>
        <v>3</v>
      </c>
      <c r="B11" s="191" t="str">
        <f>VLOOKUP(A11,'Species Data'!A:F,5,FALSE)</f>
        <v>trimethben135</v>
      </c>
      <c r="C11" s="315">
        <f t="shared" ca="1" si="0"/>
        <v>0</v>
      </c>
      <c r="D11" s="67">
        <f ca="1">IFERROR(VLOOKUP(B11,Well_Head!C:M,9,FALSE),0)</f>
        <v>0.24746841515400306</v>
      </c>
      <c r="E11" s="319">
        <f ca="1">IFERROR(VLOOKUP(B11,Tank!C:M,9,FALSE),0)</f>
        <v>3.2996695103624303E-2</v>
      </c>
      <c r="F11" s="319">
        <f ca="1">IFERROR(VLOOKUP(B11,Compressor!C:M,9,FALSE),0)</f>
        <v>0</v>
      </c>
      <c r="G11" s="319">
        <f ca="1">IFERROR(VLOOKUP(B11,Separator!C:M,9,FALSE),0)</f>
        <v>7.486577055594348E-3</v>
      </c>
      <c r="H11" s="319">
        <f ca="1">IFERROR(VLOOKUP(B11,Tank!C:M,9,FALSE),0)</f>
        <v>3.2996695103624303E-2</v>
      </c>
      <c r="I11" s="319">
        <f ca="1">IFERROR(VLOOKUP(B11,Separator!C:M,9,FALSE),0)</f>
        <v>7.486577055594348E-3</v>
      </c>
      <c r="J11" s="319">
        <f ca="1">IFERROR(VLOOKUP(B11,Well_Head!C:M,9,FALSE),0)</f>
        <v>0.24746841515400306</v>
      </c>
      <c r="K11" s="319">
        <f ca="1">IFERROR(VLOOKUP(B11,Well_Head!C:M,9,FALSE),0)</f>
        <v>0.24746841515400306</v>
      </c>
      <c r="L11" s="319">
        <f ca="1">IFERROR(VLOOKUP(B11,Separator!C:M,9,FALSE),0)</f>
        <v>7.486577055594348E-3</v>
      </c>
      <c r="M11" s="319">
        <f ca="1">IFERROR(IF('Data Summary'!$C$5=0,AVERAGE(VLOOKUP(B11,Separator!C:M,9,FALSE),VLOOKUP(B11,Tank!C:M,9,FALSE))*100/99.69,VLOOKUP(B11,Tank!C:M,9,FALSE)),0)</f>
        <v>2.0304580278472595E-2</v>
      </c>
      <c r="N11" s="320">
        <f ca="1">IFERROR(VLOOKUP(B11,Dehydration_Tank!C:M,9,FALSE),0)</f>
        <v>0</v>
      </c>
      <c r="O11" s="326" t="str">
        <f t="shared" si="1"/>
        <v>[percent] of C4+ VOC that is trimethben135</v>
      </c>
      <c r="P11" s="207"/>
      <c r="Q11" s="207"/>
      <c r="R11" s="207"/>
      <c r="S11" s="207"/>
      <c r="T11" s="207"/>
      <c r="U11" s="207"/>
      <c r="V11" s="201"/>
    </row>
    <row r="12" spans="1:46" ht="15" customHeight="1" thickBot="1" x14ac:dyDescent="0.3">
      <c r="A12">
        <f t="shared" si="2"/>
        <v>4</v>
      </c>
      <c r="B12" s="191" t="str">
        <f>VLOOKUP(A12,'Species Data'!A:F,5,FALSE)</f>
        <v>ethben12</v>
      </c>
      <c r="C12" s="315">
        <f t="shared" ca="1" si="0"/>
        <v>0.19349432642080205</v>
      </c>
      <c r="D12" s="67">
        <f ca="1">IFERROR(VLOOKUP(B12,Well_Head!C:M,9,FALSE),0)</f>
        <v>0.29165836986455179</v>
      </c>
      <c r="E12" s="319">
        <f ca="1">IFERROR(VLOOKUP(B12,Tank!C:M,9,FALSE),0)</f>
        <v>3.2828086544075888E-2</v>
      </c>
      <c r="F12" s="319">
        <f ca="1">IFERROR(VLOOKUP(B12,Compressor!C:M,9,FALSE),0)</f>
        <v>2.4434295675129673E-2</v>
      </c>
      <c r="G12" s="319">
        <f ca="1">IFERROR(VLOOKUP(B12,Separator!C:M,9,FALSE),0)</f>
        <v>1.2450503146803644E-2</v>
      </c>
      <c r="H12" s="319">
        <f ca="1">IFERROR(VLOOKUP(B12,Tank!C:M,9,FALSE),0)</f>
        <v>3.2828086544075888E-2</v>
      </c>
      <c r="I12" s="319">
        <f ca="1">IFERROR(VLOOKUP(B12,Separator!C:M,9,FALSE),0)</f>
        <v>1.2450503146803644E-2</v>
      </c>
      <c r="J12" s="319">
        <f ca="1">IFERROR(VLOOKUP(B12,Well_Head!C:M,9,FALSE),0)</f>
        <v>0.29165836986455179</v>
      </c>
      <c r="K12" s="319">
        <f ca="1">IFERROR(VLOOKUP(B12,Well_Head!C:M,9,FALSE),0)</f>
        <v>0.29165836986455179</v>
      </c>
      <c r="L12" s="319">
        <f ca="1">IFERROR(VLOOKUP(B12,Separator!C:M,9,FALSE),0)</f>
        <v>1.2450503146803644E-2</v>
      </c>
      <c r="M12" s="319">
        <f ca="1">IFERROR(IF('Data Summary'!$C$5=0,AVERAGE(VLOOKUP(B12,Separator!C:M,9,FALSE),VLOOKUP(B12,Tank!C:M,9,FALSE))*100/99.69,VLOOKUP(B12,Tank!C:M,9,FALSE)),0)</f>
        <v>2.2709694899628614E-2</v>
      </c>
      <c r="N12" s="320">
        <f ca="1">IFERROR(VLOOKUP(B12,Dehydration_Tank!C:M,9,FALSE),0)</f>
        <v>0.19349432642080205</v>
      </c>
      <c r="O12" s="326" t="str">
        <f t="shared" si="1"/>
        <v>[percent] of C4+ VOC that is ethben12</v>
      </c>
      <c r="P12" s="207"/>
      <c r="Q12" s="207"/>
      <c r="R12" s="207"/>
      <c r="S12" s="207"/>
      <c r="T12" s="207"/>
      <c r="U12" s="207"/>
      <c r="V12" s="201"/>
    </row>
    <row r="13" spans="1:46" ht="15" customHeight="1" thickBot="1" x14ac:dyDescent="0.3">
      <c r="A13">
        <f t="shared" si="2"/>
        <v>5</v>
      </c>
      <c r="B13" s="191" t="str">
        <f>VLOOKUP(A13,'Species Data'!A:F,5,FALSE)</f>
        <v>ethben13</v>
      </c>
      <c r="C13" s="315">
        <f t="shared" ca="1" si="0"/>
        <v>0.33231045752008592</v>
      </c>
      <c r="D13" s="67">
        <f ca="1">IFERROR(VLOOKUP(B13,Well_Head!C:M,9,FALSE),0)</f>
        <v>0.28120031402180173</v>
      </c>
      <c r="E13" s="319">
        <f ca="1">IFERROR(VLOOKUP(B13,Tank!C:M,9,FALSE),0)</f>
        <v>2.7550638630210584E-2</v>
      </c>
      <c r="F13" s="319">
        <f ca="1">IFERROR(VLOOKUP(B13,Compressor!C:M,9,FALSE),0)</f>
        <v>2.6953295229266747E-2</v>
      </c>
      <c r="G13" s="319">
        <f ca="1">IFERROR(VLOOKUP(B13,Separator!C:M,9,FALSE),0)</f>
        <v>1.1636744771195561E-2</v>
      </c>
      <c r="H13" s="319">
        <f ca="1">IFERROR(VLOOKUP(B13,Tank!C:M,9,FALSE),0)</f>
        <v>2.7550638630210584E-2</v>
      </c>
      <c r="I13" s="319">
        <f ca="1">IFERROR(VLOOKUP(B13,Separator!C:M,9,FALSE),0)</f>
        <v>1.1636744771195561E-2</v>
      </c>
      <c r="J13" s="319">
        <f ca="1">IFERROR(VLOOKUP(B13,Well_Head!C:M,9,FALSE),0)</f>
        <v>0.28120031402180173</v>
      </c>
      <c r="K13" s="319">
        <f ca="1">IFERROR(VLOOKUP(B13,Well_Head!C:M,9,FALSE),0)</f>
        <v>0.28120031402180173</v>
      </c>
      <c r="L13" s="319">
        <f ca="1">IFERROR(VLOOKUP(B13,Separator!C:M,9,FALSE),0)</f>
        <v>1.1636744771195561E-2</v>
      </c>
      <c r="M13" s="319">
        <f ca="1">IFERROR(IF('Data Summary'!$C$5=0,AVERAGE(VLOOKUP(B13,Separator!C:M,9,FALSE),VLOOKUP(B13,Tank!C:M,9,FALSE))*100/99.69,VLOOKUP(B13,Tank!C:M,9,FALSE)),0)</f>
        <v>1.965462102588331E-2</v>
      </c>
      <c r="N13" s="320">
        <f ca="1">IFERROR(VLOOKUP(B13,Dehydration_Tank!C:M,9,FALSE),0)</f>
        <v>0.33231045752008592</v>
      </c>
      <c r="O13" s="326" t="str">
        <f t="shared" si="1"/>
        <v>[percent] of C4+ VOC that is ethben13</v>
      </c>
      <c r="P13" s="201"/>
      <c r="Q13" s="201"/>
      <c r="R13" s="201"/>
      <c r="S13" s="201"/>
      <c r="T13" s="201"/>
      <c r="U13" s="201"/>
      <c r="V13" s="201"/>
    </row>
    <row r="14" spans="1:46" ht="15" customHeight="1" thickBot="1" x14ac:dyDescent="0.3">
      <c r="A14">
        <f t="shared" si="2"/>
        <v>6</v>
      </c>
      <c r="B14" s="191" t="str">
        <f>VLOOKUP(A14,'Species Data'!A:F,5,FALSE)</f>
        <v>trimetpen2</v>
      </c>
      <c r="C14" s="315">
        <f t="shared" ca="1" si="0"/>
        <v>0</v>
      </c>
      <c r="D14" s="67">
        <f ca="1">IFERROR(VLOOKUP(B14,Well_Head!C:M,9,FALSE),0)</f>
        <v>0</v>
      </c>
      <c r="E14" s="319">
        <f ca="1">IFERROR(VLOOKUP(B14,Tank!C:M,9,FALSE),0)</f>
        <v>0</v>
      </c>
      <c r="F14" s="319">
        <f ca="1">IFERROR(VLOOKUP(B14,Compressor!C:M,9,FALSE),0)</f>
        <v>0</v>
      </c>
      <c r="G14" s="319">
        <f ca="1">IFERROR(VLOOKUP(B14,Separator!C:M,9,FALSE),0)</f>
        <v>0</v>
      </c>
      <c r="H14" s="319">
        <f ca="1">IFERROR(VLOOKUP(B14,Tank!C:M,9,FALSE),0)</f>
        <v>0</v>
      </c>
      <c r="I14" s="319">
        <f ca="1">IFERROR(VLOOKUP(B14,Separator!C:M,9,FALSE),0)</f>
        <v>0</v>
      </c>
      <c r="J14" s="319">
        <f ca="1">IFERROR(VLOOKUP(B14,Well_Head!C:M,9,FALSE),0)</f>
        <v>0</v>
      </c>
      <c r="K14" s="319">
        <f ca="1">IFERROR(VLOOKUP(B14,Well_Head!C:M,9,FALSE),0)</f>
        <v>0</v>
      </c>
      <c r="L14" s="319">
        <f ca="1">IFERROR(VLOOKUP(B14,Separator!C:M,9,FALSE),0)</f>
        <v>0</v>
      </c>
      <c r="M14" s="319">
        <f ca="1">IFERROR(IF('Data Summary'!$C$5=0,AVERAGE(VLOOKUP(B14,Separator!C:M,9,FALSE),VLOOKUP(B14,Tank!C:M,9,FALSE))*100/99.69,VLOOKUP(B14,Tank!C:M,9,FALSE)),0)</f>
        <v>0</v>
      </c>
      <c r="N14" s="320">
        <f ca="1">IFERROR(VLOOKUP(B14,Dehydration_Tank!C:M,9,FALSE),0)</f>
        <v>0</v>
      </c>
      <c r="O14" s="326" t="str">
        <f t="shared" si="1"/>
        <v>[percent] of C4+ VOC that is trimetpen2</v>
      </c>
      <c r="P14" s="201"/>
      <c r="Q14" s="201"/>
      <c r="R14" s="201"/>
      <c r="S14" s="201"/>
      <c r="T14" s="201"/>
      <c r="U14" s="201"/>
      <c r="V14" s="201"/>
    </row>
    <row r="15" spans="1:46" ht="15" customHeight="1" thickBot="1" x14ac:dyDescent="0.3">
      <c r="A15">
        <f t="shared" si="2"/>
        <v>7</v>
      </c>
      <c r="B15" s="191" t="str">
        <f>VLOOKUP(A15,'Species Data'!A:F,5,FALSE)</f>
        <v>dimetbut22</v>
      </c>
      <c r="C15" s="315">
        <f t="shared" ca="1" si="0"/>
        <v>0.28680260942230251</v>
      </c>
      <c r="D15" s="67">
        <f ca="1">IFERROR(VLOOKUP(B15,Well_Head!C:M,9,FALSE),0)</f>
        <v>0.45242763457218493</v>
      </c>
      <c r="E15" s="319">
        <f ca="1">IFERROR(VLOOKUP(B15,Tank!C:M,9,FALSE),0)</f>
        <v>0</v>
      </c>
      <c r="F15" s="319">
        <f ca="1">IFERROR(VLOOKUP(B15,Compressor!C:M,9,FALSE),0)</f>
        <v>0.49775431189748681</v>
      </c>
      <c r="G15" s="319">
        <f ca="1">IFERROR(VLOOKUP(B15,Separator!C:M,9,FALSE),0)</f>
        <v>0.37782801379483211</v>
      </c>
      <c r="H15" s="319">
        <f ca="1">IFERROR(VLOOKUP(B15,Tank!C:M,9,FALSE),0)</f>
        <v>0</v>
      </c>
      <c r="I15" s="319">
        <f ca="1">IFERROR(VLOOKUP(B15,Separator!C:M,9,FALSE),0)</f>
        <v>0.37782801379483211</v>
      </c>
      <c r="J15" s="319">
        <f ca="1">IFERROR(VLOOKUP(B15,Well_Head!C:M,9,FALSE),0)</f>
        <v>0.45242763457218493</v>
      </c>
      <c r="K15" s="319">
        <f ca="1">IFERROR(VLOOKUP(B15,Well_Head!C:M,9,FALSE),0)</f>
        <v>0.45242763457218493</v>
      </c>
      <c r="L15" s="319">
        <f ca="1">IFERROR(VLOOKUP(B15,Separator!C:M,9,FALSE),0)</f>
        <v>0.37782801379483211</v>
      </c>
      <c r="M15" s="319">
        <f ca="1">IFERROR(IF('Data Summary'!$C$5=0,AVERAGE(VLOOKUP(B15,Separator!C:M,9,FALSE),VLOOKUP(B15,Tank!C:M,9,FALSE))*100/99.69,VLOOKUP(B15,Tank!C:M,9,FALSE)),0)</f>
        <v>0.18950146142784235</v>
      </c>
      <c r="N15" s="320">
        <f ca="1">IFERROR(VLOOKUP(B15,Dehydration_Tank!C:M,9,FALSE),0)</f>
        <v>0.28680260942230251</v>
      </c>
      <c r="O15" s="326" t="str">
        <f t="shared" si="1"/>
        <v>[percent] of C4+ VOC that is dimetbut22</v>
      </c>
      <c r="P15" s="207"/>
      <c r="Q15" s="207"/>
      <c r="R15" s="207"/>
      <c r="S15" s="207"/>
      <c r="T15" s="207"/>
      <c r="U15" s="207"/>
      <c r="V15" s="201"/>
    </row>
    <row r="16" spans="1:46" ht="15" customHeight="1" thickBot="1" x14ac:dyDescent="0.3">
      <c r="A16">
        <f t="shared" si="2"/>
        <v>8</v>
      </c>
      <c r="B16" s="191" t="str">
        <f>VLOOKUP(A16,'Species Data'!A:F,5,FALSE)</f>
        <v>dimethpro</v>
      </c>
      <c r="C16" s="315">
        <f t="shared" ca="1" si="0"/>
        <v>0.23670958771265177</v>
      </c>
      <c r="D16" s="67">
        <f ca="1">IFERROR(VLOOKUP(B16,Well_Head!C:M,9,FALSE),0)</f>
        <v>0.26329556216602207</v>
      </c>
      <c r="E16" s="319">
        <f ca="1">IFERROR(VLOOKUP(B16,Tank!C:M,9,FALSE),0)</f>
        <v>0.24687665289078539</v>
      </c>
      <c r="F16" s="319">
        <f ca="1">IFERROR(VLOOKUP(B16,Compressor!C:M,9,FALSE),0)</f>
        <v>0.2947229478340383</v>
      </c>
      <c r="G16" s="319">
        <f ca="1">IFERROR(VLOOKUP(B16,Separator!C:M,9,FALSE),0)</f>
        <v>0.22655033176928979</v>
      </c>
      <c r="H16" s="319">
        <f ca="1">IFERROR(VLOOKUP(B16,Tank!C:M,9,FALSE),0)</f>
        <v>0.24687665289078539</v>
      </c>
      <c r="I16" s="319">
        <f ca="1">IFERROR(VLOOKUP(B16,Separator!C:M,9,FALSE),0)</f>
        <v>0.22655033176928979</v>
      </c>
      <c r="J16" s="319">
        <f ca="1">IFERROR(VLOOKUP(B16,Well_Head!C:M,9,FALSE),0)</f>
        <v>0.26329556216602207</v>
      </c>
      <c r="K16" s="319">
        <f ca="1">IFERROR(VLOOKUP(B16,Well_Head!C:M,9,FALSE),0)</f>
        <v>0.26329556216602207</v>
      </c>
      <c r="L16" s="319">
        <f ca="1">IFERROR(VLOOKUP(B16,Separator!C:M,9,FALSE),0)</f>
        <v>0.22655033176928979</v>
      </c>
      <c r="M16" s="319">
        <f ca="1">IFERROR(IF('Data Summary'!$C$5=0,AVERAGE(VLOOKUP(B16,Separator!C:M,9,FALSE),VLOOKUP(B16,Tank!C:M,9,FALSE))*100/99.69,VLOOKUP(B16,Tank!C:M,9,FALSE)),0)</f>
        <v>0.23744958604678262</v>
      </c>
      <c r="N16" s="320">
        <f ca="1">IFERROR(VLOOKUP(B16,Dehydration_Tank!C:M,9,FALSE),0)</f>
        <v>0.23670958771265177</v>
      </c>
      <c r="O16" s="326" t="str">
        <f t="shared" si="1"/>
        <v>[percent] of C4+ VOC that is dimethpro</v>
      </c>
      <c r="P16" s="201"/>
      <c r="Q16" s="201"/>
      <c r="R16" s="201"/>
      <c r="S16" s="201"/>
      <c r="T16" s="201"/>
      <c r="U16" s="201"/>
      <c r="V16" s="201"/>
    </row>
    <row r="17" spans="1:15" ht="15" customHeight="1" thickBot="1" x14ac:dyDescent="0.3">
      <c r="A17">
        <f t="shared" si="2"/>
        <v>9</v>
      </c>
      <c r="B17" s="191" t="str">
        <f>VLOOKUP(A17,'Species Data'!A:F,5,FALSE)</f>
        <v>trimentpen3</v>
      </c>
      <c r="C17" s="315">
        <f t="shared" ca="1" si="0"/>
        <v>0.42011653218734563</v>
      </c>
      <c r="D17" s="67">
        <f ca="1">IFERROR(VLOOKUP(B17,Well_Head!C:M,9,FALSE),0)</f>
        <v>0.39901684937528292</v>
      </c>
      <c r="E17" s="319">
        <f ca="1">IFERROR(VLOOKUP(B17,Tank!C:M,9,FALSE),0)</f>
        <v>0.55650941164548995</v>
      </c>
      <c r="F17" s="319">
        <f ca="1">IFERROR(VLOOKUP(B17,Compressor!C:M,9,FALSE),0)</f>
        <v>0</v>
      </c>
      <c r="G17" s="319">
        <f ca="1">IFERROR(VLOOKUP(B17,Separator!C:M,9,FALSE),0)</f>
        <v>0.35072985988708305</v>
      </c>
      <c r="H17" s="319">
        <f ca="1">IFERROR(VLOOKUP(B17,Tank!C:M,9,FALSE),0)</f>
        <v>0.55650941164548995</v>
      </c>
      <c r="I17" s="319">
        <f ca="1">IFERROR(VLOOKUP(B17,Separator!C:M,9,FALSE),0)</f>
        <v>0.35072985988708305</v>
      </c>
      <c r="J17" s="319">
        <f ca="1">IFERROR(VLOOKUP(B17,Well_Head!C:M,9,FALSE),0)</f>
        <v>0.39901684937528292</v>
      </c>
      <c r="K17" s="319">
        <f ca="1">IFERROR(VLOOKUP(B17,Well_Head!C:M,9,FALSE),0)</f>
        <v>0.39901684937528292</v>
      </c>
      <c r="L17" s="319">
        <f ca="1">IFERROR(VLOOKUP(B17,Separator!C:M,9,FALSE),0)</f>
        <v>0.35072985988708305</v>
      </c>
      <c r="M17" s="319">
        <f ca="1">IFERROR(IF('Data Summary'!$C$5=0,AVERAGE(VLOOKUP(B17,Separator!C:M,9,FALSE),VLOOKUP(B17,Tank!C:M,9,FALSE))*100/99.69,VLOOKUP(B17,Tank!C:M,9,FALSE)),0)</f>
        <v>0.4550302294776673</v>
      </c>
      <c r="N17" s="320">
        <f ca="1">IFERROR(VLOOKUP(B17,Dehydration_Tank!C:M,9,FALSE),0)</f>
        <v>0.42011653218734563</v>
      </c>
      <c r="O17" s="326" t="str">
        <f t="shared" si="1"/>
        <v>[percent] of C4+ VOC that is trimentpen3</v>
      </c>
    </row>
    <row r="18" spans="1:15" ht="15" customHeight="1" thickBot="1" x14ac:dyDescent="0.3">
      <c r="A18">
        <f t="shared" si="2"/>
        <v>10</v>
      </c>
      <c r="B18" s="191" t="str">
        <f>VLOOKUP(A18,'Species Data'!A:F,5,FALSE)</f>
        <v>dimetbut</v>
      </c>
      <c r="C18" s="315">
        <f t="shared" ca="1" si="0"/>
        <v>0</v>
      </c>
      <c r="D18" s="67">
        <f ca="1">IFERROR(VLOOKUP(B18,Well_Head!C:M,9,FALSE),0)</f>
        <v>1.6217690034896755</v>
      </c>
      <c r="E18" s="319">
        <f ca="1">IFERROR(VLOOKUP(B18,Tank!C:M,9,FALSE),0)</f>
        <v>0.57475285778862817</v>
      </c>
      <c r="F18" s="319">
        <f ca="1">IFERROR(VLOOKUP(B18,Compressor!C:M,9,FALSE),0)</f>
        <v>0</v>
      </c>
      <c r="G18" s="319">
        <f ca="1">IFERROR(VLOOKUP(B18,Separator!C:M,9,FALSE),0)</f>
        <v>0</v>
      </c>
      <c r="H18" s="319">
        <f ca="1">IFERROR(VLOOKUP(B18,Tank!C:M,9,FALSE),0)</f>
        <v>0.57475285778862817</v>
      </c>
      <c r="I18" s="319">
        <f ca="1">IFERROR(VLOOKUP(B18,Separator!C:M,9,FALSE),0)</f>
        <v>0</v>
      </c>
      <c r="J18" s="319">
        <f ca="1">IFERROR(VLOOKUP(B18,Well_Head!C:M,9,FALSE),0)</f>
        <v>1.6217690034896755</v>
      </c>
      <c r="K18" s="319">
        <f ca="1">IFERROR(VLOOKUP(B18,Well_Head!C:M,9,FALSE),0)</f>
        <v>1.6217690034896755</v>
      </c>
      <c r="L18" s="319">
        <f ca="1">IFERROR(VLOOKUP(B18,Separator!C:M,9,FALSE),0)</f>
        <v>0</v>
      </c>
      <c r="M18" s="319">
        <f ca="1">IFERROR(IF('Data Summary'!$C$5=0,AVERAGE(VLOOKUP(B18,Separator!C:M,9,FALSE),VLOOKUP(B18,Tank!C:M,9,FALSE))*100/99.69,VLOOKUP(B18,Tank!C:M,9,FALSE)),0)</f>
        <v>0</v>
      </c>
      <c r="N18" s="320">
        <f ca="1">IFERROR(VLOOKUP(B18,Dehydration_Tank!C:M,9,FALSE),0)</f>
        <v>0</v>
      </c>
      <c r="O18" s="326" t="str">
        <f t="shared" si="1"/>
        <v>[percent] of C4+ VOC that is dimetbut</v>
      </c>
    </row>
    <row r="19" spans="1:15" ht="15" customHeight="1" thickBot="1" x14ac:dyDescent="0.3">
      <c r="A19">
        <f t="shared" si="2"/>
        <v>11</v>
      </c>
      <c r="B19" s="191" t="str">
        <f>VLOOKUP(A19,'Species Data'!A:F,5,FALSE)</f>
        <v>dimethhex23</v>
      </c>
      <c r="C19" s="315">
        <f t="shared" ca="1" si="0"/>
        <v>0.22902942191277398</v>
      </c>
      <c r="D19" s="67">
        <f ca="1">IFERROR(VLOOKUP(B19,Well_Head!C:M,9,FALSE),0)</f>
        <v>0.12451622737774286</v>
      </c>
      <c r="E19" s="319">
        <f ca="1">IFERROR(VLOOKUP(B19,Tank!C:M,9,FALSE),0)</f>
        <v>7.4811617871630598E-2</v>
      </c>
      <c r="F19" s="319">
        <f ca="1">IFERROR(VLOOKUP(B19,Compressor!C:M,9,FALSE),0)</f>
        <v>8.1363685598627666E-2</v>
      </c>
      <c r="G19" s="319">
        <f ca="1">IFERROR(VLOOKUP(B19,Separator!C:M,9,FALSE),0)</f>
        <v>3.8246643653579819E-2</v>
      </c>
      <c r="H19" s="319">
        <f ca="1">IFERROR(VLOOKUP(B19,Tank!C:M,9,FALSE),0)</f>
        <v>7.4811617871630598E-2</v>
      </c>
      <c r="I19" s="319">
        <f ca="1">IFERROR(VLOOKUP(B19,Separator!C:M,9,FALSE),0)</f>
        <v>3.8246643653579819E-2</v>
      </c>
      <c r="J19" s="319">
        <f ca="1">IFERROR(VLOOKUP(B19,Well_Head!C:M,9,FALSE),0)</f>
        <v>0.12451622737774286</v>
      </c>
      <c r="K19" s="319">
        <f ca="1">IFERROR(VLOOKUP(B19,Well_Head!C:M,9,FALSE),0)</f>
        <v>0.12451622737774286</v>
      </c>
      <c r="L19" s="319">
        <f ca="1">IFERROR(VLOOKUP(B19,Separator!C:M,9,FALSE),0)</f>
        <v>3.8246643653579819E-2</v>
      </c>
      <c r="M19" s="319">
        <f ca="1">IFERROR(IF('Data Summary'!$C$5=0,AVERAGE(VLOOKUP(B19,Separator!C:M,9,FALSE),VLOOKUP(B19,Tank!C:M,9,FALSE))*100/99.69,VLOOKUP(B19,Tank!C:M,9,FALSE)),0)</f>
        <v>5.6704916002212072E-2</v>
      </c>
      <c r="N19" s="320">
        <f ca="1">IFERROR(VLOOKUP(B19,Dehydration_Tank!C:M,9,FALSE),0)</f>
        <v>0.22902942191277398</v>
      </c>
      <c r="O19" s="326" t="str">
        <f t="shared" si="1"/>
        <v>[percent] of C4+ VOC that is dimethhex23</v>
      </c>
    </row>
    <row r="20" spans="1:15" ht="15" customHeight="1" thickBot="1" x14ac:dyDescent="0.3">
      <c r="A20">
        <f t="shared" si="2"/>
        <v>12</v>
      </c>
      <c r="B20" s="191" t="str">
        <f>VLOOKUP(A20,'Species Data'!A:F,5,FALSE)</f>
        <v>dimetpen3</v>
      </c>
      <c r="C20" s="315">
        <f t="shared" ca="1" si="0"/>
        <v>1.0877178100752312</v>
      </c>
      <c r="D20" s="67">
        <f ca="1">IFERROR(VLOOKUP(B20,Well_Head!C:M,9,FALSE),0)</f>
        <v>0.80604064775517126</v>
      </c>
      <c r="E20" s="319">
        <f ca="1">IFERROR(VLOOKUP(B20,Tank!C:M,9,FALSE),0)</f>
        <v>0.61933296093322843</v>
      </c>
      <c r="F20" s="319">
        <f ca="1">IFERROR(VLOOKUP(B20,Compressor!C:M,9,FALSE),0)</f>
        <v>0.65569558394188165</v>
      </c>
      <c r="G20" s="319">
        <f ca="1">IFERROR(VLOOKUP(B20,Separator!C:M,9,FALSE),0)</f>
        <v>0.50265854861311177</v>
      </c>
      <c r="H20" s="319">
        <f ca="1">IFERROR(VLOOKUP(B20,Tank!C:M,9,FALSE),0)</f>
        <v>0.61933296093322843</v>
      </c>
      <c r="I20" s="319">
        <f ca="1">IFERROR(VLOOKUP(B20,Separator!C:M,9,FALSE),0)</f>
        <v>0.50265854861311177</v>
      </c>
      <c r="J20" s="319">
        <f ca="1">IFERROR(VLOOKUP(B20,Well_Head!C:M,9,FALSE),0)</f>
        <v>0.80604064775517126</v>
      </c>
      <c r="K20" s="319">
        <f ca="1">IFERROR(VLOOKUP(B20,Well_Head!C:M,9,FALSE),0)</f>
        <v>0.80604064775517126</v>
      </c>
      <c r="L20" s="319">
        <f ca="1">IFERROR(VLOOKUP(B20,Separator!C:M,9,FALSE),0)</f>
        <v>0.50265854861311177</v>
      </c>
      <c r="M20" s="319">
        <f ca="1">IFERROR(IF('Data Summary'!$C$5=0,AVERAGE(VLOOKUP(B20,Separator!C:M,9,FALSE),VLOOKUP(B20,Tank!C:M,9,FALSE))*100/99.69,VLOOKUP(B20,Tank!C:M,9,FALSE)),0)</f>
        <v>0.56274024954676505</v>
      </c>
      <c r="N20" s="320">
        <f ca="1">IFERROR(VLOOKUP(B20,Dehydration_Tank!C:M,9,FALSE),0)</f>
        <v>1.0877178100752312</v>
      </c>
      <c r="O20" s="326" t="str">
        <f t="shared" si="1"/>
        <v>[percent] of C4+ VOC that is dimetpen3</v>
      </c>
    </row>
    <row r="21" spans="1:15" ht="15" customHeight="1" thickBot="1" x14ac:dyDescent="0.3">
      <c r="A21">
        <f t="shared" si="2"/>
        <v>13</v>
      </c>
      <c r="B21" s="191" t="str">
        <f>VLOOKUP(A21,'Species Data'!A:F,5,FALSE)</f>
        <v>dimethhex24</v>
      </c>
      <c r="C21" s="315">
        <f t="shared" ca="1" si="0"/>
        <v>0.27339097660759054</v>
      </c>
      <c r="D21" s="67">
        <f ca="1">IFERROR(VLOOKUP(B21,Well_Head!C:M,9,FALSE),0)</f>
        <v>0.3476603251474924</v>
      </c>
      <c r="E21" s="319">
        <f ca="1">IFERROR(VLOOKUP(B21,Tank!C:M,9,FALSE),0)</f>
        <v>0.16892891581155439</v>
      </c>
      <c r="F21" s="319">
        <f ca="1">IFERROR(VLOOKUP(B21,Compressor!C:M,9,FALSE),0)</f>
        <v>0</v>
      </c>
      <c r="G21" s="319">
        <f ca="1">IFERROR(VLOOKUP(B21,Separator!C:M,9,FALSE),0)</f>
        <v>0.10562583715392895</v>
      </c>
      <c r="H21" s="319">
        <f ca="1">IFERROR(VLOOKUP(B21,Tank!C:M,9,FALSE),0)</f>
        <v>0.16892891581155439</v>
      </c>
      <c r="I21" s="319">
        <f ca="1">IFERROR(VLOOKUP(B21,Separator!C:M,9,FALSE),0)</f>
        <v>0.10562583715392895</v>
      </c>
      <c r="J21" s="319">
        <f ca="1">IFERROR(VLOOKUP(B21,Well_Head!C:M,9,FALSE),0)</f>
        <v>0.3476603251474924</v>
      </c>
      <c r="K21" s="319">
        <f ca="1">IFERROR(VLOOKUP(B21,Well_Head!C:M,9,FALSE),0)</f>
        <v>0.3476603251474924</v>
      </c>
      <c r="L21" s="319">
        <f ca="1">IFERROR(VLOOKUP(B21,Separator!C:M,9,FALSE),0)</f>
        <v>0.10562583715392895</v>
      </c>
      <c r="M21" s="319">
        <f ca="1">IFERROR(IF('Data Summary'!$C$5=0,AVERAGE(VLOOKUP(B21,Separator!C:M,9,FALSE),VLOOKUP(B21,Tank!C:M,9,FALSE))*100/99.69,VLOOKUP(B21,Tank!C:M,9,FALSE)),0)</f>
        <v>0.13770425968777378</v>
      </c>
      <c r="N21" s="320">
        <f ca="1">IFERROR(VLOOKUP(B21,Dehydration_Tank!C:M,9,FALSE),0)</f>
        <v>0.27339097660759054</v>
      </c>
      <c r="O21" s="326" t="str">
        <f t="shared" si="1"/>
        <v>[percent] of C4+ VOC that is dimethhex24</v>
      </c>
    </row>
    <row r="22" spans="1:15" ht="15" customHeight="1" thickBot="1" x14ac:dyDescent="0.3">
      <c r="A22">
        <f t="shared" si="2"/>
        <v>14</v>
      </c>
      <c r="B22" s="191" t="str">
        <f>VLOOKUP(A22,'Species Data'!A:F,5,FALSE)</f>
        <v>dimetpen4</v>
      </c>
      <c r="C22" s="315">
        <f t="shared" ca="1" si="0"/>
        <v>0.2693789496972066</v>
      </c>
      <c r="D22" s="67">
        <f ca="1">IFERROR(VLOOKUP(B22,Well_Head!C:M,9,FALSE),0)</f>
        <v>0.32982560491565971</v>
      </c>
      <c r="E22" s="319">
        <f ca="1">IFERROR(VLOOKUP(B22,Tank!C:M,9,FALSE),0)</f>
        <v>0.20099826383766242</v>
      </c>
      <c r="F22" s="319">
        <f ca="1">IFERROR(VLOOKUP(B22,Compressor!C:M,9,FALSE),0)</f>
        <v>0.30555464591682774</v>
      </c>
      <c r="G22" s="319">
        <f ca="1">IFERROR(VLOOKUP(B22,Separator!C:M,9,FALSE),0)</f>
        <v>0.23143288202293832</v>
      </c>
      <c r="H22" s="319">
        <f ca="1">IFERROR(VLOOKUP(B22,Tank!C:M,9,FALSE),0)</f>
        <v>0.20099826383766242</v>
      </c>
      <c r="I22" s="319">
        <f ca="1">IFERROR(VLOOKUP(B22,Separator!C:M,9,FALSE),0)</f>
        <v>0.23143288202293832</v>
      </c>
      <c r="J22" s="319">
        <f ca="1">IFERROR(VLOOKUP(B22,Well_Head!C:M,9,FALSE),0)</f>
        <v>0.32982560491565971</v>
      </c>
      <c r="K22" s="319">
        <f ca="1">IFERROR(VLOOKUP(B22,Well_Head!C:M,9,FALSE),0)</f>
        <v>0.32982560491565971</v>
      </c>
      <c r="L22" s="319">
        <f ca="1">IFERROR(VLOOKUP(B22,Separator!C:M,9,FALSE),0)</f>
        <v>0.23143288202293832</v>
      </c>
      <c r="M22" s="319">
        <f ca="1">IFERROR(IF('Data Summary'!$C$5=0,AVERAGE(VLOOKUP(B22,Separator!C:M,9,FALSE),VLOOKUP(B22,Tank!C:M,9,FALSE))*100/99.69,VLOOKUP(B22,Tank!C:M,9,FALSE)),0)</f>
        <v>0.21688792549934835</v>
      </c>
      <c r="N22" s="320">
        <f ca="1">IFERROR(VLOOKUP(B22,Dehydration_Tank!C:M,9,FALSE),0)</f>
        <v>0.2693789496972066</v>
      </c>
      <c r="O22" s="326" t="str">
        <f t="shared" si="1"/>
        <v>[percent] of C4+ VOC that is dimetpen4</v>
      </c>
    </row>
    <row r="23" spans="1:15" ht="15" customHeight="1" thickBot="1" x14ac:dyDescent="0.3">
      <c r="A23">
        <f t="shared" si="2"/>
        <v>15</v>
      </c>
      <c r="B23" s="191" t="str">
        <f>VLOOKUP(A23,'Species Data'!A:F,5,FALSE)</f>
        <v>methep2</v>
      </c>
      <c r="C23" s="315">
        <f t="shared" ca="1" si="0"/>
        <v>0.85398858521029342</v>
      </c>
      <c r="D23" s="67">
        <f ca="1">IFERROR(VLOOKUP(B23,Well_Head!C:M,9,FALSE),0)</f>
        <v>0.45242763457218493</v>
      </c>
      <c r="E23" s="319">
        <f ca="1">IFERROR(VLOOKUP(B23,Tank!C:M,9,FALSE),0)</f>
        <v>0.29958368860561913</v>
      </c>
      <c r="F23" s="319">
        <f ca="1">IFERROR(VLOOKUP(B23,Compressor!C:M,9,FALSE),0)</f>
        <v>0.35669033686581048</v>
      </c>
      <c r="G23" s="319">
        <f ca="1">IFERROR(VLOOKUP(B23,Separator!C:M,9,FALSE),0)</f>
        <v>0.24567365359607976</v>
      </c>
      <c r="H23" s="319">
        <f ca="1">IFERROR(VLOOKUP(B23,Tank!C:M,9,FALSE),0)</f>
        <v>0.29958368860561913</v>
      </c>
      <c r="I23" s="319">
        <f ca="1">IFERROR(VLOOKUP(B23,Separator!C:M,9,FALSE),0)</f>
        <v>0.24567365359607976</v>
      </c>
      <c r="J23" s="319">
        <f ca="1">IFERROR(VLOOKUP(B23,Well_Head!C:M,9,FALSE),0)</f>
        <v>0.45242763457218493</v>
      </c>
      <c r="K23" s="319">
        <f ca="1">IFERROR(VLOOKUP(B23,Well_Head!C:M,9,FALSE),0)</f>
        <v>0.45242763457218493</v>
      </c>
      <c r="L23" s="319">
        <f ca="1">IFERROR(VLOOKUP(B23,Separator!C:M,9,FALSE),0)</f>
        <v>0.24567365359607976</v>
      </c>
      <c r="M23" s="319">
        <f ca="1">IFERROR(IF('Data Summary'!$C$5=0,AVERAGE(VLOOKUP(B23,Separator!C:M,9,FALSE),VLOOKUP(B23,Tank!C:M,9,FALSE))*100/99.69,VLOOKUP(B23,Tank!C:M,9,FALSE)),0)</f>
        <v>0.27347644808992821</v>
      </c>
      <c r="N23" s="320">
        <f ca="1">IFERROR(VLOOKUP(B23,Dehydration_Tank!C:M,9,FALSE),0)</f>
        <v>0.85398858521029342</v>
      </c>
      <c r="O23" s="326" t="str">
        <f t="shared" si="1"/>
        <v>[percent] of C4+ VOC that is methep2</v>
      </c>
    </row>
    <row r="24" spans="1:15" ht="15" customHeight="1" thickBot="1" x14ac:dyDescent="0.3">
      <c r="A24">
        <f t="shared" si="2"/>
        <v>16</v>
      </c>
      <c r="B24" s="191" t="str">
        <f>VLOOKUP(A24,'Species Data'!A:F,5,FALSE)</f>
        <v>twomethex</v>
      </c>
      <c r="C24" s="315">
        <f t="shared" ca="1" si="0"/>
        <v>0.7511660669641681</v>
      </c>
      <c r="D24" s="67">
        <f ca="1">IFERROR(VLOOKUP(B24,Well_Head!C:M,9,FALSE),0)</f>
        <v>0.70127333833047878</v>
      </c>
      <c r="E24" s="319">
        <f ca="1">IFERROR(VLOOKUP(B24,Tank!C:M,9,FALSE),0)</f>
        <v>0.76502761723901169</v>
      </c>
      <c r="F24" s="319">
        <f ca="1">IFERROR(VLOOKUP(B24,Compressor!C:M,9,FALSE),0)</f>
        <v>0.66249688273805196</v>
      </c>
      <c r="G24" s="319">
        <f ca="1">IFERROR(VLOOKUP(B24,Separator!C:M,9,FALSE),0)</f>
        <v>0.65946978759278907</v>
      </c>
      <c r="H24" s="319">
        <f ca="1">IFERROR(VLOOKUP(B24,Tank!C:M,9,FALSE),0)</f>
        <v>0.76502761723901169</v>
      </c>
      <c r="I24" s="319">
        <f ca="1">IFERROR(VLOOKUP(B24,Separator!C:M,9,FALSE),0)</f>
        <v>0.65946978759278907</v>
      </c>
      <c r="J24" s="319">
        <f ca="1">IFERROR(VLOOKUP(B24,Well_Head!C:M,9,FALSE),0)</f>
        <v>0.70127333833047878</v>
      </c>
      <c r="K24" s="319">
        <f ca="1">IFERROR(VLOOKUP(B24,Well_Head!C:M,9,FALSE),0)</f>
        <v>0.70127333833047878</v>
      </c>
      <c r="L24" s="319">
        <f ca="1">IFERROR(VLOOKUP(B24,Separator!C:M,9,FALSE),0)</f>
        <v>0.65946978759278907</v>
      </c>
      <c r="M24" s="319">
        <f ca="1">IFERROR(IF('Data Summary'!$C$5=0,AVERAGE(VLOOKUP(B24,Separator!C:M,9,FALSE),VLOOKUP(B24,Tank!C:M,9,FALSE))*100/99.69,VLOOKUP(B24,Tank!C:M,9,FALSE)),0)</f>
        <v>0.71446353938800311</v>
      </c>
      <c r="N24" s="320">
        <f ca="1">IFERROR(VLOOKUP(B24,Dehydration_Tank!C:M,9,FALSE),0)</f>
        <v>0.7511660669641681</v>
      </c>
      <c r="O24" s="326" t="str">
        <f t="shared" si="1"/>
        <v>[percent] of C4+ VOC that is twomethex</v>
      </c>
    </row>
    <row r="25" spans="1:15" ht="15" customHeight="1" thickBot="1" x14ac:dyDescent="0.3">
      <c r="A25">
        <f t="shared" si="2"/>
        <v>17</v>
      </c>
      <c r="B25" s="191" t="str">
        <f>VLOOKUP(A25,'Species Data'!A:F,5,FALSE)</f>
        <v>twometpen</v>
      </c>
      <c r="C25" s="315">
        <f t="shared" ca="1" si="0"/>
        <v>2.4389684734925385</v>
      </c>
      <c r="D25" s="67">
        <f ca="1">IFERROR(VLOOKUP(B25,Well_Head!C:M,9,FALSE),0)</f>
        <v>1.6762769507950808</v>
      </c>
      <c r="E25" s="319">
        <f ca="1">IFERROR(VLOOKUP(B25,Tank!C:M,9,FALSE),0)</f>
        <v>2.3551074989162695</v>
      </c>
      <c r="F25" s="319">
        <f ca="1">IFERROR(VLOOKUP(B25,Compressor!C:M,9,FALSE),0)</f>
        <v>2.8948342876143314</v>
      </c>
      <c r="G25" s="319">
        <f ca="1">IFERROR(VLOOKUP(B25,Separator!C:M,9,FALSE),0)</f>
        <v>2.590681164585888</v>
      </c>
      <c r="H25" s="319">
        <f ca="1">IFERROR(VLOOKUP(B25,Tank!C:M,9,FALSE),0)</f>
        <v>2.3551074989162695</v>
      </c>
      <c r="I25" s="319">
        <f ca="1">IFERROR(VLOOKUP(B25,Separator!C:M,9,FALSE),0)</f>
        <v>2.590681164585888</v>
      </c>
      <c r="J25" s="319">
        <f ca="1">IFERROR(VLOOKUP(B25,Well_Head!C:M,9,FALSE),0)</f>
        <v>1.6762769507950808</v>
      </c>
      <c r="K25" s="319">
        <f ca="1">IFERROR(VLOOKUP(B25,Well_Head!C:M,9,FALSE),0)</f>
        <v>1.6762769507950808</v>
      </c>
      <c r="L25" s="319">
        <f ca="1">IFERROR(VLOOKUP(B25,Separator!C:M,9,FALSE),0)</f>
        <v>2.590681164585888</v>
      </c>
      <c r="M25" s="319">
        <f ca="1">IFERROR(IF('Data Summary'!$C$5=0,AVERAGE(VLOOKUP(B25,Separator!C:M,9,FALSE),VLOOKUP(B25,Tank!C:M,9,FALSE))*100/99.69,VLOOKUP(B25,Tank!C:M,9,FALSE)),0)</f>
        <v>2.4805841425931177</v>
      </c>
      <c r="N25" s="320">
        <f ca="1">IFERROR(VLOOKUP(B25,Dehydration_Tank!C:M,9,FALSE),0)</f>
        <v>2.4389684734925385</v>
      </c>
      <c r="O25" s="326" t="str">
        <f t="shared" si="1"/>
        <v>[percent] of C4+ VOC that is twometpen</v>
      </c>
    </row>
    <row r="26" spans="1:15" ht="15" customHeight="1" thickBot="1" x14ac:dyDescent="0.3">
      <c r="A26">
        <f t="shared" si="2"/>
        <v>18</v>
      </c>
      <c r="B26" s="191" t="str">
        <f>VLOOKUP(A26,'Species Data'!A:F,5,FALSE)</f>
        <v>methep3</v>
      </c>
      <c r="C26" s="315">
        <f t="shared" ca="1" si="0"/>
        <v>0</v>
      </c>
      <c r="D26" s="67">
        <f ca="1">IFERROR(VLOOKUP(B26,Well_Head!C:M,9,FALSE),0)</f>
        <v>0</v>
      </c>
      <c r="E26" s="319">
        <f ca="1">IFERROR(VLOOKUP(B26,Tank!C:M,9,FALSE),0)</f>
        <v>0</v>
      </c>
      <c r="F26" s="319">
        <f ca="1">IFERROR(VLOOKUP(B26,Compressor!C:M,9,FALSE),0)</f>
        <v>0</v>
      </c>
      <c r="G26" s="319">
        <f ca="1">IFERROR(VLOOKUP(B26,Separator!C:M,9,FALSE),0)</f>
        <v>0</v>
      </c>
      <c r="H26" s="319">
        <f ca="1">IFERROR(VLOOKUP(B26,Tank!C:M,9,FALSE),0)</f>
        <v>0</v>
      </c>
      <c r="I26" s="319">
        <f ca="1">IFERROR(VLOOKUP(B26,Separator!C:M,9,FALSE),0)</f>
        <v>0</v>
      </c>
      <c r="J26" s="319">
        <f ca="1">IFERROR(VLOOKUP(B26,Well_Head!C:M,9,FALSE),0)</f>
        <v>0</v>
      </c>
      <c r="K26" s="319">
        <f ca="1">IFERROR(VLOOKUP(B26,Well_Head!C:M,9,FALSE),0)</f>
        <v>0</v>
      </c>
      <c r="L26" s="319">
        <f ca="1">IFERROR(VLOOKUP(B26,Separator!C:M,9,FALSE),0)</f>
        <v>0</v>
      </c>
      <c r="M26" s="319">
        <f ca="1">IFERROR(IF('Data Summary'!$C$5=0,AVERAGE(VLOOKUP(B26,Separator!C:M,9,FALSE),VLOOKUP(B26,Tank!C:M,9,FALSE))*100/99.69,VLOOKUP(B26,Tank!C:M,9,FALSE)),0)</f>
        <v>0</v>
      </c>
      <c r="N26" s="320">
        <f ca="1">IFERROR(VLOOKUP(B26,Dehydration_Tank!C:M,9,FALSE),0)</f>
        <v>0</v>
      </c>
      <c r="O26" s="326" t="str">
        <f t="shared" si="1"/>
        <v>[percent] of C4+ VOC that is methep3</v>
      </c>
    </row>
    <row r="27" spans="1:15" ht="15" customHeight="1" thickBot="1" x14ac:dyDescent="0.3">
      <c r="A27">
        <f t="shared" si="2"/>
        <v>19</v>
      </c>
      <c r="B27" s="191" t="str">
        <f>VLOOKUP(A27,'Species Data'!A:F,5,FALSE)</f>
        <v>threemethex</v>
      </c>
      <c r="C27" s="315">
        <f t="shared" ca="1" si="0"/>
        <v>1.067199158162125</v>
      </c>
      <c r="D27" s="67">
        <f ca="1">IFERROR(VLOOKUP(B27,Well_Head!C:M,9,FALSE),0)</f>
        <v>0.657293478491771</v>
      </c>
      <c r="E27" s="319">
        <f ca="1">IFERROR(VLOOKUP(B27,Tank!C:M,9,FALSE),0)</f>
        <v>0.85292325933159896</v>
      </c>
      <c r="F27" s="319">
        <f ca="1">IFERROR(VLOOKUP(B27,Compressor!C:M,9,FALSE),0)</f>
        <v>0.90003854069317835</v>
      </c>
      <c r="G27" s="319">
        <f ca="1">IFERROR(VLOOKUP(B27,Separator!C:M,9,FALSE),0)</f>
        <v>0.81237498636954752</v>
      </c>
      <c r="H27" s="319">
        <f ca="1">IFERROR(VLOOKUP(B27,Tank!C:M,9,FALSE),0)</f>
        <v>0.85292325933159896</v>
      </c>
      <c r="I27" s="319">
        <f ca="1">IFERROR(VLOOKUP(B27,Separator!C:M,9,FALSE),0)</f>
        <v>0.81237498636954752</v>
      </c>
      <c r="J27" s="319">
        <f ca="1">IFERROR(VLOOKUP(B27,Well_Head!C:M,9,FALSE),0)</f>
        <v>0.657293478491771</v>
      </c>
      <c r="K27" s="319">
        <f ca="1">IFERROR(VLOOKUP(B27,Well_Head!C:M,9,FALSE),0)</f>
        <v>0.657293478491771</v>
      </c>
      <c r="L27" s="319">
        <f ca="1">IFERROR(VLOOKUP(B27,Separator!C:M,9,FALSE),0)</f>
        <v>0.81237498636954752</v>
      </c>
      <c r="M27" s="319">
        <f ca="1">IFERROR(IF('Data Summary'!$C$5=0,AVERAGE(VLOOKUP(B27,Separator!C:M,9,FALSE),VLOOKUP(B27,Tank!C:M,9,FALSE))*100/99.69,VLOOKUP(B27,Tank!C:M,9,FALSE)),0)</f>
        <v>0.83523836177206667</v>
      </c>
      <c r="N27" s="320">
        <f ca="1">IFERROR(VLOOKUP(B27,Dehydration_Tank!C:M,9,FALSE),0)</f>
        <v>1.067199158162125</v>
      </c>
      <c r="O27" s="326" t="str">
        <f t="shared" si="1"/>
        <v>[percent] of C4+ VOC that is threemethex</v>
      </c>
    </row>
    <row r="28" spans="1:15" ht="15" customHeight="1" thickBot="1" x14ac:dyDescent="0.3">
      <c r="A28">
        <f t="shared" si="2"/>
        <v>20</v>
      </c>
      <c r="B28" s="191" t="str">
        <f>VLOOKUP(A28,'Species Data'!A:F,5,FALSE)</f>
        <v>threemetpen</v>
      </c>
      <c r="C28" s="315">
        <f t="shared" ca="1" si="0"/>
        <v>1.6189101730100637</v>
      </c>
      <c r="D28" s="67">
        <f ca="1">IFERROR(VLOOKUP(B28,Well_Head!C:M,9,FALSE),0)</f>
        <v>1.4644779761047431</v>
      </c>
      <c r="E28" s="319">
        <f ca="1">IFERROR(VLOOKUP(B28,Tank!C:M,9,FALSE),0)</f>
        <v>1.8330785376984298</v>
      </c>
      <c r="F28" s="319">
        <f ca="1">IFERROR(VLOOKUP(B28,Compressor!C:M,9,FALSE),0)</f>
        <v>1.9635601524498529</v>
      </c>
      <c r="G28" s="319">
        <f ca="1">IFERROR(VLOOKUP(B28,Separator!C:M,9,FALSE),0)</f>
        <v>1.8188313453216227</v>
      </c>
      <c r="H28" s="319">
        <f ca="1">IFERROR(VLOOKUP(B28,Tank!C:M,9,FALSE),0)</f>
        <v>1.8330785376984298</v>
      </c>
      <c r="I28" s="319">
        <f ca="1">IFERROR(VLOOKUP(B28,Separator!C:M,9,FALSE),0)</f>
        <v>1.8188313453216227</v>
      </c>
      <c r="J28" s="319">
        <f ca="1">IFERROR(VLOOKUP(B28,Well_Head!C:M,9,FALSE),0)</f>
        <v>1.4644779761047431</v>
      </c>
      <c r="K28" s="319">
        <f ca="1">IFERROR(VLOOKUP(B28,Well_Head!C:M,9,FALSE),0)</f>
        <v>1.4644779761047431</v>
      </c>
      <c r="L28" s="319">
        <f ca="1">IFERROR(VLOOKUP(B28,Separator!C:M,9,FALSE),0)</f>
        <v>1.8188313453216227</v>
      </c>
      <c r="M28" s="319">
        <f ca="1">IFERROR(IF('Data Summary'!$C$5=0,AVERAGE(VLOOKUP(B28,Separator!C:M,9,FALSE),VLOOKUP(B28,Tank!C:M,9,FALSE))*100/99.69,VLOOKUP(B28,Tank!C:M,9,FALSE)),0)</f>
        <v>1.831633003821874</v>
      </c>
      <c r="N28" s="320">
        <f ca="1">IFERROR(VLOOKUP(B28,Dehydration_Tank!C:M,9,FALSE),0)</f>
        <v>1.6189101730100637</v>
      </c>
      <c r="O28" s="326" t="str">
        <f t="shared" si="1"/>
        <v>[percent] of C4+ VOC that is threemetpen</v>
      </c>
    </row>
    <row r="29" spans="1:15" ht="15" customHeight="1" thickBot="1" x14ac:dyDescent="0.3">
      <c r="A29">
        <f t="shared" si="2"/>
        <v>21</v>
      </c>
      <c r="B29" s="191" t="str">
        <f>VLOOKUP(A29,'Species Data'!A:F,5,FALSE)</f>
        <v>benzene</v>
      </c>
      <c r="C29" s="315">
        <f t="shared" ca="1" si="0"/>
        <v>0.30789440803689233</v>
      </c>
      <c r="D29" s="67">
        <f ca="1">IFERROR(VLOOKUP(B29,Well_Head!C:M,9,FALSE),0)</f>
        <v>0.74343237594656475</v>
      </c>
      <c r="E29" s="319">
        <f ca="1">IFERROR(VLOOKUP(B29,Tank!C:M,9,FALSE),0)</f>
        <v>0.620108560307151</v>
      </c>
      <c r="F29" s="319">
        <f ca="1">IFERROR(VLOOKUP(B29,Compressor!C:M,9,FALSE),0)</f>
        <v>0.22973275933730161</v>
      </c>
      <c r="G29" s="319">
        <f ca="1">IFERROR(VLOOKUP(B29,Separator!C:M,9,FALSE),0)</f>
        <v>0.35455452425244105</v>
      </c>
      <c r="H29" s="319">
        <f ca="1">IFERROR(VLOOKUP(B29,Tank!C:M,9,FALSE),0)</f>
        <v>0.620108560307151</v>
      </c>
      <c r="I29" s="319">
        <f ca="1">IFERROR(VLOOKUP(B29,Separator!C:M,9,FALSE),0)</f>
        <v>0.35455452425244105</v>
      </c>
      <c r="J29" s="319">
        <f ca="1">IFERROR(VLOOKUP(B29,Well_Head!C:M,9,FALSE),0)</f>
        <v>0.74343237594656475</v>
      </c>
      <c r="K29" s="319">
        <f ca="1">IFERROR(VLOOKUP(B29,Well_Head!C:M,9,FALSE),0)</f>
        <v>0.74343237594656475</v>
      </c>
      <c r="L29" s="319">
        <f ca="1">IFERROR(VLOOKUP(B29,Separator!C:M,9,FALSE),0)</f>
        <v>0.35455452425244105</v>
      </c>
      <c r="M29" s="319">
        <f ca="1">IFERROR(IF('Data Summary'!$C$5=0,AVERAGE(VLOOKUP(B29,Separator!C:M,9,FALSE),VLOOKUP(B29,Tank!C:M,9,FALSE))*100/99.69,VLOOKUP(B29,Tank!C:M,9,FALSE)),0)</f>
        <v>0.48884696788022475</v>
      </c>
      <c r="N29" s="320">
        <f ca="1">IFERROR(VLOOKUP(B29,Dehydration_Tank!C:M,9,FALSE),0)</f>
        <v>0.30789440803689233</v>
      </c>
      <c r="O29" s="326" t="str">
        <f t="shared" si="1"/>
        <v>[percent] of C4+ VOC that is benzene</v>
      </c>
    </row>
    <row r="30" spans="1:15" ht="15" customHeight="1" thickBot="1" x14ac:dyDescent="0.3">
      <c r="A30">
        <f t="shared" si="2"/>
        <v>22</v>
      </c>
      <c r="B30" s="191" t="str">
        <f>VLOOKUP(A30,'Species Data'!A:F,5,FALSE)</f>
        <v>cyclohexane</v>
      </c>
      <c r="C30" s="315">
        <f t="shared" ca="1" si="0"/>
        <v>0</v>
      </c>
      <c r="D30" s="67">
        <f ca="1">IFERROR(VLOOKUP(B30,Well_Head!C:M,9,FALSE),0)</f>
        <v>0.16478441114726036</v>
      </c>
      <c r="E30" s="319">
        <f ca="1">IFERROR(VLOOKUP(B30,Tank!C:M,9,FALSE),0)</f>
        <v>4.6552823291316651E-2</v>
      </c>
      <c r="F30" s="319">
        <f ca="1">IFERROR(VLOOKUP(B30,Compressor!C:M,9,FALSE),0)</f>
        <v>7.7333286312008337E-2</v>
      </c>
      <c r="G30" s="319">
        <f ca="1">IFERROR(VLOOKUP(B30,Separator!C:M,9,FALSE),0)</f>
        <v>5.6474831267200841E-2</v>
      </c>
      <c r="H30" s="319">
        <f ca="1">IFERROR(VLOOKUP(B30,Tank!C:M,9,FALSE),0)</f>
        <v>4.6552823291316651E-2</v>
      </c>
      <c r="I30" s="319">
        <f ca="1">IFERROR(VLOOKUP(B30,Separator!C:M,9,FALSE),0)</f>
        <v>5.6474831267200841E-2</v>
      </c>
      <c r="J30" s="319">
        <f ca="1">IFERROR(VLOOKUP(B30,Well_Head!C:M,9,FALSE),0)</f>
        <v>0.16478441114726036</v>
      </c>
      <c r="K30" s="319">
        <f ca="1">IFERROR(VLOOKUP(B30,Well_Head!C:M,9,FALSE),0)</f>
        <v>0.16478441114726036</v>
      </c>
      <c r="L30" s="319">
        <f ca="1">IFERROR(VLOOKUP(B30,Separator!C:M,9,FALSE),0)</f>
        <v>5.6474831267200841E-2</v>
      </c>
      <c r="M30" s="319">
        <f ca="1">IFERROR(IF('Data Summary'!$C$5=0,AVERAGE(VLOOKUP(B30,Separator!C:M,9,FALSE),VLOOKUP(B30,Tank!C:M,9,FALSE))*100/99.69,VLOOKUP(B30,Tank!C:M,9,FALSE)),0)</f>
        <v>5.167401673112524E-2</v>
      </c>
      <c r="N30" s="320">
        <f ca="1">IFERROR(VLOOKUP(B30,Dehydration_Tank!C:M,9,FALSE),0)</f>
        <v>0</v>
      </c>
      <c r="O30" s="326" t="str">
        <f t="shared" si="1"/>
        <v>[percent] of C4+ VOC that is cyclohexane</v>
      </c>
    </row>
    <row r="31" spans="1:15" ht="15" customHeight="1" thickBot="1" x14ac:dyDescent="0.3">
      <c r="A31">
        <f t="shared" si="2"/>
        <v>23</v>
      </c>
      <c r="B31" s="191" t="str">
        <f>VLOOKUP(A31,'Species Data'!A:F,5,FALSE)</f>
        <v>cyclopentane</v>
      </c>
      <c r="C31" s="315">
        <f t="shared" ca="1" si="0"/>
        <v>0.75391717113128842</v>
      </c>
      <c r="D31" s="67">
        <f ca="1">IFERROR(VLOOKUP(B31,Well_Head!C:M,9,FALSE),0)</f>
        <v>0.25671258951500531</v>
      </c>
      <c r="E31" s="319">
        <f ca="1">IFERROR(VLOOKUP(B31,Tank!C:M,9,FALSE),0)</f>
        <v>0.39031195449861977</v>
      </c>
      <c r="F31" s="319">
        <f ca="1">IFERROR(VLOOKUP(B31,Compressor!C:M,9,FALSE),0)</f>
        <v>1.1940057886609754</v>
      </c>
      <c r="G31" s="319">
        <f ca="1">IFERROR(VLOOKUP(B31,Separator!C:M,9,FALSE),0)</f>
        <v>0.93468287022344232</v>
      </c>
      <c r="H31" s="319">
        <f ca="1">IFERROR(VLOOKUP(B31,Tank!C:M,9,FALSE),0)</f>
        <v>0.39031195449861977</v>
      </c>
      <c r="I31" s="319">
        <f ca="1">IFERROR(VLOOKUP(B31,Separator!C:M,9,FALSE),0)</f>
        <v>0.93468287022344232</v>
      </c>
      <c r="J31" s="319">
        <f ca="1">IFERROR(VLOOKUP(B31,Well_Head!C:M,9,FALSE),0)</f>
        <v>0.25671258951500531</v>
      </c>
      <c r="K31" s="319">
        <f ca="1">IFERROR(VLOOKUP(B31,Well_Head!C:M,9,FALSE),0)</f>
        <v>0.25671258951500531</v>
      </c>
      <c r="L31" s="319">
        <f ca="1">IFERROR(VLOOKUP(B31,Separator!C:M,9,FALSE),0)</f>
        <v>0.93468287022344232</v>
      </c>
      <c r="M31" s="319">
        <f ca="1">IFERROR(IF('Data Summary'!$C$5=0,AVERAGE(VLOOKUP(B31,Separator!C:M,9,FALSE),VLOOKUP(B31,Tank!C:M,9,FALSE))*100/99.69,VLOOKUP(B31,Tank!C:M,9,FALSE)),0)</f>
        <v>0.66455754073731677</v>
      </c>
      <c r="N31" s="320">
        <f ca="1">IFERROR(VLOOKUP(B31,Dehydration_Tank!C:M,9,FALSE),0)</f>
        <v>0.75391717113128842</v>
      </c>
      <c r="O31" s="326" t="str">
        <f t="shared" si="1"/>
        <v>[percent] of C4+ VOC that is cyclopentane</v>
      </c>
    </row>
    <row r="32" spans="1:15" ht="15" customHeight="1" thickBot="1" x14ac:dyDescent="0.3">
      <c r="A32">
        <f t="shared" si="2"/>
        <v>24</v>
      </c>
      <c r="B32" s="191" t="str">
        <f>VLOOKUP(A32,'Species Data'!A:F,5,FALSE)</f>
        <v>ethyl_benz</v>
      </c>
      <c r="C32" s="315">
        <f t="shared" ca="1" si="0"/>
        <v>1.2514085080188955</v>
      </c>
      <c r="D32" s="67">
        <f ca="1">IFERROR(VLOOKUP(B32,Well_Head!C:M,9,FALSE),0)</f>
        <v>0.91650386259421879</v>
      </c>
      <c r="E32" s="319">
        <f ca="1">IFERROR(VLOOKUP(B32,Tank!C:M,9,FALSE),0)</f>
        <v>0.30506346679094254</v>
      </c>
      <c r="F32" s="319">
        <f ca="1">IFERROR(VLOOKUP(B32,Compressor!C:M,9,FALSE),0)</f>
        <v>0.30706604564930989</v>
      </c>
      <c r="G32" s="319">
        <f ca="1">IFERROR(VLOOKUP(B32,Separator!C:M,9,FALSE),0)</f>
        <v>0.1489177827362789</v>
      </c>
      <c r="H32" s="319">
        <f ca="1">IFERROR(VLOOKUP(B32,Tank!C:M,9,FALSE),0)</f>
        <v>0.30506346679094254</v>
      </c>
      <c r="I32" s="319">
        <f ca="1">IFERROR(VLOOKUP(B32,Separator!C:M,9,FALSE),0)</f>
        <v>0.1489177827362789</v>
      </c>
      <c r="J32" s="319">
        <f ca="1">IFERROR(VLOOKUP(B32,Well_Head!C:M,9,FALSE),0)</f>
        <v>0.91650386259421879</v>
      </c>
      <c r="K32" s="319">
        <f ca="1">IFERROR(VLOOKUP(B32,Well_Head!C:M,9,FALSE),0)</f>
        <v>0.91650386259421879</v>
      </c>
      <c r="L32" s="319">
        <f ca="1">IFERROR(VLOOKUP(B32,Separator!C:M,9,FALSE),0)</f>
        <v>0.1489177827362789</v>
      </c>
      <c r="M32" s="319">
        <f ca="1">IFERROR(IF('Data Summary'!$C$5=0,AVERAGE(VLOOKUP(B32,Separator!C:M,9,FALSE),VLOOKUP(B32,Tank!C:M,9,FALSE))*100/99.69,VLOOKUP(B32,Tank!C:M,9,FALSE)),0)</f>
        <v>0.22769648386358785</v>
      </c>
      <c r="N32" s="320">
        <f ca="1">IFERROR(VLOOKUP(B32,Dehydration_Tank!C:M,9,FALSE),0)</f>
        <v>1.2514085080188955</v>
      </c>
      <c r="O32" s="326" t="str">
        <f t="shared" si="1"/>
        <v>[percent] of C4+ VOC that is ethyl_benz</v>
      </c>
    </row>
    <row r="33" spans="1:15" ht="15" customHeight="1" thickBot="1" x14ac:dyDescent="0.3">
      <c r="A33">
        <f t="shared" si="2"/>
        <v>25</v>
      </c>
      <c r="B33" s="191" t="str">
        <f>VLOOKUP(A33,'Species Data'!A:F,5,FALSE)</f>
        <v>ethcyclhex</v>
      </c>
      <c r="C33" s="315">
        <f t="shared" ca="1" si="0"/>
        <v>0</v>
      </c>
      <c r="D33" s="67">
        <f ca="1">IFERROR(VLOOKUP(B33,Well_Head!C:M,9,FALSE),0)</f>
        <v>0</v>
      </c>
      <c r="E33" s="319">
        <f ca="1">IFERROR(VLOOKUP(B33,Tank!C:M,9,FALSE),0)</f>
        <v>0</v>
      </c>
      <c r="F33" s="319">
        <f ca="1">IFERROR(VLOOKUP(B33,Compressor!C:M,9,FALSE),0)</f>
        <v>0</v>
      </c>
      <c r="G33" s="319">
        <f ca="1">IFERROR(VLOOKUP(B33,Separator!C:M,9,FALSE),0)</f>
        <v>0</v>
      </c>
      <c r="H33" s="319">
        <f ca="1">IFERROR(VLOOKUP(B33,Tank!C:M,9,FALSE),0)</f>
        <v>0</v>
      </c>
      <c r="I33" s="319">
        <f ca="1">IFERROR(VLOOKUP(B33,Separator!C:M,9,FALSE),0)</f>
        <v>0</v>
      </c>
      <c r="J33" s="319">
        <f ca="1">IFERROR(VLOOKUP(B33,Well_Head!C:M,9,FALSE),0)</f>
        <v>0</v>
      </c>
      <c r="K33" s="319">
        <f ca="1">IFERROR(VLOOKUP(B33,Well_Head!C:M,9,FALSE),0)</f>
        <v>0</v>
      </c>
      <c r="L33" s="319">
        <f ca="1">IFERROR(VLOOKUP(B33,Separator!C:M,9,FALSE),0)</f>
        <v>0</v>
      </c>
      <c r="M33" s="319">
        <f ca="1">IFERROR(IF('Data Summary'!$C$5=0,AVERAGE(VLOOKUP(B33,Separator!C:M,9,FALSE),VLOOKUP(B33,Tank!C:M,9,FALSE))*100/99.69,VLOOKUP(B33,Tank!C:M,9,FALSE)),0)</f>
        <v>0</v>
      </c>
      <c r="N33" s="320">
        <f ca="1">IFERROR(VLOOKUP(B33,Dehydration_Tank!C:M,9,FALSE),0)</f>
        <v>0</v>
      </c>
      <c r="O33" s="326" t="str">
        <f t="shared" si="1"/>
        <v>[percent] of C4+ VOC that is ethcyclhex</v>
      </c>
    </row>
    <row r="34" spans="1:15" ht="15" customHeight="1" thickBot="1" x14ac:dyDescent="0.3">
      <c r="A34">
        <f t="shared" si="2"/>
        <v>26</v>
      </c>
      <c r="B34" s="191" t="str">
        <f>VLOOKUP(A34,'Species Data'!A:F,5,FALSE)</f>
        <v>isobut</v>
      </c>
      <c r="C34" s="315">
        <f t="shared" ca="1" si="0"/>
        <v>2.4193668563018056</v>
      </c>
      <c r="D34" s="67">
        <f ca="1">IFERROR(VLOOKUP(B34,Well_Head!C:M,9,FALSE),0)</f>
        <v>6.0978635919359983</v>
      </c>
      <c r="E34" s="319">
        <f ca="1">IFERROR(VLOOKUP(B34,Tank!C:M,9,FALSE),0)</f>
        <v>8.2354490391588353</v>
      </c>
      <c r="F34" s="319">
        <f ca="1">IFERROR(VLOOKUP(B34,Compressor!C:M,9,FALSE),0)</f>
        <v>8.5628351843781729</v>
      </c>
      <c r="G34" s="319">
        <f ca="1">IFERROR(VLOOKUP(B34,Separator!C:M,9,FALSE),0)</f>
        <v>10.032745637034475</v>
      </c>
      <c r="H34" s="319">
        <f ca="1">IFERROR(VLOOKUP(B34,Tank!C:M,9,FALSE),0)</f>
        <v>8.2354490391588353</v>
      </c>
      <c r="I34" s="319">
        <f ca="1">IFERROR(VLOOKUP(B34,Separator!C:M,9,FALSE),0)</f>
        <v>10.032745637034475</v>
      </c>
      <c r="J34" s="319">
        <f ca="1">IFERROR(VLOOKUP(B34,Well_Head!C:M,9,FALSE),0)</f>
        <v>6.0978635919359983</v>
      </c>
      <c r="K34" s="319">
        <f ca="1">IFERROR(VLOOKUP(B34,Well_Head!C:M,9,FALSE),0)</f>
        <v>6.0978635919359983</v>
      </c>
      <c r="L34" s="319">
        <f ca="1">IFERROR(VLOOKUP(B34,Separator!C:M,9,FALSE),0)</f>
        <v>10.032745637034475</v>
      </c>
      <c r="M34" s="319">
        <f ca="1">IFERROR(IF('Data Summary'!$C$5=0,AVERAGE(VLOOKUP(B34,Separator!C:M,9,FALSE),VLOOKUP(B34,Tank!C:M,9,FALSE))*100/99.69,VLOOKUP(B34,Tank!C:M,9,FALSE)),0)</f>
        <v>9.1625010914802445</v>
      </c>
      <c r="N34" s="320">
        <f ca="1">IFERROR(VLOOKUP(B34,Dehydration_Tank!C:M,9,FALSE),0)</f>
        <v>2.4193668563018056</v>
      </c>
      <c r="O34" s="326" t="str">
        <f t="shared" si="1"/>
        <v>[percent] of C4+ VOC that is isobut</v>
      </c>
    </row>
    <row r="35" spans="1:15" ht="15" customHeight="1" thickBot="1" x14ac:dyDescent="0.3">
      <c r="A35">
        <f t="shared" si="2"/>
        <v>27</v>
      </c>
      <c r="B35" s="191" t="str">
        <f>VLOOKUP(A35,'Species Data'!A:F,5,FALSE)</f>
        <v>i_but</v>
      </c>
      <c r="C35" s="315">
        <f t="shared" ca="1" si="0"/>
        <v>0.10064456078048828</v>
      </c>
      <c r="D35" s="67">
        <f ca="1">IFERROR(VLOOKUP(B35,Well_Head!C:M,9,FALSE),0)</f>
        <v>0.26710061373380839</v>
      </c>
      <c r="E35" s="319">
        <f ca="1">IFERROR(VLOOKUP(B35,Tank!C:M,9,FALSE),0)</f>
        <v>4.4175442601684049E-3</v>
      </c>
      <c r="F35" s="319">
        <f ca="1">IFERROR(VLOOKUP(B35,Compressor!C:M,9,FALSE),0)</f>
        <v>1.8136796789786969E-2</v>
      </c>
      <c r="G35" s="319">
        <f ca="1">IFERROR(VLOOKUP(B35,Separator!C:M,9,FALSE),0)</f>
        <v>0</v>
      </c>
      <c r="H35" s="319">
        <f ca="1">IFERROR(VLOOKUP(B35,Tank!C:M,9,FALSE),0)</f>
        <v>4.4175442601684049E-3</v>
      </c>
      <c r="I35" s="319">
        <f ca="1">IFERROR(VLOOKUP(B35,Separator!C:M,9,FALSE),0)</f>
        <v>0</v>
      </c>
      <c r="J35" s="319">
        <f ca="1">IFERROR(VLOOKUP(B35,Well_Head!C:M,9,FALSE),0)</f>
        <v>0.26710061373380839</v>
      </c>
      <c r="K35" s="319">
        <f ca="1">IFERROR(VLOOKUP(B35,Well_Head!C:M,9,FALSE),0)</f>
        <v>0.26710061373380839</v>
      </c>
      <c r="L35" s="319">
        <f ca="1">IFERROR(VLOOKUP(B35,Separator!C:M,9,FALSE),0)</f>
        <v>0</v>
      </c>
      <c r="M35" s="319">
        <f ca="1">IFERROR(IF('Data Summary'!$C$5=0,AVERAGE(VLOOKUP(B35,Separator!C:M,9,FALSE),VLOOKUP(B35,Tank!C:M,9,FALSE))*100/99.69,VLOOKUP(B35,Tank!C:M,9,FALSE)),0)</f>
        <v>0</v>
      </c>
      <c r="N35" s="320">
        <f ca="1">IFERROR(VLOOKUP(B35,Dehydration_Tank!C:M,9,FALSE),0)</f>
        <v>0.10064456078048828</v>
      </c>
      <c r="O35" s="326" t="str">
        <f t="shared" si="1"/>
        <v>[percent] of C4+ VOC that is i_but</v>
      </c>
    </row>
    <row r="36" spans="1:15" ht="15" customHeight="1" thickBot="1" x14ac:dyDescent="0.3">
      <c r="A36">
        <f t="shared" si="2"/>
        <v>28</v>
      </c>
      <c r="B36" s="191" t="str">
        <f>VLOOKUP(A36,'Species Data'!A:F,5,FALSE)</f>
        <v>isopentane</v>
      </c>
      <c r="C36" s="315">
        <f t="shared" ca="1" si="0"/>
        <v>6.1684340600451417</v>
      </c>
      <c r="D36" s="67">
        <f ca="1">IFERROR(VLOOKUP(B36,Well_Head!C:M,9,FALSE),0)</f>
        <v>6.162969658332047</v>
      </c>
      <c r="E36" s="319">
        <f ca="1">IFERROR(VLOOKUP(B36,Tank!C:M,9,FALSE),0)</f>
        <v>8.5938939759028052</v>
      </c>
      <c r="F36" s="319">
        <f ca="1">IFERROR(VLOOKUP(B36,Compressor!C:M,9,FALSE),0)</f>
        <v>3.8404667202373908</v>
      </c>
      <c r="G36" s="319">
        <f ca="1">IFERROR(VLOOKUP(B36,Separator!C:M,9,FALSE),0)</f>
        <v>9.3667657824368202</v>
      </c>
      <c r="H36" s="319">
        <f ca="1">IFERROR(VLOOKUP(B36,Tank!C:M,9,FALSE),0)</f>
        <v>8.5938939759028052</v>
      </c>
      <c r="I36" s="319">
        <f ca="1">IFERROR(VLOOKUP(B36,Separator!C:M,9,FALSE),0)</f>
        <v>9.3667657824368202</v>
      </c>
      <c r="J36" s="319">
        <f ca="1">IFERROR(VLOOKUP(B36,Well_Head!C:M,9,FALSE),0)</f>
        <v>6.162969658332047</v>
      </c>
      <c r="K36" s="319">
        <f ca="1">IFERROR(VLOOKUP(B36,Well_Head!C:M,9,FALSE),0)</f>
        <v>6.162969658332047</v>
      </c>
      <c r="L36" s="319">
        <f ca="1">IFERROR(VLOOKUP(B36,Separator!C:M,9,FALSE),0)</f>
        <v>9.3667657824368202</v>
      </c>
      <c r="M36" s="319">
        <f ca="1">IFERROR(IF('Data Summary'!$C$5=0,AVERAGE(VLOOKUP(B36,Separator!C:M,9,FALSE),VLOOKUP(B36,Tank!C:M,9,FALSE))*100/99.69,VLOOKUP(B36,Tank!C:M,9,FALSE)),0)</f>
        <v>9.0082554711303153</v>
      </c>
      <c r="N36" s="320">
        <f ca="1">IFERROR(VLOOKUP(B36,Dehydration_Tank!C:M,9,FALSE),0)</f>
        <v>6.1684340600451417</v>
      </c>
      <c r="O36" s="326" t="str">
        <f t="shared" si="1"/>
        <v>[percent] of C4+ VOC that is isopentane</v>
      </c>
    </row>
    <row r="37" spans="1:15" ht="15" customHeight="1" thickBot="1" x14ac:dyDescent="0.3">
      <c r="A37">
        <f t="shared" si="2"/>
        <v>29</v>
      </c>
      <c r="B37" s="191" t="str">
        <f>VLOOKUP(A37,'Species Data'!A:F,5,FALSE)</f>
        <v>isopben</v>
      </c>
      <c r="C37" s="315">
        <f t="shared" ca="1" si="0"/>
        <v>8.5169599840435983E-2</v>
      </c>
      <c r="D37" s="67">
        <f ca="1">IFERROR(VLOOKUP(B37,Well_Head!C:M,9,FALSE),0)</f>
        <v>0.16581154163181619</v>
      </c>
      <c r="E37" s="319">
        <f ca="1">IFERROR(VLOOKUP(B37,Tank!C:M,9,FALSE),0)</f>
        <v>1.0133374428859584E-2</v>
      </c>
      <c r="F37" s="319">
        <f ca="1">IFERROR(VLOOKUP(B37,Compressor!C:M,9,FALSE),0)</f>
        <v>0</v>
      </c>
      <c r="G37" s="319">
        <f ca="1">IFERROR(VLOOKUP(B37,Separator!C:M,9,FALSE),0)</f>
        <v>6.4286911673038412E-3</v>
      </c>
      <c r="H37" s="319">
        <f ca="1">IFERROR(VLOOKUP(B37,Tank!C:M,9,FALSE),0)</f>
        <v>1.0133374428859584E-2</v>
      </c>
      <c r="I37" s="319">
        <f ca="1">IFERROR(VLOOKUP(B37,Separator!C:M,9,FALSE),0)</f>
        <v>6.4286911673038412E-3</v>
      </c>
      <c r="J37" s="319">
        <f ca="1">IFERROR(VLOOKUP(B37,Well_Head!C:M,9,FALSE),0)</f>
        <v>0.16581154163181619</v>
      </c>
      <c r="K37" s="319">
        <f ca="1">IFERROR(VLOOKUP(B37,Well_Head!C:M,9,FALSE),0)</f>
        <v>0.16581154163181619</v>
      </c>
      <c r="L37" s="319">
        <f ca="1">IFERROR(VLOOKUP(B37,Separator!C:M,9,FALSE),0)</f>
        <v>6.4286911673038412E-3</v>
      </c>
      <c r="M37" s="319">
        <f ca="1">IFERROR(IF('Data Summary'!$C$5=0,AVERAGE(VLOOKUP(B37,Separator!C:M,9,FALSE),VLOOKUP(B37,Tank!C:M,9,FALSE))*100/99.69,VLOOKUP(B37,Tank!C:M,9,FALSE)),0)</f>
        <v>8.3067838279483521E-3</v>
      </c>
      <c r="N37" s="320">
        <f ca="1">IFERROR(VLOOKUP(B37,Dehydration_Tank!C:M,9,FALSE),0)</f>
        <v>8.5169599840435983E-2</v>
      </c>
      <c r="O37" s="326" t="str">
        <f t="shared" si="1"/>
        <v>[percent] of C4+ VOC that is isopben</v>
      </c>
    </row>
    <row r="38" spans="1:15" ht="15" customHeight="1" thickBot="1" x14ac:dyDescent="0.3">
      <c r="A38">
        <f t="shared" si="2"/>
        <v>30</v>
      </c>
      <c r="B38" s="191" t="str">
        <f>VLOOKUP(A38,'Species Data'!A:F,5,FALSE)</f>
        <v>xylene</v>
      </c>
      <c r="C38" s="315">
        <f t="shared" ca="1" si="0"/>
        <v>0</v>
      </c>
      <c r="D38" s="67">
        <f ca="1">IFERROR(VLOOKUP(B38,Well_Head!C:M,9,FALSE),0)</f>
        <v>0</v>
      </c>
      <c r="E38" s="319">
        <f ca="1">IFERROR(VLOOKUP(B38,Tank!C:M,9,FALSE),0)</f>
        <v>0</v>
      </c>
      <c r="F38" s="319">
        <f ca="1">IFERROR(VLOOKUP(B38,Compressor!C:M,9,FALSE),0)</f>
        <v>0</v>
      </c>
      <c r="G38" s="319">
        <f ca="1">IFERROR(VLOOKUP(B38,Separator!C:M,9,FALSE),0)</f>
        <v>0</v>
      </c>
      <c r="H38" s="319">
        <f ca="1">IFERROR(VLOOKUP(B38,Tank!C:M,9,FALSE),0)</f>
        <v>0</v>
      </c>
      <c r="I38" s="319">
        <f ca="1">IFERROR(VLOOKUP(B38,Separator!C:M,9,FALSE),0)</f>
        <v>0</v>
      </c>
      <c r="J38" s="319">
        <f ca="1">IFERROR(VLOOKUP(B38,Well_Head!C:M,9,FALSE),0)</f>
        <v>0</v>
      </c>
      <c r="K38" s="319">
        <f ca="1">IFERROR(VLOOKUP(B38,Well_Head!C:M,9,FALSE),0)</f>
        <v>0</v>
      </c>
      <c r="L38" s="319">
        <f ca="1">IFERROR(VLOOKUP(B38,Separator!C:M,9,FALSE),0)</f>
        <v>0</v>
      </c>
      <c r="M38" s="319">
        <f ca="1">IFERROR(IF('Data Summary'!$C$5=0,AVERAGE(VLOOKUP(B38,Separator!C:M,9,FALSE),VLOOKUP(B38,Tank!C:M,9,FALSE))*100/99.69,VLOOKUP(B38,Tank!C:M,9,FALSE)),0)</f>
        <v>0</v>
      </c>
      <c r="N38" s="320">
        <f ca="1">IFERROR(VLOOKUP(B38,Dehydration_Tank!C:M,9,FALSE),0)</f>
        <v>0</v>
      </c>
      <c r="O38" s="326" t="str">
        <f t="shared" si="1"/>
        <v>[percent] of C4+ VOC that is xylene</v>
      </c>
    </row>
    <row r="39" spans="1:15" ht="15" customHeight="1" thickBot="1" x14ac:dyDescent="0.3">
      <c r="A39">
        <f t="shared" si="2"/>
        <v>31</v>
      </c>
      <c r="B39" s="191" t="str">
        <f>VLOOKUP(A39,'Species Data'!A:F,5,FALSE)</f>
        <v>M_xylene</v>
      </c>
      <c r="C39" s="315">
        <f t="shared" ca="1" si="0"/>
        <v>0.54254066762420383</v>
      </c>
      <c r="D39" s="67">
        <f ca="1">IFERROR(VLOOKUP(B39,Well_Head!C:M,9,FALSE),0)</f>
        <v>0.44911280437202761</v>
      </c>
      <c r="E39" s="319">
        <f ca="1">IFERROR(VLOOKUP(B39,Tank!C:M,9,FALSE),0)</f>
        <v>0.19405159118426782</v>
      </c>
      <c r="F39" s="319">
        <f ca="1">IFERROR(VLOOKUP(B39,Compressor!C:M,9,FALSE),0)</f>
        <v>8.3882685152764758E-2</v>
      </c>
      <c r="G39" s="319">
        <f ca="1">IFERROR(VLOOKUP(B39,Separator!C:M,9,FALSE),0)</f>
        <v>7.9260065784227132E-2</v>
      </c>
      <c r="H39" s="319">
        <f ca="1">IFERROR(VLOOKUP(B39,Tank!C:M,9,FALSE),0)</f>
        <v>0.19405159118426782</v>
      </c>
      <c r="I39" s="319">
        <f ca="1">IFERROR(VLOOKUP(B39,Separator!C:M,9,FALSE),0)</f>
        <v>7.9260065784227132E-2</v>
      </c>
      <c r="J39" s="319">
        <f ca="1">IFERROR(VLOOKUP(B39,Well_Head!C:M,9,FALSE),0)</f>
        <v>0.44911280437202761</v>
      </c>
      <c r="K39" s="319">
        <f ca="1">IFERROR(VLOOKUP(B39,Well_Head!C:M,9,FALSE),0)</f>
        <v>0.44911280437202761</v>
      </c>
      <c r="L39" s="319">
        <f ca="1">IFERROR(VLOOKUP(B39,Separator!C:M,9,FALSE),0)</f>
        <v>7.9260065784227132E-2</v>
      </c>
      <c r="M39" s="319">
        <f ca="1">IFERROR(IF('Data Summary'!$C$5=0,AVERAGE(VLOOKUP(B39,Separator!C:M,9,FALSE),VLOOKUP(B39,Tank!C:M,9,FALSE))*100/99.69,VLOOKUP(B39,Tank!C:M,9,FALSE)),0)</f>
        <v>0.13708077889883385</v>
      </c>
      <c r="N39" s="320">
        <f ca="1">IFERROR(VLOOKUP(B39,Dehydration_Tank!C:M,9,FALSE),0)</f>
        <v>0.54254066762420383</v>
      </c>
      <c r="O39" s="326" t="str">
        <f t="shared" si="1"/>
        <v>[percent] of C4+ VOC that is M_xylene</v>
      </c>
    </row>
    <row r="40" spans="1:15" ht="15" customHeight="1" thickBot="1" x14ac:dyDescent="0.3">
      <c r="A40">
        <f t="shared" si="2"/>
        <v>32</v>
      </c>
      <c r="B40" s="191" t="str">
        <f>VLOOKUP(A40,'Species Data'!A:F,5,FALSE)</f>
        <v>methcychex</v>
      </c>
      <c r="C40" s="315">
        <f t="shared" ca="1" si="0"/>
        <v>0.52970218151097526</v>
      </c>
      <c r="D40" s="67">
        <f ca="1">IFERROR(VLOOKUP(B40,Well_Head!C:M,9,FALSE),0)</f>
        <v>0.98123642699588376</v>
      </c>
      <c r="E40" s="319">
        <f ca="1">IFERROR(VLOOKUP(B40,Tank!C:M,9,FALSE),0)</f>
        <v>1.3167316849373716</v>
      </c>
      <c r="F40" s="319">
        <f ca="1">IFERROR(VLOOKUP(B40,Compressor!C:M,9,FALSE),0)</f>
        <v>2.9250622822639767</v>
      </c>
      <c r="G40" s="319">
        <f ca="1">IFERROR(VLOOKUP(B40,Separator!C:M,9,FALSE),0)</f>
        <v>2.3767440876385231</v>
      </c>
      <c r="H40" s="319">
        <f ca="1">IFERROR(VLOOKUP(B40,Tank!C:M,9,FALSE),0)</f>
        <v>1.3167316849373716</v>
      </c>
      <c r="I40" s="319">
        <f ca="1">IFERROR(VLOOKUP(B40,Separator!C:M,9,FALSE),0)</f>
        <v>2.3767440876385231</v>
      </c>
      <c r="J40" s="319">
        <f ca="1">IFERROR(VLOOKUP(B40,Well_Head!C:M,9,FALSE),0)</f>
        <v>0.98123642699588376</v>
      </c>
      <c r="K40" s="319">
        <f ca="1">IFERROR(VLOOKUP(B40,Well_Head!C:M,9,FALSE),0)</f>
        <v>0.98123642699588376</v>
      </c>
      <c r="L40" s="319">
        <f ca="1">IFERROR(VLOOKUP(B40,Separator!C:M,9,FALSE),0)</f>
        <v>2.3767440876385231</v>
      </c>
      <c r="M40" s="319">
        <f ca="1">IFERROR(IF('Data Summary'!$C$5=0,AVERAGE(VLOOKUP(B40,Separator!C:M,9,FALSE),VLOOKUP(B40,Tank!C:M,9,FALSE))*100/99.69,VLOOKUP(B40,Tank!C:M,9,FALSE)),0)</f>
        <v>1.8524805760737761</v>
      </c>
      <c r="N40" s="320">
        <f ca="1">IFERROR(VLOOKUP(B40,Dehydration_Tank!C:M,9,FALSE),0)</f>
        <v>0.52970218151097526</v>
      </c>
      <c r="O40" s="326" t="str">
        <f t="shared" si="1"/>
        <v>[percent] of C4+ VOC that is methcychex</v>
      </c>
    </row>
    <row r="41" spans="1:15" ht="15" customHeight="1" thickBot="1" x14ac:dyDescent="0.3">
      <c r="A41">
        <f t="shared" si="2"/>
        <v>33</v>
      </c>
      <c r="B41" s="191" t="str">
        <f>VLOOKUP(A41,'Species Data'!A:F,5,FALSE)</f>
        <v>methcycpen</v>
      </c>
      <c r="C41" s="315">
        <f t="shared" ca="1" si="0"/>
        <v>2.9377207331234096</v>
      </c>
      <c r="D41" s="67">
        <f ca="1">IFERROR(VLOOKUP(B41,Well_Head!C:M,9,FALSE),0)</f>
        <v>1.700764675301877</v>
      </c>
      <c r="E41" s="319">
        <f ca="1">IFERROR(VLOOKUP(B41,Tank!C:M,9,FALSE),0)</f>
        <v>3.7401087896147933</v>
      </c>
      <c r="F41" s="319">
        <f ca="1">IFERROR(VLOOKUP(B41,Compressor!C:M,9,FALSE),0)</f>
        <v>4.8087701488476835</v>
      </c>
      <c r="G41" s="319">
        <f ca="1">IFERROR(VLOOKUP(B41,Separator!C:M,9,FALSE),0)</f>
        <v>4.6626727405591843</v>
      </c>
      <c r="H41" s="319">
        <f ca="1">IFERROR(VLOOKUP(B41,Tank!C:M,9,FALSE),0)</f>
        <v>3.7401087896147933</v>
      </c>
      <c r="I41" s="319">
        <f ca="1">IFERROR(VLOOKUP(B41,Separator!C:M,9,FALSE),0)</f>
        <v>4.6626727405591843</v>
      </c>
      <c r="J41" s="319">
        <f ca="1">IFERROR(VLOOKUP(B41,Well_Head!C:M,9,FALSE),0)</f>
        <v>1.700764675301877</v>
      </c>
      <c r="K41" s="319">
        <f ca="1">IFERROR(VLOOKUP(B41,Well_Head!C:M,9,FALSE),0)</f>
        <v>1.700764675301877</v>
      </c>
      <c r="L41" s="319">
        <f ca="1">IFERROR(VLOOKUP(B41,Separator!C:M,9,FALSE),0)</f>
        <v>4.6626727405591843</v>
      </c>
      <c r="M41" s="319">
        <f ca="1">IFERROR(IF('Data Summary'!$C$5=0,AVERAGE(VLOOKUP(B41,Separator!C:M,9,FALSE),VLOOKUP(B41,Tank!C:M,9,FALSE))*100/99.69,VLOOKUP(B41,Tank!C:M,9,FALSE)),0)</f>
        <v>4.2144555773768575</v>
      </c>
      <c r="N41" s="320">
        <f ca="1">IFERROR(VLOOKUP(B41,Dehydration_Tank!C:M,9,FALSE),0)</f>
        <v>2.9377207331234096</v>
      </c>
      <c r="O41" s="326" t="str">
        <f t="shared" si="1"/>
        <v>[percent] of C4+ VOC that is methcycpen</v>
      </c>
    </row>
    <row r="42" spans="1:15" ht="15" customHeight="1" thickBot="1" x14ac:dyDescent="0.3">
      <c r="A42">
        <f t="shared" si="2"/>
        <v>34</v>
      </c>
      <c r="B42" s="191" t="str">
        <f>VLOOKUP(A42,'Species Data'!A:F,5,FALSE)</f>
        <v>methpent</v>
      </c>
      <c r="C42" s="315">
        <f t="shared" ca="1" si="0"/>
        <v>0</v>
      </c>
      <c r="D42" s="67">
        <f ca="1">IFERROR(VLOOKUP(B42,Well_Head!C:M,9,FALSE),0)</f>
        <v>0</v>
      </c>
      <c r="E42" s="319">
        <f ca="1">IFERROR(VLOOKUP(B42,Tank!C:M,9,FALSE),0)</f>
        <v>0</v>
      </c>
      <c r="F42" s="319">
        <f ca="1">IFERROR(VLOOKUP(B42,Compressor!C:M,9,FALSE),0)</f>
        <v>0</v>
      </c>
      <c r="G42" s="319">
        <f ca="1">IFERROR(VLOOKUP(B42,Separator!C:M,9,FALSE),0)</f>
        <v>0</v>
      </c>
      <c r="H42" s="319">
        <f ca="1">IFERROR(VLOOKUP(B42,Tank!C:M,9,FALSE),0)</f>
        <v>0</v>
      </c>
      <c r="I42" s="319">
        <f ca="1">IFERROR(VLOOKUP(B42,Separator!C:M,9,FALSE),0)</f>
        <v>0</v>
      </c>
      <c r="J42" s="319">
        <f ca="1">IFERROR(VLOOKUP(B42,Well_Head!C:M,9,FALSE),0)</f>
        <v>0</v>
      </c>
      <c r="K42" s="319">
        <f ca="1">IFERROR(VLOOKUP(B42,Well_Head!C:M,9,FALSE),0)</f>
        <v>0</v>
      </c>
      <c r="L42" s="319">
        <f ca="1">IFERROR(VLOOKUP(B42,Separator!C:M,9,FALSE),0)</f>
        <v>0</v>
      </c>
      <c r="M42" s="319">
        <f ca="1">IFERROR(IF('Data Summary'!$C$5=0,AVERAGE(VLOOKUP(B42,Separator!C:M,9,FALSE),VLOOKUP(B42,Tank!C:M,9,FALSE))*100/99.69,VLOOKUP(B42,Tank!C:M,9,FALSE)),0)</f>
        <v>0</v>
      </c>
      <c r="N42" s="320">
        <f ca="1">IFERROR(VLOOKUP(B42,Dehydration_Tank!C:M,9,FALSE),0)</f>
        <v>0</v>
      </c>
      <c r="O42" s="326" t="str">
        <f t="shared" si="1"/>
        <v>[percent] of C4+ VOC that is methpent</v>
      </c>
    </row>
    <row r="43" spans="1:15" ht="15" customHeight="1" thickBot="1" x14ac:dyDescent="0.3">
      <c r="A43">
        <f t="shared" si="2"/>
        <v>35</v>
      </c>
      <c r="B43" s="191" t="str">
        <f>VLOOKUP(A43,'Species Data'!A:F,5,FALSE)</f>
        <v>N_but</v>
      </c>
      <c r="C43" s="315">
        <f t="shared" ca="1" si="0"/>
        <v>7.5857112234733393</v>
      </c>
      <c r="D43" s="67">
        <f ca="1">IFERROR(VLOOKUP(B43,Well_Head!C:M,9,FALSE),0)</f>
        <v>14.25071181309773</v>
      </c>
      <c r="E43" s="319">
        <f ca="1">IFERROR(VLOOKUP(B43,Tank!C:M,9,FALSE),0)</f>
        <v>22.405228079327635</v>
      </c>
      <c r="F43" s="319">
        <f ca="1">IFERROR(VLOOKUP(B43,Compressor!C:M,9,FALSE),0)</f>
        <v>16.981583594259707</v>
      </c>
      <c r="G43" s="319">
        <f ca="1">IFERROR(VLOOKUP(B43,Separator!C:M,9,FALSE),0)</f>
        <v>28.845781395205023</v>
      </c>
      <c r="H43" s="319">
        <f ca="1">IFERROR(VLOOKUP(B43,Tank!C:M,9,FALSE),0)</f>
        <v>22.405228079327635</v>
      </c>
      <c r="I43" s="319">
        <f ca="1">IFERROR(VLOOKUP(B43,Separator!C:M,9,FALSE),0)</f>
        <v>28.845781395205023</v>
      </c>
      <c r="J43" s="319">
        <f ca="1">IFERROR(VLOOKUP(B43,Well_Head!C:M,9,FALSE),0)</f>
        <v>14.25071181309773</v>
      </c>
      <c r="K43" s="319">
        <f ca="1">IFERROR(VLOOKUP(B43,Well_Head!C:M,9,FALSE),0)</f>
        <v>14.25071181309773</v>
      </c>
      <c r="L43" s="319">
        <f ca="1">IFERROR(VLOOKUP(B43,Separator!C:M,9,FALSE),0)</f>
        <v>28.845781395205023</v>
      </c>
      <c r="M43" s="319">
        <f ca="1">IFERROR(IF('Data Summary'!$C$5=0,AVERAGE(VLOOKUP(B43,Separator!C:M,9,FALSE),VLOOKUP(B43,Tank!C:M,9,FALSE))*100/99.69,VLOOKUP(B43,Tank!C:M,9,FALSE)),0)</f>
        <v>25.705190828835718</v>
      </c>
      <c r="N43" s="320">
        <f ca="1">IFERROR(VLOOKUP(B43,Dehydration_Tank!C:M,9,FALSE),0)</f>
        <v>7.5857112234733393</v>
      </c>
      <c r="O43" s="326" t="str">
        <f t="shared" si="1"/>
        <v>[percent] of C4+ VOC that is N_but</v>
      </c>
    </row>
    <row r="44" spans="1:15" ht="15" customHeight="1" thickBot="1" x14ac:dyDescent="0.3">
      <c r="A44">
        <f t="shared" si="2"/>
        <v>36</v>
      </c>
      <c r="B44" s="191" t="str">
        <f>VLOOKUP(A44,'Species Data'!A:F,5,FALSE)</f>
        <v>N_dec</v>
      </c>
      <c r="C44" s="315">
        <f t="shared" ca="1" si="0"/>
        <v>6.8662974837713525E-2</v>
      </c>
      <c r="D44" s="67">
        <f ca="1">IFERROR(VLOOKUP(B44,Well_Head!C:M,9,FALSE),0)</f>
        <v>0.16331374704437365</v>
      </c>
      <c r="E44" s="319">
        <f ca="1">IFERROR(VLOOKUP(B44,Tank!C:M,9,FALSE),0)</f>
        <v>4.4327190305277625E-2</v>
      </c>
      <c r="F44" s="319">
        <f ca="1">IFERROR(VLOOKUP(B44,Compressor!C:M,9,FALSE),0)</f>
        <v>2.3678595808888547E-2</v>
      </c>
      <c r="G44" s="319">
        <f ca="1">IFERROR(VLOOKUP(B44,Separator!C:M,9,FALSE),0)</f>
        <v>8.5444629438848549E-3</v>
      </c>
      <c r="H44" s="319">
        <f ca="1">IFERROR(VLOOKUP(B44,Tank!C:M,9,FALSE),0)</f>
        <v>4.4327190305277625E-2</v>
      </c>
      <c r="I44" s="319">
        <f ca="1">IFERROR(VLOOKUP(B44,Separator!C:M,9,FALSE),0)</f>
        <v>8.5444629438848549E-3</v>
      </c>
      <c r="J44" s="319">
        <f ca="1">IFERROR(VLOOKUP(B44,Well_Head!C:M,9,FALSE),0)</f>
        <v>0.16331374704437365</v>
      </c>
      <c r="K44" s="319">
        <f ca="1">IFERROR(VLOOKUP(B44,Well_Head!C:M,9,FALSE),0)</f>
        <v>0.16331374704437365</v>
      </c>
      <c r="L44" s="319">
        <f ca="1">IFERROR(VLOOKUP(B44,Separator!C:M,9,FALSE),0)</f>
        <v>8.5444629438848549E-3</v>
      </c>
      <c r="M44" s="319">
        <f ca="1">IFERROR(IF('Data Summary'!$C$5=0,AVERAGE(VLOOKUP(B44,Separator!C:M,9,FALSE),VLOOKUP(B44,Tank!C:M,9,FALSE))*100/99.69,VLOOKUP(B44,Tank!C:M,9,FALSE)),0)</f>
        <v>2.6518032525410011E-2</v>
      </c>
      <c r="N44" s="320">
        <f ca="1">IFERROR(VLOOKUP(B44,Dehydration_Tank!C:M,9,FALSE),0)</f>
        <v>6.8662974837713525E-2</v>
      </c>
      <c r="O44" s="326" t="str">
        <f t="shared" si="1"/>
        <v>[percent] of C4+ VOC that is N_dec</v>
      </c>
    </row>
    <row r="45" spans="1:15" ht="15" customHeight="1" thickBot="1" x14ac:dyDescent="0.3">
      <c r="A45">
        <f t="shared" si="2"/>
        <v>37</v>
      </c>
      <c r="B45" s="191" t="str">
        <f>VLOOKUP(A45,'Species Data'!A:F,5,FALSE)</f>
        <v>N_hep</v>
      </c>
      <c r="C45" s="315">
        <f t="shared" ca="1" si="0"/>
        <v>1.5589590280348982</v>
      </c>
      <c r="D45" s="67">
        <f ca="1">IFERROR(VLOOKUP(B45,Well_Head!C:M,9,FALSE),0)</f>
        <v>0.89367355318750108</v>
      </c>
      <c r="E45" s="319">
        <f ca="1">IFERROR(VLOOKUP(B45,Tank!C:M,9,FALSE),0)</f>
        <v>1.3933642752521249</v>
      </c>
      <c r="F45" s="319">
        <f ca="1">IFERROR(VLOOKUP(B45,Compressor!C:M,9,FALSE),0)</f>
        <v>1.1000471052916623</v>
      </c>
      <c r="G45" s="319">
        <f ca="1">IFERROR(VLOOKUP(B45,Separator!C:M,9,FALSE),0)</f>
        <v>1.0616291768183028</v>
      </c>
      <c r="H45" s="319">
        <f ca="1">IFERROR(VLOOKUP(B45,Tank!C:M,9,FALSE),0)</f>
        <v>1.3933642752521249</v>
      </c>
      <c r="I45" s="319">
        <f ca="1">IFERROR(VLOOKUP(B45,Separator!C:M,9,FALSE),0)</f>
        <v>1.0616291768183028</v>
      </c>
      <c r="J45" s="319">
        <f ca="1">IFERROR(VLOOKUP(B45,Well_Head!C:M,9,FALSE),0)</f>
        <v>0.89367355318750108</v>
      </c>
      <c r="K45" s="319">
        <f ca="1">IFERROR(VLOOKUP(B45,Well_Head!C:M,9,FALSE),0)</f>
        <v>0.89367355318750108</v>
      </c>
      <c r="L45" s="319">
        <f ca="1">IFERROR(VLOOKUP(B45,Separator!C:M,9,FALSE),0)</f>
        <v>1.0616291768183028</v>
      </c>
      <c r="M45" s="319">
        <f ca="1">IFERROR(IF('Data Summary'!$C$5=0,AVERAGE(VLOOKUP(B45,Separator!C:M,9,FALSE),VLOOKUP(B45,Tank!C:M,9,FALSE))*100/99.69,VLOOKUP(B45,Tank!C:M,9,FALSE)),0)</f>
        <v>1.2313137988115297</v>
      </c>
      <c r="N45" s="320">
        <f ca="1">IFERROR(VLOOKUP(B45,Dehydration_Tank!C:M,9,FALSE),0)</f>
        <v>1.5589590280348982</v>
      </c>
      <c r="O45" s="326" t="str">
        <f t="shared" si="1"/>
        <v>[percent] of C4+ VOC that is N_hep</v>
      </c>
    </row>
    <row r="46" spans="1:15" ht="15" customHeight="1" thickBot="1" x14ac:dyDescent="0.3">
      <c r="A46">
        <f t="shared" si="2"/>
        <v>38</v>
      </c>
      <c r="B46" s="191" t="str">
        <f>VLOOKUP(A46,'Species Data'!A:F,5,FALSE)</f>
        <v>N_hex</v>
      </c>
      <c r="C46" s="315">
        <f t="shared" ca="1" si="0"/>
        <v>2.6543570039100071</v>
      </c>
      <c r="D46" s="67">
        <f ca="1">IFERROR(VLOOKUP(B46,Well_Head!C:M,9,FALSE),0)</f>
        <v>1.8768708656538999</v>
      </c>
      <c r="E46" s="319">
        <f ca="1">IFERROR(VLOOKUP(B46,Tank!C:M,9,FALSE),0)</f>
        <v>3.6026759527268823</v>
      </c>
      <c r="F46" s="319">
        <f ca="1">IFERROR(VLOOKUP(B46,Compressor!C:M,9,FALSE),0)</f>
        <v>3.1956028343782985</v>
      </c>
      <c r="G46" s="319">
        <f ca="1">IFERROR(VLOOKUP(B46,Separator!C:M,9,FALSE),0)</f>
        <v>3.545301115011728</v>
      </c>
      <c r="H46" s="319">
        <f ca="1">IFERROR(VLOOKUP(B46,Tank!C:M,9,FALSE),0)</f>
        <v>3.6026759527268823</v>
      </c>
      <c r="I46" s="319">
        <f ca="1">IFERROR(VLOOKUP(B46,Separator!C:M,9,FALSE),0)</f>
        <v>3.545301115011728</v>
      </c>
      <c r="J46" s="319">
        <f ca="1">IFERROR(VLOOKUP(B46,Well_Head!C:M,9,FALSE),0)</f>
        <v>1.8768708656538999</v>
      </c>
      <c r="K46" s="319">
        <f ca="1">IFERROR(VLOOKUP(B46,Well_Head!C:M,9,FALSE),0)</f>
        <v>1.8768708656538999</v>
      </c>
      <c r="L46" s="319">
        <f ca="1">IFERROR(VLOOKUP(B46,Separator!C:M,9,FALSE),0)</f>
        <v>3.545301115011728</v>
      </c>
      <c r="M46" s="319">
        <f ca="1">IFERROR(IF('Data Summary'!$C$5=0,AVERAGE(VLOOKUP(B46,Separator!C:M,9,FALSE),VLOOKUP(B46,Tank!C:M,9,FALSE))*100/99.69,VLOOKUP(B46,Tank!C:M,9,FALSE)),0)</f>
        <v>3.5851023511578948</v>
      </c>
      <c r="N46" s="320">
        <f ca="1">IFERROR(VLOOKUP(B46,Dehydration_Tank!C:M,9,FALSE),0)</f>
        <v>2.6543570039100071</v>
      </c>
      <c r="O46" s="326" t="str">
        <f t="shared" si="1"/>
        <v>[percent] of C4+ VOC that is N_hex</v>
      </c>
    </row>
    <row r="47" spans="1:15" ht="15" customHeight="1" thickBot="1" x14ac:dyDescent="0.3">
      <c r="A47">
        <f t="shared" si="2"/>
        <v>39</v>
      </c>
      <c r="B47" s="191" t="str">
        <f>VLOOKUP(A47,'Species Data'!A:F,5,FALSE)</f>
        <v>N_nonane</v>
      </c>
      <c r="C47" s="315">
        <f t="shared" ca="1" si="0"/>
        <v>0.25161140195122061</v>
      </c>
      <c r="D47" s="67">
        <f ca="1">IFERROR(VLOOKUP(B47,Well_Head!C:M,9,FALSE),0)</f>
        <v>0.74558001241427241</v>
      </c>
      <c r="E47" s="319">
        <f ca="1">IFERROR(VLOOKUP(B47,Tank!C:M,9,FALSE),0)</f>
        <v>0.15292796351041008</v>
      </c>
      <c r="F47" s="319">
        <f ca="1">IFERROR(VLOOKUP(B47,Compressor!C:M,9,FALSE),0)</f>
        <v>6.0707889254703613E-2</v>
      </c>
      <c r="G47" s="319">
        <f ca="1">IFERROR(VLOOKUP(B47,Separator!C:M,9,FALSE),0)</f>
        <v>5.5091442028667101E-2</v>
      </c>
      <c r="H47" s="319">
        <f ca="1">IFERROR(VLOOKUP(B47,Tank!C:M,9,FALSE),0)</f>
        <v>0.15292796351041008</v>
      </c>
      <c r="I47" s="319">
        <f ca="1">IFERROR(VLOOKUP(B47,Separator!C:M,9,FALSE),0)</f>
        <v>5.5091442028667101E-2</v>
      </c>
      <c r="J47" s="319">
        <f ca="1">IFERROR(VLOOKUP(B47,Well_Head!C:M,9,FALSE),0)</f>
        <v>0.74558001241427241</v>
      </c>
      <c r="K47" s="319">
        <f ca="1">IFERROR(VLOOKUP(B47,Well_Head!C:M,9,FALSE),0)</f>
        <v>0.74558001241427241</v>
      </c>
      <c r="L47" s="319">
        <f ca="1">IFERROR(VLOOKUP(B47,Separator!C:M,9,FALSE),0)</f>
        <v>5.5091442028667101E-2</v>
      </c>
      <c r="M47" s="319">
        <f ca="1">IFERROR(IF('Data Summary'!$C$5=0,AVERAGE(VLOOKUP(B47,Separator!C:M,9,FALSE),VLOOKUP(B47,Tank!C:M,9,FALSE))*100/99.69,VLOOKUP(B47,Tank!C:M,9,FALSE)),0)</f>
        <v>0.10433313548955621</v>
      </c>
      <c r="N47" s="320">
        <f ca="1">IFERROR(VLOOKUP(B47,Dehydration_Tank!C:M,9,FALSE),0)</f>
        <v>0.25161140195122061</v>
      </c>
      <c r="O47" s="326" t="str">
        <f t="shared" si="1"/>
        <v>[percent] of C4+ VOC that is N_nonane</v>
      </c>
    </row>
    <row r="48" spans="1:15" ht="15" customHeight="1" thickBot="1" x14ac:dyDescent="0.3">
      <c r="A48">
        <f t="shared" si="2"/>
        <v>40</v>
      </c>
      <c r="B48" s="191" t="str">
        <f>VLOOKUP(A48,'Species Data'!A:F,5,FALSE)</f>
        <v>N_octane</v>
      </c>
      <c r="C48" s="315">
        <f t="shared" ca="1" si="0"/>
        <v>1.5664099351541825</v>
      </c>
      <c r="D48" s="67">
        <f ca="1">IFERROR(VLOOKUP(B48,Well_Head!C:M,9,FALSE),0)</f>
        <v>1.4089662421894311</v>
      </c>
      <c r="E48" s="319">
        <f ca="1">IFERROR(VLOOKUP(B48,Tank!C:M,9,FALSE),0)</f>
        <v>0.54603882009753357</v>
      </c>
      <c r="F48" s="319">
        <f ca="1">IFERROR(VLOOKUP(B48,Compressor!C:M,9,FALSE),0)</f>
        <v>0.77912656209459863</v>
      </c>
      <c r="G48" s="319">
        <f ca="1">IFERROR(VLOOKUP(B48,Separator!C:M,9,FALSE),0)</f>
        <v>0.42974579815862779</v>
      </c>
      <c r="H48" s="319">
        <f ca="1">IFERROR(VLOOKUP(B48,Tank!C:M,9,FALSE),0)</f>
        <v>0.54603882009753357</v>
      </c>
      <c r="I48" s="319">
        <f ca="1">IFERROR(VLOOKUP(B48,Separator!C:M,9,FALSE),0)</f>
        <v>0.42974579815862779</v>
      </c>
      <c r="J48" s="319">
        <f ca="1">IFERROR(VLOOKUP(B48,Well_Head!C:M,9,FALSE),0)</f>
        <v>1.4089662421894311</v>
      </c>
      <c r="K48" s="319">
        <f ca="1">IFERROR(VLOOKUP(B48,Well_Head!C:M,9,FALSE),0)</f>
        <v>1.4089662421894311</v>
      </c>
      <c r="L48" s="319">
        <f ca="1">IFERROR(VLOOKUP(B48,Separator!C:M,9,FALSE),0)</f>
        <v>0.42974579815862779</v>
      </c>
      <c r="M48" s="319">
        <f ca="1">IFERROR(IF('Data Summary'!$C$5=0,AVERAGE(VLOOKUP(B48,Separator!C:M,9,FALSE),VLOOKUP(B48,Tank!C:M,9,FALSE))*100/99.69,VLOOKUP(B48,Tank!C:M,9,FALSE)),0)</f>
        <v>0.48940947851146621</v>
      </c>
      <c r="N48" s="320">
        <f ca="1">IFERROR(VLOOKUP(B48,Dehydration_Tank!C:M,9,FALSE),0)</f>
        <v>1.5664099351541825</v>
      </c>
      <c r="O48" s="326" t="str">
        <f t="shared" si="1"/>
        <v>[percent] of C4+ VOC that is N_octane</v>
      </c>
    </row>
    <row r="49" spans="1:15" ht="15" customHeight="1" thickBot="1" x14ac:dyDescent="0.3">
      <c r="A49">
        <f t="shared" si="2"/>
        <v>41</v>
      </c>
      <c r="B49" s="191" t="str">
        <f>VLOOKUP(A49,'Species Data'!A:F,5,FALSE)</f>
        <v>N_pentane</v>
      </c>
      <c r="C49" s="315">
        <f t="shared" ca="1" si="0"/>
        <v>4.993024804642948</v>
      </c>
      <c r="D49" s="67">
        <f ca="1">IFERROR(VLOOKUP(B49,Well_Head!C:M,9,FALSE),0)</f>
        <v>4.6641761864932807</v>
      </c>
      <c r="E49" s="319">
        <f ca="1">IFERROR(VLOOKUP(B49,Tank!C:M,9,FALSE),0)</f>
        <v>8.2108153286088132</v>
      </c>
      <c r="F49" s="319">
        <f ca="1">IFERROR(VLOOKUP(B49,Compressor!C:M,9,FALSE),0)</f>
        <v>3.5820173659829266</v>
      </c>
      <c r="G49" s="319">
        <f ca="1">IFERROR(VLOOKUP(B49,Separator!C:M,9,FALSE),0)</f>
        <v>8.0564520460326872</v>
      </c>
      <c r="H49" s="319">
        <f ca="1">IFERROR(VLOOKUP(B49,Tank!C:M,9,FALSE),0)</f>
        <v>8.2108153286088132</v>
      </c>
      <c r="I49" s="319">
        <f ca="1">IFERROR(VLOOKUP(B49,Separator!C:M,9,FALSE),0)</f>
        <v>8.0564520460326872</v>
      </c>
      <c r="J49" s="319">
        <f ca="1">IFERROR(VLOOKUP(B49,Well_Head!C:M,9,FALSE),0)</f>
        <v>4.6641761864932807</v>
      </c>
      <c r="K49" s="319">
        <f ca="1">IFERROR(VLOOKUP(B49,Well_Head!C:M,9,FALSE),0)</f>
        <v>4.6641761864932807</v>
      </c>
      <c r="L49" s="319">
        <f ca="1">IFERROR(VLOOKUP(B49,Separator!C:M,9,FALSE),0)</f>
        <v>8.0564520460326872</v>
      </c>
      <c r="M49" s="319">
        <f ca="1">IFERROR(IF('Data Summary'!$C$5=0,AVERAGE(VLOOKUP(B49,Separator!C:M,9,FALSE),VLOOKUP(B49,Tank!C:M,9,FALSE))*100/99.69,VLOOKUP(B49,Tank!C:M,9,FALSE)),0)</f>
        <v>8.1589263590337548</v>
      </c>
      <c r="N49" s="320">
        <f ca="1">IFERROR(VLOOKUP(B49,Dehydration_Tank!C:M,9,FALSE),0)</f>
        <v>4.993024804642948</v>
      </c>
      <c r="O49" s="326" t="str">
        <f t="shared" si="1"/>
        <v>[percent] of C4+ VOC that is N_pentane</v>
      </c>
    </row>
    <row r="50" spans="1:15" ht="15" customHeight="1" thickBot="1" x14ac:dyDescent="0.3">
      <c r="A50">
        <f t="shared" si="2"/>
        <v>42</v>
      </c>
      <c r="B50" s="191" t="str">
        <f>VLOOKUP(A50,'Species Data'!A:F,5,FALSE)</f>
        <v>N_proben</v>
      </c>
      <c r="C50" s="315">
        <f t="shared" ca="1" si="0"/>
        <v>0.45851736118673475</v>
      </c>
      <c r="D50" s="67">
        <f ca="1">IFERROR(VLOOKUP(B50,Well_Head!C:M,9,FALSE),0)</f>
        <v>0.3435051154599712</v>
      </c>
      <c r="E50" s="319">
        <f ca="1">IFERROR(VLOOKUP(B50,Tank!C:M,9,FALSE),0)</f>
        <v>5.1071532687214115E-2</v>
      </c>
      <c r="F50" s="319">
        <f ca="1">IFERROR(VLOOKUP(B50,Compressor!C:M,9,FALSE),0)</f>
        <v>3.4762193847091699E-2</v>
      </c>
      <c r="G50" s="319">
        <f ca="1">IFERROR(VLOOKUP(B50,Separator!C:M,9,FALSE),0)</f>
        <v>1.912332182678991E-2</v>
      </c>
      <c r="H50" s="319">
        <f ca="1">IFERROR(VLOOKUP(B50,Tank!C:M,9,FALSE),0)</f>
        <v>5.1071532687214115E-2</v>
      </c>
      <c r="I50" s="319">
        <f ca="1">IFERROR(VLOOKUP(B50,Separator!C:M,9,FALSE),0)</f>
        <v>1.912332182678991E-2</v>
      </c>
      <c r="J50" s="319">
        <f ca="1">IFERROR(VLOOKUP(B50,Well_Head!C:M,9,FALSE),0)</f>
        <v>0.3435051154599712</v>
      </c>
      <c r="K50" s="319">
        <f ca="1">IFERROR(VLOOKUP(B50,Well_Head!C:M,9,FALSE),0)</f>
        <v>0.3435051154599712</v>
      </c>
      <c r="L50" s="319">
        <f ca="1">IFERROR(VLOOKUP(B50,Separator!C:M,9,FALSE),0)</f>
        <v>1.912332182678991E-2</v>
      </c>
      <c r="M50" s="319">
        <f ca="1">IFERROR(IF('Data Summary'!$C$5=0,AVERAGE(VLOOKUP(B50,Separator!C:M,9,FALSE),VLOOKUP(B50,Tank!C:M,9,FALSE))*100/99.69,VLOOKUP(B50,Tank!C:M,9,FALSE)),0)</f>
        <v>3.5206567616613511E-2</v>
      </c>
      <c r="N50" s="320">
        <f ca="1">IFERROR(VLOOKUP(B50,Dehydration_Tank!C:M,9,FALSE),0)</f>
        <v>0.45851736118673475</v>
      </c>
      <c r="O50" s="326" t="str">
        <f t="shared" si="1"/>
        <v>[percent] of C4+ VOC that is N_proben</v>
      </c>
    </row>
    <row r="51" spans="1:15" ht="15" customHeight="1" thickBot="1" x14ac:dyDescent="0.3">
      <c r="A51">
        <f t="shared" si="2"/>
        <v>43</v>
      </c>
      <c r="B51" s="191" t="str">
        <f>VLOOKUP(A51,'Species Data'!A:F,5,FALSE)</f>
        <v>N_und</v>
      </c>
      <c r="C51" s="315">
        <f t="shared" ca="1" si="0"/>
        <v>0.11451471095638699</v>
      </c>
      <c r="D51" s="67">
        <f ca="1">IFERROR(VLOOKUP(B51,Well_Head!C:M,9,FALSE),0)</f>
        <v>0.31318142229092583</v>
      </c>
      <c r="E51" s="319">
        <f ca="1">IFERROR(VLOOKUP(B51,Tank!C:M,9,FALSE),0)</f>
        <v>9.8130181657176026E-3</v>
      </c>
      <c r="F51" s="319">
        <f ca="1">IFERROR(VLOOKUP(B51,Compressor!C:M,9,FALSE),0)</f>
        <v>0</v>
      </c>
      <c r="G51" s="319">
        <f ca="1">IFERROR(VLOOKUP(B51,Separator!C:M,9,FALSE),0)</f>
        <v>7.486577055594348E-3</v>
      </c>
      <c r="H51" s="319">
        <f ca="1">IFERROR(VLOOKUP(B51,Tank!C:M,9,FALSE),0)</f>
        <v>9.8130181657176026E-3</v>
      </c>
      <c r="I51" s="319">
        <f ca="1">IFERROR(VLOOKUP(B51,Separator!C:M,9,FALSE),0)</f>
        <v>7.486577055594348E-3</v>
      </c>
      <c r="J51" s="319">
        <f ca="1">IFERROR(VLOOKUP(B51,Well_Head!C:M,9,FALSE),0)</f>
        <v>0.31318142229092583</v>
      </c>
      <c r="K51" s="319">
        <f ca="1">IFERROR(VLOOKUP(B51,Well_Head!C:M,9,FALSE),0)</f>
        <v>0.31318142229092583</v>
      </c>
      <c r="L51" s="319">
        <f ca="1">IFERROR(VLOOKUP(B51,Separator!C:M,9,FALSE),0)</f>
        <v>7.486577055594348E-3</v>
      </c>
      <c r="M51" s="319">
        <f ca="1">IFERROR(IF('Data Summary'!$C$5=0,AVERAGE(VLOOKUP(B51,Separator!C:M,9,FALSE),VLOOKUP(B51,Tank!C:M,9,FALSE))*100/99.69,VLOOKUP(B51,Tank!C:M,9,FALSE)),0)</f>
        <v>8.6766953662914779E-3</v>
      </c>
      <c r="N51" s="320">
        <f ca="1">IFERROR(VLOOKUP(B51,Dehydration_Tank!C:M,9,FALSE),0)</f>
        <v>0.11451471095638699</v>
      </c>
      <c r="O51" s="326" t="str">
        <f t="shared" si="1"/>
        <v>[percent] of C4+ VOC that is N_und</v>
      </c>
    </row>
    <row r="52" spans="1:15" ht="15" customHeight="1" thickBot="1" x14ac:dyDescent="0.3">
      <c r="A52">
        <f t="shared" si="2"/>
        <v>44</v>
      </c>
      <c r="B52" s="191" t="str">
        <f>VLOOKUP(A52,'Species Data'!A:F,5,FALSE)</f>
        <v>O_xylene</v>
      </c>
      <c r="C52" s="315">
        <f t="shared" ca="1" si="0"/>
        <v>0.31901345404567066</v>
      </c>
      <c r="D52" s="67">
        <f ca="1">IFERROR(VLOOKUP(B52,Well_Head!C:M,9,FALSE),0)</f>
        <v>0.5416245796059973</v>
      </c>
      <c r="E52" s="319">
        <f ca="1">IFERROR(VLOOKUP(B52,Tank!C:M,9,FALSE),0)</f>
        <v>0.12665874993276741</v>
      </c>
      <c r="F52" s="319">
        <f ca="1">IFERROR(VLOOKUP(B52,Compressor!C:M,9,FALSE),0)</f>
        <v>9.5218183146381613E-2</v>
      </c>
      <c r="G52" s="319">
        <f ca="1">IFERROR(VLOOKUP(B52,Separator!C:M,9,FALSE),0)</f>
        <v>4.8906878374045691E-2</v>
      </c>
      <c r="H52" s="319">
        <f ca="1">IFERROR(VLOOKUP(B52,Tank!C:M,9,FALSE),0)</f>
        <v>0.12665874993276741</v>
      </c>
      <c r="I52" s="319">
        <f ca="1">IFERROR(VLOOKUP(B52,Separator!C:M,9,FALSE),0)</f>
        <v>4.8906878374045691E-2</v>
      </c>
      <c r="J52" s="319">
        <f ca="1">IFERROR(VLOOKUP(B52,Well_Head!C:M,9,FALSE),0)</f>
        <v>0.5416245796059973</v>
      </c>
      <c r="K52" s="319">
        <f ca="1">IFERROR(VLOOKUP(B52,Well_Head!C:M,9,FALSE),0)</f>
        <v>0.5416245796059973</v>
      </c>
      <c r="L52" s="319">
        <f ca="1">IFERROR(VLOOKUP(B52,Separator!C:M,9,FALSE),0)</f>
        <v>4.8906878374045691E-2</v>
      </c>
      <c r="M52" s="319">
        <f ca="1">IFERROR(IF('Data Summary'!$C$5=0,AVERAGE(VLOOKUP(B52,Separator!C:M,9,FALSE),VLOOKUP(B52,Tank!C:M,9,FALSE))*100/99.69,VLOOKUP(B52,Tank!C:M,9,FALSE)),0)</f>
        <v>8.8055787093396093E-2</v>
      </c>
      <c r="N52" s="320">
        <f ca="1">IFERROR(VLOOKUP(B52,Dehydration_Tank!C:M,9,FALSE),0)</f>
        <v>0.31901345404567066</v>
      </c>
      <c r="O52" s="326" t="str">
        <f t="shared" si="1"/>
        <v>[percent] of C4+ VOC that is O_xylene</v>
      </c>
    </row>
    <row r="53" spans="1:15" ht="15" customHeight="1" thickBot="1" x14ac:dyDescent="0.3">
      <c r="A53">
        <f t="shared" si="2"/>
        <v>45</v>
      </c>
      <c r="B53" s="191" t="str">
        <f>VLOOKUP(A53,'Species Data'!A:F,5,FALSE)</f>
        <v>P_xylene</v>
      </c>
      <c r="C53" s="315">
        <f t="shared" ca="1" si="0"/>
        <v>0.31672086723973697</v>
      </c>
      <c r="D53" s="67">
        <f ca="1">IFERROR(VLOOKUP(B53,Well_Head!C:M,9,FALSE),0)</f>
        <v>0.18198884676357022</v>
      </c>
      <c r="E53" s="319">
        <f ca="1">IFERROR(VLOOKUP(B53,Tank!C:M,9,FALSE),0)</f>
        <v>0.20738852824454726</v>
      </c>
      <c r="F53" s="319">
        <f ca="1">IFERROR(VLOOKUP(B53,Compressor!C:M,9,FALSE),0)</f>
        <v>0.13728547570047081</v>
      </c>
      <c r="G53" s="319">
        <f ca="1">IFERROR(VLOOKUP(B53,Separator!C:M,9,FALSE),0)</f>
        <v>5.8997482231585893E-2</v>
      </c>
      <c r="H53" s="319">
        <f ca="1">IFERROR(VLOOKUP(B53,Tank!C:M,9,FALSE),0)</f>
        <v>0.20738852824454726</v>
      </c>
      <c r="I53" s="319">
        <f ca="1">IFERROR(VLOOKUP(B53,Separator!C:M,9,FALSE),0)</f>
        <v>5.8997482231585893E-2</v>
      </c>
      <c r="J53" s="319">
        <f ca="1">IFERROR(VLOOKUP(B53,Well_Head!C:M,9,FALSE),0)</f>
        <v>0.18198884676357022</v>
      </c>
      <c r="K53" s="319">
        <f ca="1">IFERROR(VLOOKUP(B53,Well_Head!C:M,9,FALSE),0)</f>
        <v>0.18198884676357022</v>
      </c>
      <c r="L53" s="319">
        <f ca="1">IFERROR(VLOOKUP(B53,Separator!C:M,9,FALSE),0)</f>
        <v>5.8997482231585893E-2</v>
      </c>
      <c r="M53" s="319">
        <f ca="1">IFERROR(IF('Data Summary'!$C$5=0,AVERAGE(VLOOKUP(B53,Separator!C:M,9,FALSE),VLOOKUP(B53,Tank!C:M,9,FALSE))*100/99.69,VLOOKUP(B53,Tank!C:M,9,FALSE)),0)</f>
        <v>0.13360718751937664</v>
      </c>
      <c r="N53" s="320">
        <f ca="1">IFERROR(VLOOKUP(B53,Dehydration_Tank!C:M,9,FALSE),0)</f>
        <v>0.31672086723973697</v>
      </c>
      <c r="O53" s="326" t="str">
        <f t="shared" si="1"/>
        <v>[percent] of C4+ VOC that is P_xylene</v>
      </c>
    </row>
    <row r="54" spans="1:15" ht="15" customHeight="1" thickBot="1" x14ac:dyDescent="0.3">
      <c r="A54">
        <f t="shared" si="2"/>
        <v>46</v>
      </c>
      <c r="B54" s="191" t="str">
        <f>VLOOKUP(A54,'Species Data'!A:F,5,FALSE)</f>
        <v>propylene</v>
      </c>
      <c r="C54" s="315">
        <f t="shared" ca="1" si="0"/>
        <v>0</v>
      </c>
      <c r="D54" s="67">
        <f ca="1">IFERROR(VLOOKUP(B54,Well_Head!C:M,9,FALSE),0)</f>
        <v>0</v>
      </c>
      <c r="E54" s="319">
        <f ca="1">IFERROR(VLOOKUP(B54,Tank!C:M,9,FALSE),0)</f>
        <v>0</v>
      </c>
      <c r="F54" s="319">
        <f ca="1">IFERROR(VLOOKUP(B54,Compressor!C:M,9,FALSE),0)</f>
        <v>0</v>
      </c>
      <c r="G54" s="319">
        <f ca="1">IFERROR(VLOOKUP(B54,Separator!C:M,9,FALSE),0)</f>
        <v>0</v>
      </c>
      <c r="H54" s="319">
        <f ca="1">IFERROR(VLOOKUP(B54,Tank!C:M,9,FALSE),0)</f>
        <v>0</v>
      </c>
      <c r="I54" s="319">
        <f ca="1">IFERROR(VLOOKUP(B54,Separator!C:M,9,FALSE),0)</f>
        <v>0</v>
      </c>
      <c r="J54" s="319">
        <f ca="1">IFERROR(VLOOKUP(B54,Well_Head!C:M,9,FALSE),0)</f>
        <v>0</v>
      </c>
      <c r="K54" s="319">
        <f ca="1">IFERROR(VLOOKUP(B54,Well_Head!C:M,9,FALSE),0)</f>
        <v>0</v>
      </c>
      <c r="L54" s="319">
        <f ca="1">IFERROR(VLOOKUP(B54,Separator!C:M,9,FALSE),0)</f>
        <v>0</v>
      </c>
      <c r="M54" s="319">
        <f ca="1">IFERROR(IF('Data Summary'!$C$5=0,AVERAGE(VLOOKUP(B54,Separator!C:M,9,FALSE),VLOOKUP(B54,Tank!C:M,9,FALSE))*100/99.69,VLOOKUP(B54,Tank!C:M,9,FALSE)),0)</f>
        <v>0</v>
      </c>
      <c r="N54" s="320">
        <f ca="1">IFERROR(VLOOKUP(B54,Dehydration_Tank!C:M,9,FALSE),0)</f>
        <v>0</v>
      </c>
      <c r="O54" s="326" t="str">
        <f t="shared" si="1"/>
        <v>[percent] of C4+ VOC that is propylene</v>
      </c>
    </row>
    <row r="55" spans="1:15" ht="15" customHeight="1" thickBot="1" x14ac:dyDescent="0.3">
      <c r="A55">
        <f t="shared" si="2"/>
        <v>47</v>
      </c>
      <c r="B55" s="191" t="str">
        <f>VLOOKUP(A55,'Species Data'!A:F,5,FALSE)</f>
        <v>toluene</v>
      </c>
      <c r="C55" s="315">
        <f t="shared" ca="1" si="0"/>
        <v>0.56168376745374993</v>
      </c>
      <c r="D55" s="67">
        <f ca="1">IFERROR(VLOOKUP(B55,Well_Head!C:M,9,FALSE),0)</f>
        <v>0.98865977913426428</v>
      </c>
      <c r="E55" s="319">
        <f ca="1">IFERROR(VLOOKUP(B55,Tank!C:M,9,FALSE),0)</f>
        <v>0.54708419316673362</v>
      </c>
      <c r="F55" s="319">
        <f ca="1">IFERROR(VLOOKUP(B55,Compressor!C:M,9,FALSE),0)</f>
        <v>0.34812573838174427</v>
      </c>
      <c r="G55" s="319">
        <f ca="1">IFERROR(VLOOKUP(B55,Separator!C:M,9,FALSE),0)</f>
        <v>0.33266442394858364</v>
      </c>
      <c r="H55" s="319">
        <f ca="1">IFERROR(VLOOKUP(B55,Tank!C:M,9,FALSE),0)</f>
        <v>0.54708419316673362</v>
      </c>
      <c r="I55" s="319">
        <f ca="1">IFERROR(VLOOKUP(B55,Separator!C:M,9,FALSE),0)</f>
        <v>0.33266442394858364</v>
      </c>
      <c r="J55" s="319">
        <f ca="1">IFERROR(VLOOKUP(B55,Well_Head!C:M,9,FALSE),0)</f>
        <v>0.98865977913426428</v>
      </c>
      <c r="K55" s="319">
        <f ca="1">IFERROR(VLOOKUP(B55,Well_Head!C:M,9,FALSE),0)</f>
        <v>0.98865977913426428</v>
      </c>
      <c r="L55" s="319">
        <f ca="1">IFERROR(VLOOKUP(B55,Separator!C:M,9,FALSE),0)</f>
        <v>0.33266442394858364</v>
      </c>
      <c r="M55" s="319">
        <f ca="1">IFERROR(IF('Data Summary'!$C$5=0,AVERAGE(VLOOKUP(B55,Separator!C:M,9,FALSE),VLOOKUP(B55,Tank!C:M,9,FALSE))*100/99.69,VLOOKUP(B55,Tank!C:M,9,FALSE)),0)</f>
        <v>0.44124215925133781</v>
      </c>
      <c r="N55" s="320">
        <f ca="1">IFERROR(VLOOKUP(B55,Dehydration_Tank!C:M,9,FALSE),0)</f>
        <v>0.56168376745374993</v>
      </c>
      <c r="O55" s="326" t="str">
        <f t="shared" si="1"/>
        <v>[percent] of C4+ VOC that is toluene</v>
      </c>
    </row>
    <row r="56" spans="1:15" ht="15" customHeight="1" thickBot="1" x14ac:dyDescent="0.3">
      <c r="A56">
        <f t="shared" si="2"/>
        <v>48</v>
      </c>
      <c r="B56" s="191" t="str">
        <f>VLOOKUP(A56,'Species Data'!A:F,5,FALSE)</f>
        <v>betben</v>
      </c>
      <c r="C56" s="315">
        <f t="shared" ca="1" si="0"/>
        <v>0</v>
      </c>
      <c r="D56" s="67">
        <f ca="1">IFERROR(VLOOKUP(B56,Well_Head!C:M,9,FALSE),0)</f>
        <v>0.13277995900348732</v>
      </c>
      <c r="E56" s="319">
        <f ca="1">IFERROR(VLOOKUP(B56,Tank!C:M,9,FALSE),0)</f>
        <v>1.0757226099188709E-2</v>
      </c>
      <c r="F56" s="319">
        <f ca="1">IFERROR(VLOOKUP(B56,Compressor!C:M,9,FALSE),0)</f>
        <v>0</v>
      </c>
      <c r="G56" s="319">
        <f ca="1">IFERROR(VLOOKUP(B56,Separator!C:M,9,FALSE),0)</f>
        <v>0</v>
      </c>
      <c r="H56" s="319">
        <f ca="1">IFERROR(VLOOKUP(B56,Tank!C:M,9,FALSE),0)</f>
        <v>1.0757226099188709E-2</v>
      </c>
      <c r="I56" s="319">
        <f ca="1">IFERROR(VLOOKUP(B56,Separator!C:M,9,FALSE),0)</f>
        <v>0</v>
      </c>
      <c r="J56" s="319">
        <f ca="1">IFERROR(VLOOKUP(B56,Well_Head!C:M,9,FALSE),0)</f>
        <v>0.13277995900348732</v>
      </c>
      <c r="K56" s="319">
        <f ca="1">IFERROR(VLOOKUP(B56,Well_Head!C:M,9,FALSE),0)</f>
        <v>0.13277995900348732</v>
      </c>
      <c r="L56" s="319">
        <f ca="1">IFERROR(VLOOKUP(B56,Separator!C:M,9,FALSE),0)</f>
        <v>0</v>
      </c>
      <c r="M56" s="319">
        <f ca="1">IFERROR(IF('Data Summary'!$C$5=0,AVERAGE(VLOOKUP(B56,Separator!C:M,9,FALSE),VLOOKUP(B56,Tank!C:M,9,FALSE))*100/99.69,VLOOKUP(B56,Tank!C:M,9,FALSE)),0)</f>
        <v>0</v>
      </c>
      <c r="N56" s="320">
        <f ca="1">IFERROR(VLOOKUP(B56,Dehydration_Tank!C:M,9,FALSE),0)</f>
        <v>0</v>
      </c>
      <c r="O56" s="326" t="str">
        <f t="shared" si="1"/>
        <v>[percent] of C4+ VOC that is betben</v>
      </c>
    </row>
    <row r="57" spans="1:15" ht="15" customHeight="1" thickBot="1" x14ac:dyDescent="0.3">
      <c r="A57">
        <f t="shared" si="2"/>
        <v>49</v>
      </c>
      <c r="B57" s="191" t="str">
        <f>VLOOKUP(A57,'Species Data'!A:F,5,FALSE)</f>
        <v>isompentane</v>
      </c>
      <c r="C57" s="315">
        <f t="shared" ca="1" si="0"/>
        <v>0</v>
      </c>
      <c r="D57" s="67">
        <f ca="1">IFERROR(VLOOKUP(B57,Well_Head!C:M,9,FALSE),0)</f>
        <v>0</v>
      </c>
      <c r="E57" s="319">
        <f ca="1">IFERROR(VLOOKUP(B57,Tank!C:M,9,FALSE),0)</f>
        <v>0</v>
      </c>
      <c r="F57" s="319">
        <f ca="1">IFERROR(VLOOKUP(B57,Compressor!C:M,9,FALSE),0)</f>
        <v>0</v>
      </c>
      <c r="G57" s="319">
        <f ca="1">IFERROR(VLOOKUP(B57,Separator!C:M,9,FALSE),0)</f>
        <v>0</v>
      </c>
      <c r="H57" s="319">
        <f ca="1">IFERROR(VLOOKUP(B57,Tank!C:M,9,FALSE),0)</f>
        <v>0</v>
      </c>
      <c r="I57" s="319">
        <f ca="1">IFERROR(VLOOKUP(B57,Separator!C:M,9,FALSE),0)</f>
        <v>0</v>
      </c>
      <c r="J57" s="319">
        <f ca="1">IFERROR(VLOOKUP(B57,Well_Head!C:M,9,FALSE),0)</f>
        <v>0</v>
      </c>
      <c r="K57" s="319">
        <f ca="1">IFERROR(VLOOKUP(B57,Well_Head!C:M,9,FALSE),0)</f>
        <v>0</v>
      </c>
      <c r="L57" s="319">
        <f ca="1">IFERROR(VLOOKUP(B57,Separator!C:M,9,FALSE),0)</f>
        <v>0</v>
      </c>
      <c r="M57" s="319">
        <f ca="1">IFERROR(IF('Data Summary'!$C$5=0,AVERAGE(VLOOKUP(B57,Separator!C:M,9,FALSE),VLOOKUP(B57,Tank!C:M,9,FALSE))*100/99.69,VLOOKUP(B57,Tank!C:M,9,FALSE)),0)</f>
        <v>0</v>
      </c>
      <c r="N57" s="320">
        <f ca="1">IFERROR(VLOOKUP(B57,Dehydration_Tank!C:M,9,FALSE),0)</f>
        <v>0</v>
      </c>
      <c r="O57" s="326" t="str">
        <f t="shared" si="1"/>
        <v>[percent] of C4+ VOC that is isompentane</v>
      </c>
    </row>
    <row r="58" spans="1:15" ht="15" customHeight="1" thickBot="1" x14ac:dyDescent="0.3">
      <c r="A58">
        <f t="shared" si="2"/>
        <v>50</v>
      </c>
      <c r="B58" s="191" t="str">
        <f>VLOOKUP(A58,'Species Data'!A:F,5,FALSE)</f>
        <v>undef_VOC</v>
      </c>
      <c r="C58" s="315">
        <f t="shared" ca="1" si="0"/>
        <v>53.845298534922392</v>
      </c>
      <c r="D58" s="67">
        <f ca="1">IFERROR(VLOOKUP(B58,Well_Head!C:M,9,FALSE),0)</f>
        <v>44.757117489020793</v>
      </c>
      <c r="E58" s="319">
        <f ca="1">IFERROR(VLOOKUP(B58,Tank!C:M,9,FALSE),0)</f>
        <v>30.538179975136991</v>
      </c>
      <c r="F58" s="319">
        <f ca="1">IFERROR(VLOOKUP(B58,Compressor!C:M,9,FALSE),0)</f>
        <v>42.950453797769676</v>
      </c>
      <c r="G58" s="319">
        <f ca="1">IFERROR(VLOOKUP(B58,Separator!C:M,9,FALSE),0)</f>
        <v>21.514876316864502</v>
      </c>
      <c r="H58" s="319">
        <f ca="1">IFERROR(VLOOKUP(B58,Tank!C:M,9,FALSE),0)</f>
        <v>30.538179975136991</v>
      </c>
      <c r="I58" s="319">
        <f ca="1">IFERROR(VLOOKUP(B58,Separator!C:M,9,FALSE),0)</f>
        <v>21.514876316864502</v>
      </c>
      <c r="J58" s="319">
        <f ca="1">IFERROR(VLOOKUP(B58,Well_Head!C:M,9,FALSE),0)</f>
        <v>44.757117489020793</v>
      </c>
      <c r="K58" s="319">
        <f ca="1">IFERROR(VLOOKUP(B58,Well_Head!C:M,9,FALSE),0)</f>
        <v>44.757117489020793</v>
      </c>
      <c r="L58" s="319">
        <f ca="1">IFERROR(VLOOKUP(B58,Separator!C:M,9,FALSE),0)</f>
        <v>21.514876316864502</v>
      </c>
      <c r="M58" s="319">
        <f ca="1">IFERROR(IF('Data Summary'!$C$5=0,AVERAGE(VLOOKUP(B58,Separator!C:M,9,FALSE),VLOOKUP(B58,Tank!C:M,9,FALSE))*100/99.69,VLOOKUP(B58,Tank!C:M,9,FALSE)),0)</f>
        <v>26.107461275956211</v>
      </c>
      <c r="N58" s="320">
        <f ca="1">IFERROR(VLOOKUP(B58,Dehydration_Tank!C:M,9,FALSE),0)</f>
        <v>53.845298534922392</v>
      </c>
      <c r="O58" s="326" t="str">
        <f t="shared" si="1"/>
        <v>[percent] of C4+ VOC that is undef_VOC</v>
      </c>
    </row>
    <row r="59" spans="1:15" ht="15" customHeight="1" thickBot="1" x14ac:dyDescent="0.3">
      <c r="A59">
        <f t="shared" si="2"/>
        <v>51</v>
      </c>
      <c r="B59" s="191" t="str">
        <f>VLOOKUP(A59,'Species Data'!A:F,5,FALSE)</f>
        <v>i_hexanes</v>
      </c>
      <c r="C59" s="315">
        <f t="shared" ca="1" si="0"/>
        <v>0</v>
      </c>
      <c r="D59" s="67">
        <f ca="1">IFERROR(VLOOKUP(B59,Well_Head!C:M,9,FALSE),0)</f>
        <v>0</v>
      </c>
      <c r="E59" s="319">
        <f ca="1">IFERROR(VLOOKUP(B59,Tank!C:M,9,FALSE),0)</f>
        <v>0</v>
      </c>
      <c r="F59" s="319">
        <f ca="1">IFERROR(VLOOKUP(B59,Compressor!C:M,9,FALSE),0)</f>
        <v>0</v>
      </c>
      <c r="G59" s="319">
        <f ca="1">IFERROR(VLOOKUP(B59,Separator!C:M,9,FALSE),0)</f>
        <v>0</v>
      </c>
      <c r="H59" s="319">
        <f ca="1">IFERROR(VLOOKUP(B59,Tank!C:M,9,FALSE),0)</f>
        <v>0</v>
      </c>
      <c r="I59" s="319">
        <f ca="1">IFERROR(VLOOKUP(B59,Separator!C:M,9,FALSE),0)</f>
        <v>0</v>
      </c>
      <c r="J59" s="319">
        <f ca="1">IFERROR(VLOOKUP(B59,Well_Head!C:M,9,FALSE),0)</f>
        <v>0</v>
      </c>
      <c r="K59" s="319">
        <f ca="1">IFERROR(VLOOKUP(B59,Well_Head!C:M,9,FALSE),0)</f>
        <v>0</v>
      </c>
      <c r="L59" s="319">
        <f ca="1">IFERROR(VLOOKUP(B59,Separator!C:M,9,FALSE),0)</f>
        <v>0</v>
      </c>
      <c r="M59" s="319">
        <f ca="1">IFERROR(IF('Data Summary'!$C$5=0,AVERAGE(VLOOKUP(B59,Separator!C:M,9,FALSE),VLOOKUP(B59,Tank!C:M,9,FALSE))*100/99.69,VLOOKUP(B59,Tank!C:M,9,FALSE)),0)</f>
        <v>0</v>
      </c>
      <c r="N59" s="320">
        <f ca="1">IFERROR(VLOOKUP(B59,Dehydration_Tank!C:M,9,FALSE),0)</f>
        <v>0</v>
      </c>
      <c r="O59" s="326" t="str">
        <f t="shared" si="1"/>
        <v>[percent] of C4+ VOC that is i_hexanes</v>
      </c>
    </row>
    <row r="60" spans="1:15" ht="15" customHeight="1" thickBot="1" x14ac:dyDescent="0.3">
      <c r="A60">
        <f t="shared" si="2"/>
        <v>52</v>
      </c>
      <c r="B60" s="321" t="str">
        <f>VLOOKUP(A60,'Species Data'!A:F,5,FALSE)</f>
        <v>i_heptanes</v>
      </c>
      <c r="C60" s="330">
        <f t="shared" ca="1" si="0"/>
        <v>0</v>
      </c>
      <c r="D60" s="322">
        <f ca="1">IFERROR(VLOOKUP(B60,Well_Head!C:M,9,FALSE),0)</f>
        <v>0</v>
      </c>
      <c r="E60" s="323">
        <f ca="1">IFERROR(VLOOKUP(B60,Tank!C:M,9,FALSE),0)</f>
        <v>0</v>
      </c>
      <c r="F60" s="323">
        <f ca="1">IFERROR(VLOOKUP(B60,Compressor!C:M,9,FALSE),0)</f>
        <v>0</v>
      </c>
      <c r="G60" s="323">
        <f ca="1">IFERROR(VLOOKUP(B60,Separator!C:M,9,FALSE),0)</f>
        <v>0</v>
      </c>
      <c r="H60" s="323">
        <f ca="1">IFERROR(VLOOKUP(B60,Tank!C:M,9,FALSE),0)</f>
        <v>0</v>
      </c>
      <c r="I60" s="323">
        <f ca="1">IFERROR(VLOOKUP(B60,Separator!C:M,9,FALSE),0)</f>
        <v>0</v>
      </c>
      <c r="J60" s="323">
        <f ca="1">IFERROR(VLOOKUP(B60,Well_Head!C:M,9,FALSE),0)</f>
        <v>0</v>
      </c>
      <c r="K60" s="323">
        <f ca="1">IFERROR(VLOOKUP(B60,Well_Head!C:M,9,FALSE),0)</f>
        <v>0</v>
      </c>
      <c r="L60" s="323">
        <f ca="1">IFERROR(VLOOKUP(B60,Separator!C:M,9,FALSE),0)</f>
        <v>0</v>
      </c>
      <c r="M60" s="323">
        <f ca="1">IFERROR(IF('Data Summary'!$C$5=0,AVERAGE(VLOOKUP(B60,Separator!C:M,9,FALSE),VLOOKUP(B60,Tank!C:M,9,FALSE))*100/99.69,VLOOKUP(B60,Tank!C:M,9,FALSE)),0)</f>
        <v>0</v>
      </c>
      <c r="N60" s="324">
        <f ca="1">IFERROR(VLOOKUP(B60,Dehydration_Tank!C:M,9,FALSE),0)</f>
        <v>0</v>
      </c>
      <c r="O60" s="326" t="str">
        <f t="shared" si="1"/>
        <v>[percent] of C4+ VOC that is i_heptanes</v>
      </c>
    </row>
    <row r="61" spans="1:15" ht="15" customHeight="1" x14ac:dyDescent="0.25">
      <c r="C61" s="195" t="s">
        <v>20</v>
      </c>
      <c r="D61" s="325" t="s">
        <v>819</v>
      </c>
      <c r="E61" s="325" t="s">
        <v>823</v>
      </c>
      <c r="F61" s="325"/>
      <c r="G61" s="325" t="s">
        <v>821</v>
      </c>
      <c r="H61" s="325" t="s">
        <v>823</v>
      </c>
      <c r="I61" s="325"/>
      <c r="J61" s="325" t="s">
        <v>819</v>
      </c>
      <c r="K61" s="325" t="s">
        <v>819</v>
      </c>
      <c r="L61" s="325" t="s">
        <v>821</v>
      </c>
      <c r="M61" s="325" t="s">
        <v>824</v>
      </c>
      <c r="N61" s="325"/>
    </row>
    <row r="62" spans="1:15" ht="15" customHeight="1" x14ac:dyDescent="0.25">
      <c r="C62" s="195" t="s">
        <v>62</v>
      </c>
      <c r="D62" s="325" t="s">
        <v>819</v>
      </c>
      <c r="E62" s="325" t="s">
        <v>822</v>
      </c>
      <c r="F62" s="325" t="s">
        <v>819</v>
      </c>
      <c r="G62" s="325" t="s">
        <v>819</v>
      </c>
      <c r="H62" s="325" t="s">
        <v>822</v>
      </c>
      <c r="I62" s="325" t="s">
        <v>819</v>
      </c>
      <c r="J62" s="325" t="s">
        <v>819</v>
      </c>
      <c r="K62" s="325" t="s">
        <v>819</v>
      </c>
      <c r="L62" s="325" t="s">
        <v>819</v>
      </c>
      <c r="M62" s="325" t="s">
        <v>822</v>
      </c>
      <c r="N62" s="325" t="s">
        <v>819</v>
      </c>
    </row>
    <row r="63" spans="1:15" ht="15" customHeight="1" x14ac:dyDescent="0.25">
      <c r="D63" s="195"/>
      <c r="E63" s="195"/>
      <c r="F63" s="195"/>
      <c r="G63" s="195"/>
      <c r="H63" s="195"/>
      <c r="I63" s="195"/>
      <c r="J63" s="195"/>
      <c r="K63" s="195"/>
      <c r="L63" s="195"/>
      <c r="M63" s="195"/>
      <c r="N63" s="195"/>
    </row>
    <row r="64" spans="1:15" ht="15" customHeight="1" x14ac:dyDescent="0.25"/>
    <row r="65" spans="2:15" ht="15" customHeight="1" x14ac:dyDescent="0.25"/>
    <row r="66" spans="2:15" ht="15" customHeight="1" x14ac:dyDescent="0.25"/>
    <row r="67" spans="2:15" ht="18.75" x14ac:dyDescent="0.3">
      <c r="B67" s="69" t="s">
        <v>112</v>
      </c>
      <c r="D67" s="343"/>
      <c r="E67" s="343"/>
      <c r="F67" s="343"/>
      <c r="G67" s="343"/>
      <c r="H67" s="343"/>
      <c r="I67" s="343"/>
      <c r="J67" s="343"/>
      <c r="K67" s="343"/>
      <c r="L67" s="343"/>
      <c r="M67" s="343"/>
      <c r="N67" s="343"/>
    </row>
    <row r="68" spans="2:15" x14ac:dyDescent="0.25">
      <c r="B68" s="70" t="s">
        <v>110</v>
      </c>
      <c r="C68" s="420" t="s">
        <v>9</v>
      </c>
      <c r="D68" s="420"/>
      <c r="E68" s="420"/>
      <c r="F68" s="420"/>
      <c r="G68" s="420"/>
      <c r="H68" s="420"/>
      <c r="I68" s="420"/>
      <c r="J68" s="420"/>
      <c r="K68" s="420"/>
      <c r="L68" s="420"/>
      <c r="M68" s="420"/>
      <c r="N68" s="420"/>
      <c r="O68" s="420"/>
    </row>
    <row r="69" spans="2:15" ht="30" customHeight="1" x14ac:dyDescent="0.25">
      <c r="B69" s="71">
        <v>1</v>
      </c>
      <c r="C69" s="405" t="str">
        <f>"Parameters for " &amp; D$7</f>
        <v>Parameters for Active Well &amp; Cellar</v>
      </c>
      <c r="D69" s="406"/>
      <c r="E69" s="406"/>
      <c r="F69" s="406"/>
      <c r="G69" s="406"/>
      <c r="H69" s="406"/>
      <c r="I69" s="406"/>
      <c r="J69" s="406"/>
      <c r="K69" s="406"/>
      <c r="L69" s="406"/>
      <c r="M69" s="406"/>
      <c r="N69" s="406"/>
      <c r="O69" s="406"/>
    </row>
    <row r="70" spans="2:15" ht="30" customHeight="1" x14ac:dyDescent="0.25">
      <c r="B70" s="71">
        <v>2</v>
      </c>
      <c r="C70" s="405" t="str">
        <f>"Parameters for " &amp; E$7</f>
        <v>Parameters for Cleanup Venting</v>
      </c>
      <c r="D70" s="406"/>
      <c r="E70" s="406"/>
      <c r="F70" s="406"/>
      <c r="G70" s="406"/>
      <c r="H70" s="406"/>
      <c r="I70" s="406"/>
      <c r="J70" s="406"/>
      <c r="K70" s="406"/>
      <c r="L70" s="406"/>
      <c r="M70" s="406"/>
      <c r="N70" s="406"/>
      <c r="O70" s="406"/>
    </row>
    <row r="71" spans="2:15" ht="30" customHeight="1" x14ac:dyDescent="0.25">
      <c r="B71" s="71">
        <v>3</v>
      </c>
      <c r="C71" s="405" t="str">
        <f>"Parameters for " &amp; F$7</f>
        <v>Parameters for Compressor</v>
      </c>
      <c r="D71" s="406"/>
      <c r="E71" s="406"/>
      <c r="F71" s="406"/>
      <c r="G71" s="406"/>
      <c r="H71" s="406"/>
      <c r="I71" s="406"/>
      <c r="J71" s="406"/>
      <c r="K71" s="406"/>
      <c r="L71" s="406"/>
      <c r="M71" s="406"/>
      <c r="N71" s="406"/>
      <c r="O71" s="406"/>
    </row>
    <row r="72" spans="2:15" ht="30" customHeight="1" x14ac:dyDescent="0.25">
      <c r="B72" s="71">
        <v>4</v>
      </c>
      <c r="C72" s="405" t="str">
        <f>"Parameters for " &amp; G$7</f>
        <v>Parameters for Dehydrator</v>
      </c>
      <c r="D72" s="406"/>
      <c r="E72" s="406"/>
      <c r="F72" s="406"/>
      <c r="G72" s="406"/>
      <c r="H72" s="406"/>
      <c r="I72" s="406"/>
      <c r="J72" s="406"/>
      <c r="K72" s="406"/>
      <c r="L72" s="406"/>
      <c r="M72" s="406"/>
      <c r="N72" s="406"/>
      <c r="O72" s="406"/>
    </row>
    <row r="73" spans="2:15" ht="30" customHeight="1" x14ac:dyDescent="0.25">
      <c r="B73" s="71">
        <v>5</v>
      </c>
      <c r="C73" s="405" t="str">
        <f>"Parameters for " &amp; H$7</f>
        <v>Parameters for Gathering Pipeline</v>
      </c>
      <c r="D73" s="406"/>
      <c r="E73" s="406"/>
      <c r="F73" s="406"/>
      <c r="G73" s="406"/>
      <c r="H73" s="406"/>
      <c r="I73" s="406"/>
      <c r="J73" s="406"/>
      <c r="K73" s="406"/>
      <c r="L73" s="406"/>
      <c r="M73" s="406"/>
      <c r="N73" s="406"/>
      <c r="O73" s="406"/>
    </row>
    <row r="74" spans="2:15" ht="30" customHeight="1" x14ac:dyDescent="0.25">
      <c r="B74" s="71">
        <v>6</v>
      </c>
      <c r="C74" s="405" t="str">
        <f>"Parameters for " &amp; I$7</f>
        <v>Parameters for Separator</v>
      </c>
      <c r="D74" s="406"/>
      <c r="E74" s="406"/>
      <c r="F74" s="406"/>
      <c r="G74" s="406"/>
      <c r="H74" s="406"/>
      <c r="I74" s="406"/>
      <c r="J74" s="406"/>
      <c r="K74" s="406"/>
      <c r="L74" s="406"/>
      <c r="M74" s="406"/>
      <c r="N74" s="406"/>
      <c r="O74" s="406"/>
    </row>
    <row r="75" spans="2:15" ht="30" customHeight="1" x14ac:dyDescent="0.25">
      <c r="B75" s="71">
        <v>7</v>
      </c>
      <c r="C75" s="405" t="str">
        <f>"Parameters for " &amp; J$7</f>
        <v>Parameters for Vented Assoc. Gas</v>
      </c>
      <c r="D75" s="406"/>
      <c r="E75" s="406"/>
      <c r="F75" s="406"/>
      <c r="G75" s="406"/>
      <c r="H75" s="406"/>
      <c r="I75" s="406"/>
      <c r="J75" s="406"/>
      <c r="K75" s="406"/>
      <c r="L75" s="406"/>
      <c r="M75" s="406"/>
      <c r="N75" s="406"/>
      <c r="O75" s="406"/>
    </row>
    <row r="76" spans="2:15" ht="30" customHeight="1" x14ac:dyDescent="0.25">
      <c r="B76" s="71">
        <v>8</v>
      </c>
      <c r="C76" s="405" t="str">
        <f>"Parameters for " &amp; K$7</f>
        <v>Parameters for Workover Venting</v>
      </c>
      <c r="D76" s="406"/>
      <c r="E76" s="406"/>
      <c r="F76" s="406"/>
      <c r="G76" s="406"/>
      <c r="H76" s="406"/>
      <c r="I76" s="406"/>
      <c r="J76" s="406"/>
      <c r="K76" s="406"/>
      <c r="L76" s="406"/>
      <c r="M76" s="406"/>
      <c r="N76" s="406"/>
      <c r="O76" s="406"/>
    </row>
    <row r="77" spans="2:15" ht="30" customHeight="1" x14ac:dyDescent="0.25">
      <c r="B77" s="71">
        <v>9</v>
      </c>
      <c r="C77" s="405" t="str">
        <f>"Parameters for " &amp; L$7</f>
        <v>Parameters for Acid Gas Remover</v>
      </c>
      <c r="D77" s="406"/>
      <c r="E77" s="406"/>
      <c r="F77" s="406"/>
      <c r="G77" s="406"/>
      <c r="H77" s="406"/>
      <c r="I77" s="406"/>
      <c r="J77" s="406"/>
      <c r="K77" s="406"/>
      <c r="L77" s="406"/>
      <c r="M77" s="406"/>
      <c r="N77" s="406"/>
      <c r="O77" s="406"/>
    </row>
    <row r="78" spans="2:15" ht="30" customHeight="1" x14ac:dyDescent="0.25">
      <c r="B78" s="71">
        <v>10</v>
      </c>
      <c r="C78" s="405" t="str">
        <f>"Parameters for " &amp; M$7</f>
        <v>Parameters for Storage Tank Flash Losses</v>
      </c>
      <c r="D78" s="406"/>
      <c r="E78" s="406"/>
      <c r="F78" s="406"/>
      <c r="G78" s="406"/>
      <c r="H78" s="406"/>
      <c r="I78" s="406"/>
      <c r="J78" s="406"/>
      <c r="K78" s="406"/>
      <c r="L78" s="406"/>
      <c r="M78" s="406"/>
      <c r="N78" s="406"/>
      <c r="O78" s="406"/>
    </row>
    <row r="79" spans="2:15" ht="30" customHeight="1" x14ac:dyDescent="0.25">
      <c r="B79" s="71">
        <v>11</v>
      </c>
      <c r="C79" s="405" t="str">
        <f>"Parameters for " &amp; N$7</f>
        <v>Parameters for Heater Treater</v>
      </c>
      <c r="D79" s="406"/>
      <c r="E79" s="406"/>
      <c r="F79" s="406"/>
      <c r="G79" s="406"/>
      <c r="H79" s="406"/>
      <c r="I79" s="406"/>
      <c r="J79" s="406"/>
      <c r="K79" s="406"/>
      <c r="L79" s="406"/>
      <c r="M79" s="406"/>
      <c r="N79" s="406"/>
      <c r="O79" s="406"/>
    </row>
    <row r="94" spans="2:2" x14ac:dyDescent="0.25">
      <c r="B94" s="203"/>
    </row>
    <row r="95" spans="2:2" x14ac:dyDescent="0.25">
      <c r="B95" s="203"/>
    </row>
    <row r="96" spans="2:2" x14ac:dyDescent="0.25">
      <c r="B96" s="203"/>
    </row>
    <row r="97" spans="2:2" x14ac:dyDescent="0.25">
      <c r="B97" s="203"/>
    </row>
    <row r="98" spans="2:2" x14ac:dyDescent="0.25">
      <c r="B98" s="203"/>
    </row>
    <row r="99" spans="2:2" x14ac:dyDescent="0.25">
      <c r="B99" s="203"/>
    </row>
    <row r="100" spans="2:2" x14ac:dyDescent="0.25">
      <c r="B100" s="203"/>
    </row>
    <row r="101" spans="2:2" x14ac:dyDescent="0.25">
      <c r="B101" s="203"/>
    </row>
    <row r="102" spans="2:2" x14ac:dyDescent="0.25">
      <c r="B102" s="203"/>
    </row>
    <row r="103" spans="2:2" x14ac:dyDescent="0.25">
      <c r="B103" s="203"/>
    </row>
    <row r="104" spans="2:2" x14ac:dyDescent="0.25">
      <c r="B104" s="203"/>
    </row>
    <row r="105" spans="2:2" x14ac:dyDescent="0.25">
      <c r="B105" s="203"/>
    </row>
    <row r="106" spans="2:2" x14ac:dyDescent="0.25">
      <c r="B106" s="203"/>
    </row>
    <row r="107" spans="2:2" x14ac:dyDescent="0.25">
      <c r="B107" s="203"/>
    </row>
    <row r="108" spans="2:2" x14ac:dyDescent="0.25">
      <c r="B108" s="203"/>
    </row>
    <row r="109" spans="2:2" x14ac:dyDescent="0.25">
      <c r="B109" s="203"/>
    </row>
    <row r="110" spans="2:2" x14ac:dyDescent="0.25">
      <c r="B110" s="203"/>
    </row>
    <row r="111" spans="2:2" x14ac:dyDescent="0.25">
      <c r="B111" s="203"/>
    </row>
    <row r="112" spans="2:2" x14ac:dyDescent="0.25">
      <c r="B112" s="203"/>
    </row>
    <row r="113" spans="2:2" x14ac:dyDescent="0.25">
      <c r="B113" s="203"/>
    </row>
    <row r="114" spans="2:2" x14ac:dyDescent="0.25">
      <c r="B114" s="203"/>
    </row>
    <row r="115" spans="2:2" x14ac:dyDescent="0.25">
      <c r="B115" s="203"/>
    </row>
    <row r="116" spans="2:2" x14ac:dyDescent="0.25">
      <c r="B116" s="203"/>
    </row>
    <row r="117" spans="2:2" x14ac:dyDescent="0.25">
      <c r="B117" s="203"/>
    </row>
    <row r="118" spans="2:2" x14ac:dyDescent="0.25">
      <c r="B118" s="203"/>
    </row>
    <row r="119" spans="2:2" x14ac:dyDescent="0.25">
      <c r="B119" s="203"/>
    </row>
    <row r="120" spans="2:2" x14ac:dyDescent="0.25">
      <c r="B120" s="203"/>
    </row>
  </sheetData>
  <mergeCells count="17">
    <mergeCell ref="A1:R1"/>
    <mergeCell ref="C76:O76"/>
    <mergeCell ref="C71:O71"/>
    <mergeCell ref="C72:O72"/>
    <mergeCell ref="C73:O73"/>
    <mergeCell ref="C74:O74"/>
    <mergeCell ref="C75:O75"/>
    <mergeCell ref="D2:N2"/>
    <mergeCell ref="D6:N6"/>
    <mergeCell ref="B2:B7"/>
    <mergeCell ref="O2:O7"/>
    <mergeCell ref="C68:O68"/>
    <mergeCell ref="C77:O77"/>
    <mergeCell ref="C78:O78"/>
    <mergeCell ref="C79:O79"/>
    <mergeCell ref="C69:O69"/>
    <mergeCell ref="C70:O7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30" customWidth="1"/>
    <col min="2" max="10" width="31.42578125" style="129" customWidth="1"/>
    <col min="11" max="27" width="36.85546875" style="129" customWidth="1"/>
    <col min="28" max="28" width="37" style="129" customWidth="1"/>
    <col min="29" max="35" width="36.85546875" style="129" customWidth="1"/>
    <col min="36" max="44" width="36.85546875" style="130" customWidth="1"/>
    <col min="45" max="45" width="37.140625" style="130" customWidth="1"/>
    <col min="46" max="47" width="36.85546875" style="130" customWidth="1"/>
    <col min="48" max="48" width="36.5703125" style="130" customWidth="1"/>
    <col min="49" max="50" width="36.85546875" style="130" customWidth="1"/>
    <col min="51" max="51" width="36.5703125" style="130" customWidth="1"/>
    <col min="52" max="52" width="37" style="130" customWidth="1"/>
    <col min="53" max="71" width="36.85546875" style="130" customWidth="1"/>
    <col min="72" max="72" width="37" style="130" customWidth="1"/>
    <col min="73" max="90" width="36.85546875" style="130" customWidth="1"/>
    <col min="91" max="91" width="36.5703125" style="130" customWidth="1"/>
    <col min="92" max="104" width="36.85546875" style="130" customWidth="1"/>
    <col min="105" max="105" width="36.5703125" style="130" customWidth="1"/>
    <col min="106" max="108" width="36.85546875" style="130" customWidth="1"/>
    <col min="109" max="109" width="36.5703125" style="130" customWidth="1"/>
    <col min="110" max="117" width="36.85546875" style="130" customWidth="1"/>
    <col min="118" max="118" width="36.5703125" style="130" customWidth="1"/>
    <col min="119" max="256" width="36.85546875" style="130"/>
    <col min="257" max="257" width="18.5703125" style="130" customWidth="1"/>
    <col min="258" max="266" width="31.42578125" style="130" customWidth="1"/>
    <col min="267" max="283" width="36.85546875" style="130" customWidth="1"/>
    <col min="284" max="284" width="37" style="130" customWidth="1"/>
    <col min="285" max="300" width="36.85546875" style="130" customWidth="1"/>
    <col min="301" max="301" width="37.140625" style="130" customWidth="1"/>
    <col min="302" max="303" width="36.85546875" style="130" customWidth="1"/>
    <col min="304" max="304" width="36.5703125" style="130" customWidth="1"/>
    <col min="305" max="306" width="36.85546875" style="130" customWidth="1"/>
    <col min="307" max="307" width="36.5703125" style="130" customWidth="1"/>
    <col min="308" max="308" width="37" style="130" customWidth="1"/>
    <col min="309" max="327" width="36.85546875" style="130" customWidth="1"/>
    <col min="328" max="328" width="37" style="130" customWidth="1"/>
    <col min="329" max="346" width="36.85546875" style="130" customWidth="1"/>
    <col min="347" max="347" width="36.5703125" style="130" customWidth="1"/>
    <col min="348" max="360" width="36.85546875" style="130" customWidth="1"/>
    <col min="361" max="361" width="36.5703125" style="130" customWidth="1"/>
    <col min="362" max="364" width="36.85546875" style="130" customWidth="1"/>
    <col min="365" max="365" width="36.5703125" style="130" customWidth="1"/>
    <col min="366" max="373" width="36.85546875" style="130" customWidth="1"/>
    <col min="374" max="374" width="36.5703125" style="130" customWidth="1"/>
    <col min="375" max="512" width="36.85546875" style="130"/>
    <col min="513" max="513" width="18.5703125" style="130" customWidth="1"/>
    <col min="514" max="522" width="31.42578125" style="130" customWidth="1"/>
    <col min="523" max="539" width="36.85546875" style="130" customWidth="1"/>
    <col min="540" max="540" width="37" style="130" customWidth="1"/>
    <col min="541" max="556" width="36.85546875" style="130" customWidth="1"/>
    <col min="557" max="557" width="37.140625" style="130" customWidth="1"/>
    <col min="558" max="559" width="36.85546875" style="130" customWidth="1"/>
    <col min="560" max="560" width="36.5703125" style="130" customWidth="1"/>
    <col min="561" max="562" width="36.85546875" style="130" customWidth="1"/>
    <col min="563" max="563" width="36.5703125" style="130" customWidth="1"/>
    <col min="564" max="564" width="37" style="130" customWidth="1"/>
    <col min="565" max="583" width="36.85546875" style="130" customWidth="1"/>
    <col min="584" max="584" width="37" style="130" customWidth="1"/>
    <col min="585" max="602" width="36.85546875" style="130" customWidth="1"/>
    <col min="603" max="603" width="36.5703125" style="130" customWidth="1"/>
    <col min="604" max="616" width="36.85546875" style="130" customWidth="1"/>
    <col min="617" max="617" width="36.5703125" style="130" customWidth="1"/>
    <col min="618" max="620" width="36.85546875" style="130" customWidth="1"/>
    <col min="621" max="621" width="36.5703125" style="130" customWidth="1"/>
    <col min="622" max="629" width="36.85546875" style="130" customWidth="1"/>
    <col min="630" max="630" width="36.5703125" style="130" customWidth="1"/>
    <col min="631" max="768" width="36.85546875" style="130"/>
    <col min="769" max="769" width="18.5703125" style="130" customWidth="1"/>
    <col min="770" max="778" width="31.42578125" style="130" customWidth="1"/>
    <col min="779" max="795" width="36.85546875" style="130" customWidth="1"/>
    <col min="796" max="796" width="37" style="130" customWidth="1"/>
    <col min="797" max="812" width="36.85546875" style="130" customWidth="1"/>
    <col min="813" max="813" width="37.140625" style="130" customWidth="1"/>
    <col min="814" max="815" width="36.85546875" style="130" customWidth="1"/>
    <col min="816" max="816" width="36.5703125" style="130" customWidth="1"/>
    <col min="817" max="818" width="36.85546875" style="130" customWidth="1"/>
    <col min="819" max="819" width="36.5703125" style="130" customWidth="1"/>
    <col min="820" max="820" width="37" style="130" customWidth="1"/>
    <col min="821" max="839" width="36.85546875" style="130" customWidth="1"/>
    <col min="840" max="840" width="37" style="130" customWidth="1"/>
    <col min="841" max="858" width="36.85546875" style="130" customWidth="1"/>
    <col min="859" max="859" width="36.5703125" style="130" customWidth="1"/>
    <col min="860" max="872" width="36.85546875" style="130" customWidth="1"/>
    <col min="873" max="873" width="36.5703125" style="130" customWidth="1"/>
    <col min="874" max="876" width="36.85546875" style="130" customWidth="1"/>
    <col min="877" max="877" width="36.5703125" style="130" customWidth="1"/>
    <col min="878" max="885" width="36.85546875" style="130" customWidth="1"/>
    <col min="886" max="886" width="36.5703125" style="130" customWidth="1"/>
    <col min="887" max="1024" width="36.85546875" style="130"/>
    <col min="1025" max="1025" width="18.5703125" style="130" customWidth="1"/>
    <col min="1026" max="1034" width="31.42578125" style="130" customWidth="1"/>
    <col min="1035" max="1051" width="36.85546875" style="130" customWidth="1"/>
    <col min="1052" max="1052" width="37" style="130" customWidth="1"/>
    <col min="1053" max="1068" width="36.85546875" style="130" customWidth="1"/>
    <col min="1069" max="1069" width="37.140625" style="130" customWidth="1"/>
    <col min="1070" max="1071" width="36.85546875" style="130" customWidth="1"/>
    <col min="1072" max="1072" width="36.5703125" style="130" customWidth="1"/>
    <col min="1073" max="1074" width="36.85546875" style="130" customWidth="1"/>
    <col min="1075" max="1075" width="36.5703125" style="130" customWidth="1"/>
    <col min="1076" max="1076" width="37" style="130" customWidth="1"/>
    <col min="1077" max="1095" width="36.85546875" style="130" customWidth="1"/>
    <col min="1096" max="1096" width="37" style="130" customWidth="1"/>
    <col min="1097" max="1114" width="36.85546875" style="130" customWidth="1"/>
    <col min="1115" max="1115" width="36.5703125" style="130" customWidth="1"/>
    <col min="1116" max="1128" width="36.85546875" style="130" customWidth="1"/>
    <col min="1129" max="1129" width="36.5703125" style="130" customWidth="1"/>
    <col min="1130" max="1132" width="36.85546875" style="130" customWidth="1"/>
    <col min="1133" max="1133" width="36.5703125" style="130" customWidth="1"/>
    <col min="1134" max="1141" width="36.85546875" style="130" customWidth="1"/>
    <col min="1142" max="1142" width="36.5703125" style="130" customWidth="1"/>
    <col min="1143" max="1280" width="36.85546875" style="130"/>
    <col min="1281" max="1281" width="18.5703125" style="130" customWidth="1"/>
    <col min="1282" max="1290" width="31.42578125" style="130" customWidth="1"/>
    <col min="1291" max="1307" width="36.85546875" style="130" customWidth="1"/>
    <col min="1308" max="1308" width="37" style="130" customWidth="1"/>
    <col min="1309" max="1324" width="36.85546875" style="130" customWidth="1"/>
    <col min="1325" max="1325" width="37.140625" style="130" customWidth="1"/>
    <col min="1326" max="1327" width="36.85546875" style="130" customWidth="1"/>
    <col min="1328" max="1328" width="36.5703125" style="130" customWidth="1"/>
    <col min="1329" max="1330" width="36.85546875" style="130" customWidth="1"/>
    <col min="1331" max="1331" width="36.5703125" style="130" customWidth="1"/>
    <col min="1332" max="1332" width="37" style="130" customWidth="1"/>
    <col min="1333" max="1351" width="36.85546875" style="130" customWidth="1"/>
    <col min="1352" max="1352" width="37" style="130" customWidth="1"/>
    <col min="1353" max="1370" width="36.85546875" style="130" customWidth="1"/>
    <col min="1371" max="1371" width="36.5703125" style="130" customWidth="1"/>
    <col min="1372" max="1384" width="36.85546875" style="130" customWidth="1"/>
    <col min="1385" max="1385" width="36.5703125" style="130" customWidth="1"/>
    <col min="1386" max="1388" width="36.85546875" style="130" customWidth="1"/>
    <col min="1389" max="1389" width="36.5703125" style="130" customWidth="1"/>
    <col min="1390" max="1397" width="36.85546875" style="130" customWidth="1"/>
    <col min="1398" max="1398" width="36.5703125" style="130" customWidth="1"/>
    <col min="1399" max="1536" width="36.85546875" style="130"/>
    <col min="1537" max="1537" width="18.5703125" style="130" customWidth="1"/>
    <col min="1538" max="1546" width="31.42578125" style="130" customWidth="1"/>
    <col min="1547" max="1563" width="36.85546875" style="130" customWidth="1"/>
    <col min="1564" max="1564" width="37" style="130" customWidth="1"/>
    <col min="1565" max="1580" width="36.85546875" style="130" customWidth="1"/>
    <col min="1581" max="1581" width="37.140625" style="130" customWidth="1"/>
    <col min="1582" max="1583" width="36.85546875" style="130" customWidth="1"/>
    <col min="1584" max="1584" width="36.5703125" style="130" customWidth="1"/>
    <col min="1585" max="1586" width="36.85546875" style="130" customWidth="1"/>
    <col min="1587" max="1587" width="36.5703125" style="130" customWidth="1"/>
    <col min="1588" max="1588" width="37" style="130" customWidth="1"/>
    <col min="1589" max="1607" width="36.85546875" style="130" customWidth="1"/>
    <col min="1608" max="1608" width="37" style="130" customWidth="1"/>
    <col min="1609" max="1626" width="36.85546875" style="130" customWidth="1"/>
    <col min="1627" max="1627" width="36.5703125" style="130" customWidth="1"/>
    <col min="1628" max="1640" width="36.85546875" style="130" customWidth="1"/>
    <col min="1641" max="1641" width="36.5703125" style="130" customWidth="1"/>
    <col min="1642" max="1644" width="36.85546875" style="130" customWidth="1"/>
    <col min="1645" max="1645" width="36.5703125" style="130" customWidth="1"/>
    <col min="1646" max="1653" width="36.85546875" style="130" customWidth="1"/>
    <col min="1654" max="1654" width="36.5703125" style="130" customWidth="1"/>
    <col min="1655" max="1792" width="36.85546875" style="130"/>
    <col min="1793" max="1793" width="18.5703125" style="130" customWidth="1"/>
    <col min="1794" max="1802" width="31.42578125" style="130" customWidth="1"/>
    <col min="1803" max="1819" width="36.85546875" style="130" customWidth="1"/>
    <col min="1820" max="1820" width="37" style="130" customWidth="1"/>
    <col min="1821" max="1836" width="36.85546875" style="130" customWidth="1"/>
    <col min="1837" max="1837" width="37.140625" style="130" customWidth="1"/>
    <col min="1838" max="1839" width="36.85546875" style="130" customWidth="1"/>
    <col min="1840" max="1840" width="36.5703125" style="130" customWidth="1"/>
    <col min="1841" max="1842" width="36.85546875" style="130" customWidth="1"/>
    <col min="1843" max="1843" width="36.5703125" style="130" customWidth="1"/>
    <col min="1844" max="1844" width="37" style="130" customWidth="1"/>
    <col min="1845" max="1863" width="36.85546875" style="130" customWidth="1"/>
    <col min="1864" max="1864" width="37" style="130" customWidth="1"/>
    <col min="1865" max="1882" width="36.85546875" style="130" customWidth="1"/>
    <col min="1883" max="1883" width="36.5703125" style="130" customWidth="1"/>
    <col min="1884" max="1896" width="36.85546875" style="130" customWidth="1"/>
    <col min="1897" max="1897" width="36.5703125" style="130" customWidth="1"/>
    <col min="1898" max="1900" width="36.85546875" style="130" customWidth="1"/>
    <col min="1901" max="1901" width="36.5703125" style="130" customWidth="1"/>
    <col min="1902" max="1909" width="36.85546875" style="130" customWidth="1"/>
    <col min="1910" max="1910" width="36.5703125" style="130" customWidth="1"/>
    <col min="1911" max="2048" width="36.85546875" style="130"/>
    <col min="2049" max="2049" width="18.5703125" style="130" customWidth="1"/>
    <col min="2050" max="2058" width="31.42578125" style="130" customWidth="1"/>
    <col min="2059" max="2075" width="36.85546875" style="130" customWidth="1"/>
    <col min="2076" max="2076" width="37" style="130" customWidth="1"/>
    <col min="2077" max="2092" width="36.85546875" style="130" customWidth="1"/>
    <col min="2093" max="2093" width="37.140625" style="130" customWidth="1"/>
    <col min="2094" max="2095" width="36.85546875" style="130" customWidth="1"/>
    <col min="2096" max="2096" width="36.5703125" style="130" customWidth="1"/>
    <col min="2097" max="2098" width="36.85546875" style="130" customWidth="1"/>
    <col min="2099" max="2099" width="36.5703125" style="130" customWidth="1"/>
    <col min="2100" max="2100" width="37" style="130" customWidth="1"/>
    <col min="2101" max="2119" width="36.85546875" style="130" customWidth="1"/>
    <col min="2120" max="2120" width="37" style="130" customWidth="1"/>
    <col min="2121" max="2138" width="36.85546875" style="130" customWidth="1"/>
    <col min="2139" max="2139" width="36.5703125" style="130" customWidth="1"/>
    <col min="2140" max="2152" width="36.85546875" style="130" customWidth="1"/>
    <col min="2153" max="2153" width="36.5703125" style="130" customWidth="1"/>
    <col min="2154" max="2156" width="36.85546875" style="130" customWidth="1"/>
    <col min="2157" max="2157" width="36.5703125" style="130" customWidth="1"/>
    <col min="2158" max="2165" width="36.85546875" style="130" customWidth="1"/>
    <col min="2166" max="2166" width="36.5703125" style="130" customWidth="1"/>
    <col min="2167" max="2304" width="36.85546875" style="130"/>
    <col min="2305" max="2305" width="18.5703125" style="130" customWidth="1"/>
    <col min="2306" max="2314" width="31.42578125" style="130" customWidth="1"/>
    <col min="2315" max="2331" width="36.85546875" style="130" customWidth="1"/>
    <col min="2332" max="2332" width="37" style="130" customWidth="1"/>
    <col min="2333" max="2348" width="36.85546875" style="130" customWidth="1"/>
    <col min="2349" max="2349" width="37.140625" style="130" customWidth="1"/>
    <col min="2350" max="2351" width="36.85546875" style="130" customWidth="1"/>
    <col min="2352" max="2352" width="36.5703125" style="130" customWidth="1"/>
    <col min="2353" max="2354" width="36.85546875" style="130" customWidth="1"/>
    <col min="2355" max="2355" width="36.5703125" style="130" customWidth="1"/>
    <col min="2356" max="2356" width="37" style="130" customWidth="1"/>
    <col min="2357" max="2375" width="36.85546875" style="130" customWidth="1"/>
    <col min="2376" max="2376" width="37" style="130" customWidth="1"/>
    <col min="2377" max="2394" width="36.85546875" style="130" customWidth="1"/>
    <col min="2395" max="2395" width="36.5703125" style="130" customWidth="1"/>
    <col min="2396" max="2408" width="36.85546875" style="130" customWidth="1"/>
    <col min="2409" max="2409" width="36.5703125" style="130" customWidth="1"/>
    <col min="2410" max="2412" width="36.85546875" style="130" customWidth="1"/>
    <col min="2413" max="2413" width="36.5703125" style="130" customWidth="1"/>
    <col min="2414" max="2421" width="36.85546875" style="130" customWidth="1"/>
    <col min="2422" max="2422" width="36.5703125" style="130" customWidth="1"/>
    <col min="2423" max="2560" width="36.85546875" style="130"/>
    <col min="2561" max="2561" width="18.5703125" style="130" customWidth="1"/>
    <col min="2562" max="2570" width="31.42578125" style="130" customWidth="1"/>
    <col min="2571" max="2587" width="36.85546875" style="130" customWidth="1"/>
    <col min="2588" max="2588" width="37" style="130" customWidth="1"/>
    <col min="2589" max="2604" width="36.85546875" style="130" customWidth="1"/>
    <col min="2605" max="2605" width="37.140625" style="130" customWidth="1"/>
    <col min="2606" max="2607" width="36.85546875" style="130" customWidth="1"/>
    <col min="2608" max="2608" width="36.5703125" style="130" customWidth="1"/>
    <col min="2609" max="2610" width="36.85546875" style="130" customWidth="1"/>
    <col min="2611" max="2611" width="36.5703125" style="130" customWidth="1"/>
    <col min="2612" max="2612" width="37" style="130" customWidth="1"/>
    <col min="2613" max="2631" width="36.85546875" style="130" customWidth="1"/>
    <col min="2632" max="2632" width="37" style="130" customWidth="1"/>
    <col min="2633" max="2650" width="36.85546875" style="130" customWidth="1"/>
    <col min="2651" max="2651" width="36.5703125" style="130" customWidth="1"/>
    <col min="2652" max="2664" width="36.85546875" style="130" customWidth="1"/>
    <col min="2665" max="2665" width="36.5703125" style="130" customWidth="1"/>
    <col min="2666" max="2668" width="36.85546875" style="130" customWidth="1"/>
    <col min="2669" max="2669" width="36.5703125" style="130" customWidth="1"/>
    <col min="2670" max="2677" width="36.85546875" style="130" customWidth="1"/>
    <col min="2678" max="2678" width="36.5703125" style="130" customWidth="1"/>
    <col min="2679" max="2816" width="36.85546875" style="130"/>
    <col min="2817" max="2817" width="18.5703125" style="130" customWidth="1"/>
    <col min="2818" max="2826" width="31.42578125" style="130" customWidth="1"/>
    <col min="2827" max="2843" width="36.85546875" style="130" customWidth="1"/>
    <col min="2844" max="2844" width="37" style="130" customWidth="1"/>
    <col min="2845" max="2860" width="36.85546875" style="130" customWidth="1"/>
    <col min="2861" max="2861" width="37.140625" style="130" customWidth="1"/>
    <col min="2862" max="2863" width="36.85546875" style="130" customWidth="1"/>
    <col min="2864" max="2864" width="36.5703125" style="130" customWidth="1"/>
    <col min="2865" max="2866" width="36.85546875" style="130" customWidth="1"/>
    <col min="2867" max="2867" width="36.5703125" style="130" customWidth="1"/>
    <col min="2868" max="2868" width="37" style="130" customWidth="1"/>
    <col min="2869" max="2887" width="36.85546875" style="130" customWidth="1"/>
    <col min="2888" max="2888" width="37" style="130" customWidth="1"/>
    <col min="2889" max="2906" width="36.85546875" style="130" customWidth="1"/>
    <col min="2907" max="2907" width="36.5703125" style="130" customWidth="1"/>
    <col min="2908" max="2920" width="36.85546875" style="130" customWidth="1"/>
    <col min="2921" max="2921" width="36.5703125" style="130" customWidth="1"/>
    <col min="2922" max="2924" width="36.85546875" style="130" customWidth="1"/>
    <col min="2925" max="2925" width="36.5703125" style="130" customWidth="1"/>
    <col min="2926" max="2933" width="36.85546875" style="130" customWidth="1"/>
    <col min="2934" max="2934" width="36.5703125" style="130" customWidth="1"/>
    <col min="2935" max="3072" width="36.85546875" style="130"/>
    <col min="3073" max="3073" width="18.5703125" style="130" customWidth="1"/>
    <col min="3074" max="3082" width="31.42578125" style="130" customWidth="1"/>
    <col min="3083" max="3099" width="36.85546875" style="130" customWidth="1"/>
    <col min="3100" max="3100" width="37" style="130" customWidth="1"/>
    <col min="3101" max="3116" width="36.85546875" style="130" customWidth="1"/>
    <col min="3117" max="3117" width="37.140625" style="130" customWidth="1"/>
    <col min="3118" max="3119" width="36.85546875" style="130" customWidth="1"/>
    <col min="3120" max="3120" width="36.5703125" style="130" customWidth="1"/>
    <col min="3121" max="3122" width="36.85546875" style="130" customWidth="1"/>
    <col min="3123" max="3123" width="36.5703125" style="130" customWidth="1"/>
    <col min="3124" max="3124" width="37" style="130" customWidth="1"/>
    <col min="3125" max="3143" width="36.85546875" style="130" customWidth="1"/>
    <col min="3144" max="3144" width="37" style="130" customWidth="1"/>
    <col min="3145" max="3162" width="36.85546875" style="130" customWidth="1"/>
    <col min="3163" max="3163" width="36.5703125" style="130" customWidth="1"/>
    <col min="3164" max="3176" width="36.85546875" style="130" customWidth="1"/>
    <col min="3177" max="3177" width="36.5703125" style="130" customWidth="1"/>
    <col min="3178" max="3180" width="36.85546875" style="130" customWidth="1"/>
    <col min="3181" max="3181" width="36.5703125" style="130" customWidth="1"/>
    <col min="3182" max="3189" width="36.85546875" style="130" customWidth="1"/>
    <col min="3190" max="3190" width="36.5703125" style="130" customWidth="1"/>
    <col min="3191" max="3328" width="36.85546875" style="130"/>
    <col min="3329" max="3329" width="18.5703125" style="130" customWidth="1"/>
    <col min="3330" max="3338" width="31.42578125" style="130" customWidth="1"/>
    <col min="3339" max="3355" width="36.85546875" style="130" customWidth="1"/>
    <col min="3356" max="3356" width="37" style="130" customWidth="1"/>
    <col min="3357" max="3372" width="36.85546875" style="130" customWidth="1"/>
    <col min="3373" max="3373" width="37.140625" style="130" customWidth="1"/>
    <col min="3374" max="3375" width="36.85546875" style="130" customWidth="1"/>
    <col min="3376" max="3376" width="36.5703125" style="130" customWidth="1"/>
    <col min="3377" max="3378" width="36.85546875" style="130" customWidth="1"/>
    <col min="3379" max="3379" width="36.5703125" style="130" customWidth="1"/>
    <col min="3380" max="3380" width="37" style="130" customWidth="1"/>
    <col min="3381" max="3399" width="36.85546875" style="130" customWidth="1"/>
    <col min="3400" max="3400" width="37" style="130" customWidth="1"/>
    <col min="3401" max="3418" width="36.85546875" style="130" customWidth="1"/>
    <col min="3419" max="3419" width="36.5703125" style="130" customWidth="1"/>
    <col min="3420" max="3432" width="36.85546875" style="130" customWidth="1"/>
    <col min="3433" max="3433" width="36.5703125" style="130" customWidth="1"/>
    <col min="3434" max="3436" width="36.85546875" style="130" customWidth="1"/>
    <col min="3437" max="3437" width="36.5703125" style="130" customWidth="1"/>
    <col min="3438" max="3445" width="36.85546875" style="130" customWidth="1"/>
    <col min="3446" max="3446" width="36.5703125" style="130" customWidth="1"/>
    <col min="3447" max="3584" width="36.85546875" style="130"/>
    <col min="3585" max="3585" width="18.5703125" style="130" customWidth="1"/>
    <col min="3586" max="3594" width="31.42578125" style="130" customWidth="1"/>
    <col min="3595" max="3611" width="36.85546875" style="130" customWidth="1"/>
    <col min="3612" max="3612" width="37" style="130" customWidth="1"/>
    <col min="3613" max="3628" width="36.85546875" style="130" customWidth="1"/>
    <col min="3629" max="3629" width="37.140625" style="130" customWidth="1"/>
    <col min="3630" max="3631" width="36.85546875" style="130" customWidth="1"/>
    <col min="3632" max="3632" width="36.5703125" style="130" customWidth="1"/>
    <col min="3633" max="3634" width="36.85546875" style="130" customWidth="1"/>
    <col min="3635" max="3635" width="36.5703125" style="130" customWidth="1"/>
    <col min="3636" max="3636" width="37" style="130" customWidth="1"/>
    <col min="3637" max="3655" width="36.85546875" style="130" customWidth="1"/>
    <col min="3656" max="3656" width="37" style="130" customWidth="1"/>
    <col min="3657" max="3674" width="36.85546875" style="130" customWidth="1"/>
    <col min="3675" max="3675" width="36.5703125" style="130" customWidth="1"/>
    <col min="3676" max="3688" width="36.85546875" style="130" customWidth="1"/>
    <col min="3689" max="3689" width="36.5703125" style="130" customWidth="1"/>
    <col min="3690" max="3692" width="36.85546875" style="130" customWidth="1"/>
    <col min="3693" max="3693" width="36.5703125" style="130" customWidth="1"/>
    <col min="3694" max="3701" width="36.85546875" style="130" customWidth="1"/>
    <col min="3702" max="3702" width="36.5703125" style="130" customWidth="1"/>
    <col min="3703" max="3840" width="36.85546875" style="130"/>
    <col min="3841" max="3841" width="18.5703125" style="130" customWidth="1"/>
    <col min="3842" max="3850" width="31.42578125" style="130" customWidth="1"/>
    <col min="3851" max="3867" width="36.85546875" style="130" customWidth="1"/>
    <col min="3868" max="3868" width="37" style="130" customWidth="1"/>
    <col min="3869" max="3884" width="36.85546875" style="130" customWidth="1"/>
    <col min="3885" max="3885" width="37.140625" style="130" customWidth="1"/>
    <col min="3886" max="3887" width="36.85546875" style="130" customWidth="1"/>
    <col min="3888" max="3888" width="36.5703125" style="130" customWidth="1"/>
    <col min="3889" max="3890" width="36.85546875" style="130" customWidth="1"/>
    <col min="3891" max="3891" width="36.5703125" style="130" customWidth="1"/>
    <col min="3892" max="3892" width="37" style="130" customWidth="1"/>
    <col min="3893" max="3911" width="36.85546875" style="130" customWidth="1"/>
    <col min="3912" max="3912" width="37" style="130" customWidth="1"/>
    <col min="3913" max="3930" width="36.85546875" style="130" customWidth="1"/>
    <col min="3931" max="3931" width="36.5703125" style="130" customWidth="1"/>
    <col min="3932" max="3944" width="36.85546875" style="130" customWidth="1"/>
    <col min="3945" max="3945" width="36.5703125" style="130" customWidth="1"/>
    <col min="3946" max="3948" width="36.85546875" style="130" customWidth="1"/>
    <col min="3949" max="3949" width="36.5703125" style="130" customWidth="1"/>
    <col min="3950" max="3957" width="36.85546875" style="130" customWidth="1"/>
    <col min="3958" max="3958" width="36.5703125" style="130" customWidth="1"/>
    <col min="3959" max="4096" width="36.85546875" style="130"/>
    <col min="4097" max="4097" width="18.5703125" style="130" customWidth="1"/>
    <col min="4098" max="4106" width="31.42578125" style="130" customWidth="1"/>
    <col min="4107" max="4123" width="36.85546875" style="130" customWidth="1"/>
    <col min="4124" max="4124" width="37" style="130" customWidth="1"/>
    <col min="4125" max="4140" width="36.85546875" style="130" customWidth="1"/>
    <col min="4141" max="4141" width="37.140625" style="130" customWidth="1"/>
    <col min="4142" max="4143" width="36.85546875" style="130" customWidth="1"/>
    <col min="4144" max="4144" width="36.5703125" style="130" customWidth="1"/>
    <col min="4145" max="4146" width="36.85546875" style="130" customWidth="1"/>
    <col min="4147" max="4147" width="36.5703125" style="130" customWidth="1"/>
    <col min="4148" max="4148" width="37" style="130" customWidth="1"/>
    <col min="4149" max="4167" width="36.85546875" style="130" customWidth="1"/>
    <col min="4168" max="4168" width="37" style="130" customWidth="1"/>
    <col min="4169" max="4186" width="36.85546875" style="130" customWidth="1"/>
    <col min="4187" max="4187" width="36.5703125" style="130" customWidth="1"/>
    <col min="4188" max="4200" width="36.85546875" style="130" customWidth="1"/>
    <col min="4201" max="4201" width="36.5703125" style="130" customWidth="1"/>
    <col min="4202" max="4204" width="36.85546875" style="130" customWidth="1"/>
    <col min="4205" max="4205" width="36.5703125" style="130" customWidth="1"/>
    <col min="4206" max="4213" width="36.85546875" style="130" customWidth="1"/>
    <col min="4214" max="4214" width="36.5703125" style="130" customWidth="1"/>
    <col min="4215" max="4352" width="36.85546875" style="130"/>
    <col min="4353" max="4353" width="18.5703125" style="130" customWidth="1"/>
    <col min="4354" max="4362" width="31.42578125" style="130" customWidth="1"/>
    <col min="4363" max="4379" width="36.85546875" style="130" customWidth="1"/>
    <col min="4380" max="4380" width="37" style="130" customWidth="1"/>
    <col min="4381" max="4396" width="36.85546875" style="130" customWidth="1"/>
    <col min="4397" max="4397" width="37.140625" style="130" customWidth="1"/>
    <col min="4398" max="4399" width="36.85546875" style="130" customWidth="1"/>
    <col min="4400" max="4400" width="36.5703125" style="130" customWidth="1"/>
    <col min="4401" max="4402" width="36.85546875" style="130" customWidth="1"/>
    <col min="4403" max="4403" width="36.5703125" style="130" customWidth="1"/>
    <col min="4404" max="4404" width="37" style="130" customWidth="1"/>
    <col min="4405" max="4423" width="36.85546875" style="130" customWidth="1"/>
    <col min="4424" max="4424" width="37" style="130" customWidth="1"/>
    <col min="4425" max="4442" width="36.85546875" style="130" customWidth="1"/>
    <col min="4443" max="4443" width="36.5703125" style="130" customWidth="1"/>
    <col min="4444" max="4456" width="36.85546875" style="130" customWidth="1"/>
    <col min="4457" max="4457" width="36.5703125" style="130" customWidth="1"/>
    <col min="4458" max="4460" width="36.85546875" style="130" customWidth="1"/>
    <col min="4461" max="4461" width="36.5703125" style="130" customWidth="1"/>
    <col min="4462" max="4469" width="36.85546875" style="130" customWidth="1"/>
    <col min="4470" max="4470" width="36.5703125" style="130" customWidth="1"/>
    <col min="4471" max="4608" width="36.85546875" style="130"/>
    <col min="4609" max="4609" width="18.5703125" style="130" customWidth="1"/>
    <col min="4610" max="4618" width="31.42578125" style="130" customWidth="1"/>
    <col min="4619" max="4635" width="36.85546875" style="130" customWidth="1"/>
    <col min="4636" max="4636" width="37" style="130" customWidth="1"/>
    <col min="4637" max="4652" width="36.85546875" style="130" customWidth="1"/>
    <col min="4653" max="4653" width="37.140625" style="130" customWidth="1"/>
    <col min="4654" max="4655" width="36.85546875" style="130" customWidth="1"/>
    <col min="4656" max="4656" width="36.5703125" style="130" customWidth="1"/>
    <col min="4657" max="4658" width="36.85546875" style="130" customWidth="1"/>
    <col min="4659" max="4659" width="36.5703125" style="130" customWidth="1"/>
    <col min="4660" max="4660" width="37" style="130" customWidth="1"/>
    <col min="4661" max="4679" width="36.85546875" style="130" customWidth="1"/>
    <col min="4680" max="4680" width="37" style="130" customWidth="1"/>
    <col min="4681" max="4698" width="36.85546875" style="130" customWidth="1"/>
    <col min="4699" max="4699" width="36.5703125" style="130" customWidth="1"/>
    <col min="4700" max="4712" width="36.85546875" style="130" customWidth="1"/>
    <col min="4713" max="4713" width="36.5703125" style="130" customWidth="1"/>
    <col min="4714" max="4716" width="36.85546875" style="130" customWidth="1"/>
    <col min="4717" max="4717" width="36.5703125" style="130" customWidth="1"/>
    <col min="4718" max="4725" width="36.85546875" style="130" customWidth="1"/>
    <col min="4726" max="4726" width="36.5703125" style="130" customWidth="1"/>
    <col min="4727" max="4864" width="36.85546875" style="130"/>
    <col min="4865" max="4865" width="18.5703125" style="130" customWidth="1"/>
    <col min="4866" max="4874" width="31.42578125" style="130" customWidth="1"/>
    <col min="4875" max="4891" width="36.85546875" style="130" customWidth="1"/>
    <col min="4892" max="4892" width="37" style="130" customWidth="1"/>
    <col min="4893" max="4908" width="36.85546875" style="130" customWidth="1"/>
    <col min="4909" max="4909" width="37.140625" style="130" customWidth="1"/>
    <col min="4910" max="4911" width="36.85546875" style="130" customWidth="1"/>
    <col min="4912" max="4912" width="36.5703125" style="130" customWidth="1"/>
    <col min="4913" max="4914" width="36.85546875" style="130" customWidth="1"/>
    <col min="4915" max="4915" width="36.5703125" style="130" customWidth="1"/>
    <col min="4916" max="4916" width="37" style="130" customWidth="1"/>
    <col min="4917" max="4935" width="36.85546875" style="130" customWidth="1"/>
    <col min="4936" max="4936" width="37" style="130" customWidth="1"/>
    <col min="4937" max="4954" width="36.85546875" style="130" customWidth="1"/>
    <col min="4955" max="4955" width="36.5703125" style="130" customWidth="1"/>
    <col min="4956" max="4968" width="36.85546875" style="130" customWidth="1"/>
    <col min="4969" max="4969" width="36.5703125" style="130" customWidth="1"/>
    <col min="4970" max="4972" width="36.85546875" style="130" customWidth="1"/>
    <col min="4973" max="4973" width="36.5703125" style="130" customWidth="1"/>
    <col min="4974" max="4981" width="36.85546875" style="130" customWidth="1"/>
    <col min="4982" max="4982" width="36.5703125" style="130" customWidth="1"/>
    <col min="4983" max="5120" width="36.85546875" style="130"/>
    <col min="5121" max="5121" width="18.5703125" style="130" customWidth="1"/>
    <col min="5122" max="5130" width="31.42578125" style="130" customWidth="1"/>
    <col min="5131" max="5147" width="36.85546875" style="130" customWidth="1"/>
    <col min="5148" max="5148" width="37" style="130" customWidth="1"/>
    <col min="5149" max="5164" width="36.85546875" style="130" customWidth="1"/>
    <col min="5165" max="5165" width="37.140625" style="130" customWidth="1"/>
    <col min="5166" max="5167" width="36.85546875" style="130" customWidth="1"/>
    <col min="5168" max="5168" width="36.5703125" style="130" customWidth="1"/>
    <col min="5169" max="5170" width="36.85546875" style="130" customWidth="1"/>
    <col min="5171" max="5171" width="36.5703125" style="130" customWidth="1"/>
    <col min="5172" max="5172" width="37" style="130" customWidth="1"/>
    <col min="5173" max="5191" width="36.85546875" style="130" customWidth="1"/>
    <col min="5192" max="5192" width="37" style="130" customWidth="1"/>
    <col min="5193" max="5210" width="36.85546875" style="130" customWidth="1"/>
    <col min="5211" max="5211" width="36.5703125" style="130" customWidth="1"/>
    <col min="5212" max="5224" width="36.85546875" style="130" customWidth="1"/>
    <col min="5225" max="5225" width="36.5703125" style="130" customWidth="1"/>
    <col min="5226" max="5228" width="36.85546875" style="130" customWidth="1"/>
    <col min="5229" max="5229" width="36.5703125" style="130" customWidth="1"/>
    <col min="5230" max="5237" width="36.85546875" style="130" customWidth="1"/>
    <col min="5238" max="5238" width="36.5703125" style="130" customWidth="1"/>
    <col min="5239" max="5376" width="36.85546875" style="130"/>
    <col min="5377" max="5377" width="18.5703125" style="130" customWidth="1"/>
    <col min="5378" max="5386" width="31.42578125" style="130" customWidth="1"/>
    <col min="5387" max="5403" width="36.85546875" style="130" customWidth="1"/>
    <col min="5404" max="5404" width="37" style="130" customWidth="1"/>
    <col min="5405" max="5420" width="36.85546875" style="130" customWidth="1"/>
    <col min="5421" max="5421" width="37.140625" style="130" customWidth="1"/>
    <col min="5422" max="5423" width="36.85546875" style="130" customWidth="1"/>
    <col min="5424" max="5424" width="36.5703125" style="130" customWidth="1"/>
    <col min="5425" max="5426" width="36.85546875" style="130" customWidth="1"/>
    <col min="5427" max="5427" width="36.5703125" style="130" customWidth="1"/>
    <col min="5428" max="5428" width="37" style="130" customWidth="1"/>
    <col min="5429" max="5447" width="36.85546875" style="130" customWidth="1"/>
    <col min="5448" max="5448" width="37" style="130" customWidth="1"/>
    <col min="5449" max="5466" width="36.85546875" style="130" customWidth="1"/>
    <col min="5467" max="5467" width="36.5703125" style="130" customWidth="1"/>
    <col min="5468" max="5480" width="36.85546875" style="130" customWidth="1"/>
    <col min="5481" max="5481" width="36.5703125" style="130" customWidth="1"/>
    <col min="5482" max="5484" width="36.85546875" style="130" customWidth="1"/>
    <col min="5485" max="5485" width="36.5703125" style="130" customWidth="1"/>
    <col min="5486" max="5493" width="36.85546875" style="130" customWidth="1"/>
    <col min="5494" max="5494" width="36.5703125" style="130" customWidth="1"/>
    <col min="5495" max="5632" width="36.85546875" style="130"/>
    <col min="5633" max="5633" width="18.5703125" style="130" customWidth="1"/>
    <col min="5634" max="5642" width="31.42578125" style="130" customWidth="1"/>
    <col min="5643" max="5659" width="36.85546875" style="130" customWidth="1"/>
    <col min="5660" max="5660" width="37" style="130" customWidth="1"/>
    <col min="5661" max="5676" width="36.85546875" style="130" customWidth="1"/>
    <col min="5677" max="5677" width="37.140625" style="130" customWidth="1"/>
    <col min="5678" max="5679" width="36.85546875" style="130" customWidth="1"/>
    <col min="5680" max="5680" width="36.5703125" style="130" customWidth="1"/>
    <col min="5681" max="5682" width="36.85546875" style="130" customWidth="1"/>
    <col min="5683" max="5683" width="36.5703125" style="130" customWidth="1"/>
    <col min="5684" max="5684" width="37" style="130" customWidth="1"/>
    <col min="5685" max="5703" width="36.85546875" style="130" customWidth="1"/>
    <col min="5704" max="5704" width="37" style="130" customWidth="1"/>
    <col min="5705" max="5722" width="36.85546875" style="130" customWidth="1"/>
    <col min="5723" max="5723" width="36.5703125" style="130" customWidth="1"/>
    <col min="5724" max="5736" width="36.85546875" style="130" customWidth="1"/>
    <col min="5737" max="5737" width="36.5703125" style="130" customWidth="1"/>
    <col min="5738" max="5740" width="36.85546875" style="130" customWidth="1"/>
    <col min="5741" max="5741" width="36.5703125" style="130" customWidth="1"/>
    <col min="5742" max="5749" width="36.85546875" style="130" customWidth="1"/>
    <col min="5750" max="5750" width="36.5703125" style="130" customWidth="1"/>
    <col min="5751" max="5888" width="36.85546875" style="130"/>
    <col min="5889" max="5889" width="18.5703125" style="130" customWidth="1"/>
    <col min="5890" max="5898" width="31.42578125" style="130" customWidth="1"/>
    <col min="5899" max="5915" width="36.85546875" style="130" customWidth="1"/>
    <col min="5916" max="5916" width="37" style="130" customWidth="1"/>
    <col min="5917" max="5932" width="36.85546875" style="130" customWidth="1"/>
    <col min="5933" max="5933" width="37.140625" style="130" customWidth="1"/>
    <col min="5934" max="5935" width="36.85546875" style="130" customWidth="1"/>
    <col min="5936" max="5936" width="36.5703125" style="130" customWidth="1"/>
    <col min="5937" max="5938" width="36.85546875" style="130" customWidth="1"/>
    <col min="5939" max="5939" width="36.5703125" style="130" customWidth="1"/>
    <col min="5940" max="5940" width="37" style="130" customWidth="1"/>
    <col min="5941" max="5959" width="36.85546875" style="130" customWidth="1"/>
    <col min="5960" max="5960" width="37" style="130" customWidth="1"/>
    <col min="5961" max="5978" width="36.85546875" style="130" customWidth="1"/>
    <col min="5979" max="5979" width="36.5703125" style="130" customWidth="1"/>
    <col min="5980" max="5992" width="36.85546875" style="130" customWidth="1"/>
    <col min="5993" max="5993" width="36.5703125" style="130" customWidth="1"/>
    <col min="5994" max="5996" width="36.85546875" style="130" customWidth="1"/>
    <col min="5997" max="5997" width="36.5703125" style="130" customWidth="1"/>
    <col min="5998" max="6005" width="36.85546875" style="130" customWidth="1"/>
    <col min="6006" max="6006" width="36.5703125" style="130" customWidth="1"/>
    <col min="6007" max="6144" width="36.85546875" style="130"/>
    <col min="6145" max="6145" width="18.5703125" style="130" customWidth="1"/>
    <col min="6146" max="6154" width="31.42578125" style="130" customWidth="1"/>
    <col min="6155" max="6171" width="36.85546875" style="130" customWidth="1"/>
    <col min="6172" max="6172" width="37" style="130" customWidth="1"/>
    <col min="6173" max="6188" width="36.85546875" style="130" customWidth="1"/>
    <col min="6189" max="6189" width="37.140625" style="130" customWidth="1"/>
    <col min="6190" max="6191" width="36.85546875" style="130" customWidth="1"/>
    <col min="6192" max="6192" width="36.5703125" style="130" customWidth="1"/>
    <col min="6193" max="6194" width="36.85546875" style="130" customWidth="1"/>
    <col min="6195" max="6195" width="36.5703125" style="130" customWidth="1"/>
    <col min="6196" max="6196" width="37" style="130" customWidth="1"/>
    <col min="6197" max="6215" width="36.85546875" style="130" customWidth="1"/>
    <col min="6216" max="6216" width="37" style="130" customWidth="1"/>
    <col min="6217" max="6234" width="36.85546875" style="130" customWidth="1"/>
    <col min="6235" max="6235" width="36.5703125" style="130" customWidth="1"/>
    <col min="6236" max="6248" width="36.85546875" style="130" customWidth="1"/>
    <col min="6249" max="6249" width="36.5703125" style="130" customWidth="1"/>
    <col min="6250" max="6252" width="36.85546875" style="130" customWidth="1"/>
    <col min="6253" max="6253" width="36.5703125" style="130" customWidth="1"/>
    <col min="6254" max="6261" width="36.85546875" style="130" customWidth="1"/>
    <col min="6262" max="6262" width="36.5703125" style="130" customWidth="1"/>
    <col min="6263" max="6400" width="36.85546875" style="130"/>
    <col min="6401" max="6401" width="18.5703125" style="130" customWidth="1"/>
    <col min="6402" max="6410" width="31.42578125" style="130" customWidth="1"/>
    <col min="6411" max="6427" width="36.85546875" style="130" customWidth="1"/>
    <col min="6428" max="6428" width="37" style="130" customWidth="1"/>
    <col min="6429" max="6444" width="36.85546875" style="130" customWidth="1"/>
    <col min="6445" max="6445" width="37.140625" style="130" customWidth="1"/>
    <col min="6446" max="6447" width="36.85546875" style="130" customWidth="1"/>
    <col min="6448" max="6448" width="36.5703125" style="130" customWidth="1"/>
    <col min="6449" max="6450" width="36.85546875" style="130" customWidth="1"/>
    <col min="6451" max="6451" width="36.5703125" style="130" customWidth="1"/>
    <col min="6452" max="6452" width="37" style="130" customWidth="1"/>
    <col min="6453" max="6471" width="36.85546875" style="130" customWidth="1"/>
    <col min="6472" max="6472" width="37" style="130" customWidth="1"/>
    <col min="6473" max="6490" width="36.85546875" style="130" customWidth="1"/>
    <col min="6491" max="6491" width="36.5703125" style="130" customWidth="1"/>
    <col min="6492" max="6504" width="36.85546875" style="130" customWidth="1"/>
    <col min="6505" max="6505" width="36.5703125" style="130" customWidth="1"/>
    <col min="6506" max="6508" width="36.85546875" style="130" customWidth="1"/>
    <col min="6509" max="6509" width="36.5703125" style="130" customWidth="1"/>
    <col min="6510" max="6517" width="36.85546875" style="130" customWidth="1"/>
    <col min="6518" max="6518" width="36.5703125" style="130" customWidth="1"/>
    <col min="6519" max="6656" width="36.85546875" style="130"/>
    <col min="6657" max="6657" width="18.5703125" style="130" customWidth="1"/>
    <col min="6658" max="6666" width="31.42578125" style="130" customWidth="1"/>
    <col min="6667" max="6683" width="36.85546875" style="130" customWidth="1"/>
    <col min="6684" max="6684" width="37" style="130" customWidth="1"/>
    <col min="6685" max="6700" width="36.85546875" style="130" customWidth="1"/>
    <col min="6701" max="6701" width="37.140625" style="130" customWidth="1"/>
    <col min="6702" max="6703" width="36.85546875" style="130" customWidth="1"/>
    <col min="6704" max="6704" width="36.5703125" style="130" customWidth="1"/>
    <col min="6705" max="6706" width="36.85546875" style="130" customWidth="1"/>
    <col min="6707" max="6707" width="36.5703125" style="130" customWidth="1"/>
    <col min="6708" max="6708" width="37" style="130" customWidth="1"/>
    <col min="6709" max="6727" width="36.85546875" style="130" customWidth="1"/>
    <col min="6728" max="6728" width="37" style="130" customWidth="1"/>
    <col min="6729" max="6746" width="36.85546875" style="130" customWidth="1"/>
    <col min="6747" max="6747" width="36.5703125" style="130" customWidth="1"/>
    <col min="6748" max="6760" width="36.85546875" style="130" customWidth="1"/>
    <col min="6761" max="6761" width="36.5703125" style="130" customWidth="1"/>
    <col min="6762" max="6764" width="36.85546875" style="130" customWidth="1"/>
    <col min="6765" max="6765" width="36.5703125" style="130" customWidth="1"/>
    <col min="6766" max="6773" width="36.85546875" style="130" customWidth="1"/>
    <col min="6774" max="6774" width="36.5703125" style="130" customWidth="1"/>
    <col min="6775" max="6912" width="36.85546875" style="130"/>
    <col min="6913" max="6913" width="18.5703125" style="130" customWidth="1"/>
    <col min="6914" max="6922" width="31.42578125" style="130" customWidth="1"/>
    <col min="6923" max="6939" width="36.85546875" style="130" customWidth="1"/>
    <col min="6940" max="6940" width="37" style="130" customWidth="1"/>
    <col min="6941" max="6956" width="36.85546875" style="130" customWidth="1"/>
    <col min="6957" max="6957" width="37.140625" style="130" customWidth="1"/>
    <col min="6958" max="6959" width="36.85546875" style="130" customWidth="1"/>
    <col min="6960" max="6960" width="36.5703125" style="130" customWidth="1"/>
    <col min="6961" max="6962" width="36.85546875" style="130" customWidth="1"/>
    <col min="6963" max="6963" width="36.5703125" style="130" customWidth="1"/>
    <col min="6964" max="6964" width="37" style="130" customWidth="1"/>
    <col min="6965" max="6983" width="36.85546875" style="130" customWidth="1"/>
    <col min="6984" max="6984" width="37" style="130" customWidth="1"/>
    <col min="6985" max="7002" width="36.85546875" style="130" customWidth="1"/>
    <col min="7003" max="7003" width="36.5703125" style="130" customWidth="1"/>
    <col min="7004" max="7016" width="36.85546875" style="130" customWidth="1"/>
    <col min="7017" max="7017" width="36.5703125" style="130" customWidth="1"/>
    <col min="7018" max="7020" width="36.85546875" style="130" customWidth="1"/>
    <col min="7021" max="7021" width="36.5703125" style="130" customWidth="1"/>
    <col min="7022" max="7029" width="36.85546875" style="130" customWidth="1"/>
    <col min="7030" max="7030" width="36.5703125" style="130" customWidth="1"/>
    <col min="7031" max="7168" width="36.85546875" style="130"/>
    <col min="7169" max="7169" width="18.5703125" style="130" customWidth="1"/>
    <col min="7170" max="7178" width="31.42578125" style="130" customWidth="1"/>
    <col min="7179" max="7195" width="36.85546875" style="130" customWidth="1"/>
    <col min="7196" max="7196" width="37" style="130" customWidth="1"/>
    <col min="7197" max="7212" width="36.85546875" style="130" customWidth="1"/>
    <col min="7213" max="7213" width="37.140625" style="130" customWidth="1"/>
    <col min="7214" max="7215" width="36.85546875" style="130" customWidth="1"/>
    <col min="7216" max="7216" width="36.5703125" style="130" customWidth="1"/>
    <col min="7217" max="7218" width="36.85546875" style="130" customWidth="1"/>
    <col min="7219" max="7219" width="36.5703125" style="130" customWidth="1"/>
    <col min="7220" max="7220" width="37" style="130" customWidth="1"/>
    <col min="7221" max="7239" width="36.85546875" style="130" customWidth="1"/>
    <col min="7240" max="7240" width="37" style="130" customWidth="1"/>
    <col min="7241" max="7258" width="36.85546875" style="130" customWidth="1"/>
    <col min="7259" max="7259" width="36.5703125" style="130" customWidth="1"/>
    <col min="7260" max="7272" width="36.85546875" style="130" customWidth="1"/>
    <col min="7273" max="7273" width="36.5703125" style="130" customWidth="1"/>
    <col min="7274" max="7276" width="36.85546875" style="130" customWidth="1"/>
    <col min="7277" max="7277" width="36.5703125" style="130" customWidth="1"/>
    <col min="7278" max="7285" width="36.85546875" style="130" customWidth="1"/>
    <col min="7286" max="7286" width="36.5703125" style="130" customWidth="1"/>
    <col min="7287" max="7424" width="36.85546875" style="130"/>
    <col min="7425" max="7425" width="18.5703125" style="130" customWidth="1"/>
    <col min="7426" max="7434" width="31.42578125" style="130" customWidth="1"/>
    <col min="7435" max="7451" width="36.85546875" style="130" customWidth="1"/>
    <col min="7452" max="7452" width="37" style="130" customWidth="1"/>
    <col min="7453" max="7468" width="36.85546875" style="130" customWidth="1"/>
    <col min="7469" max="7469" width="37.140625" style="130" customWidth="1"/>
    <col min="7470" max="7471" width="36.85546875" style="130" customWidth="1"/>
    <col min="7472" max="7472" width="36.5703125" style="130" customWidth="1"/>
    <col min="7473" max="7474" width="36.85546875" style="130" customWidth="1"/>
    <col min="7475" max="7475" width="36.5703125" style="130" customWidth="1"/>
    <col min="7476" max="7476" width="37" style="130" customWidth="1"/>
    <col min="7477" max="7495" width="36.85546875" style="130" customWidth="1"/>
    <col min="7496" max="7496" width="37" style="130" customWidth="1"/>
    <col min="7497" max="7514" width="36.85546875" style="130" customWidth="1"/>
    <col min="7515" max="7515" width="36.5703125" style="130" customWidth="1"/>
    <col min="7516" max="7528" width="36.85546875" style="130" customWidth="1"/>
    <col min="7529" max="7529" width="36.5703125" style="130" customWidth="1"/>
    <col min="7530" max="7532" width="36.85546875" style="130" customWidth="1"/>
    <col min="7533" max="7533" width="36.5703125" style="130" customWidth="1"/>
    <col min="7534" max="7541" width="36.85546875" style="130" customWidth="1"/>
    <col min="7542" max="7542" width="36.5703125" style="130" customWidth="1"/>
    <col min="7543" max="7680" width="36.85546875" style="130"/>
    <col min="7681" max="7681" width="18.5703125" style="130" customWidth="1"/>
    <col min="7682" max="7690" width="31.42578125" style="130" customWidth="1"/>
    <col min="7691" max="7707" width="36.85546875" style="130" customWidth="1"/>
    <col min="7708" max="7708" width="37" style="130" customWidth="1"/>
    <col min="7709" max="7724" width="36.85546875" style="130" customWidth="1"/>
    <col min="7725" max="7725" width="37.140625" style="130" customWidth="1"/>
    <col min="7726" max="7727" width="36.85546875" style="130" customWidth="1"/>
    <col min="7728" max="7728" width="36.5703125" style="130" customWidth="1"/>
    <col min="7729" max="7730" width="36.85546875" style="130" customWidth="1"/>
    <col min="7731" max="7731" width="36.5703125" style="130" customWidth="1"/>
    <col min="7732" max="7732" width="37" style="130" customWidth="1"/>
    <col min="7733" max="7751" width="36.85546875" style="130" customWidth="1"/>
    <col min="7752" max="7752" width="37" style="130" customWidth="1"/>
    <col min="7753" max="7770" width="36.85546875" style="130" customWidth="1"/>
    <col min="7771" max="7771" width="36.5703125" style="130" customWidth="1"/>
    <col min="7772" max="7784" width="36.85546875" style="130" customWidth="1"/>
    <col min="7785" max="7785" width="36.5703125" style="130" customWidth="1"/>
    <col min="7786" max="7788" width="36.85546875" style="130" customWidth="1"/>
    <col min="7789" max="7789" width="36.5703125" style="130" customWidth="1"/>
    <col min="7790" max="7797" width="36.85546875" style="130" customWidth="1"/>
    <col min="7798" max="7798" width="36.5703125" style="130" customWidth="1"/>
    <col min="7799" max="7936" width="36.85546875" style="130"/>
    <col min="7937" max="7937" width="18.5703125" style="130" customWidth="1"/>
    <col min="7938" max="7946" width="31.42578125" style="130" customWidth="1"/>
    <col min="7947" max="7963" width="36.85546875" style="130" customWidth="1"/>
    <col min="7964" max="7964" width="37" style="130" customWidth="1"/>
    <col min="7965" max="7980" width="36.85546875" style="130" customWidth="1"/>
    <col min="7981" max="7981" width="37.140625" style="130" customWidth="1"/>
    <col min="7982" max="7983" width="36.85546875" style="130" customWidth="1"/>
    <col min="7984" max="7984" width="36.5703125" style="130" customWidth="1"/>
    <col min="7985" max="7986" width="36.85546875" style="130" customWidth="1"/>
    <col min="7987" max="7987" width="36.5703125" style="130" customWidth="1"/>
    <col min="7988" max="7988" width="37" style="130" customWidth="1"/>
    <col min="7989" max="8007" width="36.85546875" style="130" customWidth="1"/>
    <col min="8008" max="8008" width="37" style="130" customWidth="1"/>
    <col min="8009" max="8026" width="36.85546875" style="130" customWidth="1"/>
    <col min="8027" max="8027" width="36.5703125" style="130" customWidth="1"/>
    <col min="8028" max="8040" width="36.85546875" style="130" customWidth="1"/>
    <col min="8041" max="8041" width="36.5703125" style="130" customWidth="1"/>
    <col min="8042" max="8044" width="36.85546875" style="130" customWidth="1"/>
    <col min="8045" max="8045" width="36.5703125" style="130" customWidth="1"/>
    <col min="8046" max="8053" width="36.85546875" style="130" customWidth="1"/>
    <col min="8054" max="8054" width="36.5703125" style="130" customWidth="1"/>
    <col min="8055" max="8192" width="36.85546875" style="130"/>
    <col min="8193" max="8193" width="18.5703125" style="130" customWidth="1"/>
    <col min="8194" max="8202" width="31.42578125" style="130" customWidth="1"/>
    <col min="8203" max="8219" width="36.85546875" style="130" customWidth="1"/>
    <col min="8220" max="8220" width="37" style="130" customWidth="1"/>
    <col min="8221" max="8236" width="36.85546875" style="130" customWidth="1"/>
    <col min="8237" max="8237" width="37.140625" style="130" customWidth="1"/>
    <col min="8238" max="8239" width="36.85546875" style="130" customWidth="1"/>
    <col min="8240" max="8240" width="36.5703125" style="130" customWidth="1"/>
    <col min="8241" max="8242" width="36.85546875" style="130" customWidth="1"/>
    <col min="8243" max="8243" width="36.5703125" style="130" customWidth="1"/>
    <col min="8244" max="8244" width="37" style="130" customWidth="1"/>
    <col min="8245" max="8263" width="36.85546875" style="130" customWidth="1"/>
    <col min="8264" max="8264" width="37" style="130" customWidth="1"/>
    <col min="8265" max="8282" width="36.85546875" style="130" customWidth="1"/>
    <col min="8283" max="8283" width="36.5703125" style="130" customWidth="1"/>
    <col min="8284" max="8296" width="36.85546875" style="130" customWidth="1"/>
    <col min="8297" max="8297" width="36.5703125" style="130" customWidth="1"/>
    <col min="8298" max="8300" width="36.85546875" style="130" customWidth="1"/>
    <col min="8301" max="8301" width="36.5703125" style="130" customWidth="1"/>
    <col min="8302" max="8309" width="36.85546875" style="130" customWidth="1"/>
    <col min="8310" max="8310" width="36.5703125" style="130" customWidth="1"/>
    <col min="8311" max="8448" width="36.85546875" style="130"/>
    <col min="8449" max="8449" width="18.5703125" style="130" customWidth="1"/>
    <col min="8450" max="8458" width="31.42578125" style="130" customWidth="1"/>
    <col min="8459" max="8475" width="36.85546875" style="130" customWidth="1"/>
    <col min="8476" max="8476" width="37" style="130" customWidth="1"/>
    <col min="8477" max="8492" width="36.85546875" style="130" customWidth="1"/>
    <col min="8493" max="8493" width="37.140625" style="130" customWidth="1"/>
    <col min="8494" max="8495" width="36.85546875" style="130" customWidth="1"/>
    <col min="8496" max="8496" width="36.5703125" style="130" customWidth="1"/>
    <col min="8497" max="8498" width="36.85546875" style="130" customWidth="1"/>
    <col min="8499" max="8499" width="36.5703125" style="130" customWidth="1"/>
    <col min="8500" max="8500" width="37" style="130" customWidth="1"/>
    <col min="8501" max="8519" width="36.85546875" style="130" customWidth="1"/>
    <col min="8520" max="8520" width="37" style="130" customWidth="1"/>
    <col min="8521" max="8538" width="36.85546875" style="130" customWidth="1"/>
    <col min="8539" max="8539" width="36.5703125" style="130" customWidth="1"/>
    <col min="8540" max="8552" width="36.85546875" style="130" customWidth="1"/>
    <col min="8553" max="8553" width="36.5703125" style="130" customWidth="1"/>
    <col min="8554" max="8556" width="36.85546875" style="130" customWidth="1"/>
    <col min="8557" max="8557" width="36.5703125" style="130" customWidth="1"/>
    <col min="8558" max="8565" width="36.85546875" style="130" customWidth="1"/>
    <col min="8566" max="8566" width="36.5703125" style="130" customWidth="1"/>
    <col min="8567" max="8704" width="36.85546875" style="130"/>
    <col min="8705" max="8705" width="18.5703125" style="130" customWidth="1"/>
    <col min="8706" max="8714" width="31.42578125" style="130" customWidth="1"/>
    <col min="8715" max="8731" width="36.85546875" style="130" customWidth="1"/>
    <col min="8732" max="8732" width="37" style="130" customWidth="1"/>
    <col min="8733" max="8748" width="36.85546875" style="130" customWidth="1"/>
    <col min="8749" max="8749" width="37.140625" style="130" customWidth="1"/>
    <col min="8750" max="8751" width="36.85546875" style="130" customWidth="1"/>
    <col min="8752" max="8752" width="36.5703125" style="130" customWidth="1"/>
    <col min="8753" max="8754" width="36.85546875" style="130" customWidth="1"/>
    <col min="8755" max="8755" width="36.5703125" style="130" customWidth="1"/>
    <col min="8756" max="8756" width="37" style="130" customWidth="1"/>
    <col min="8757" max="8775" width="36.85546875" style="130" customWidth="1"/>
    <col min="8776" max="8776" width="37" style="130" customWidth="1"/>
    <col min="8777" max="8794" width="36.85546875" style="130" customWidth="1"/>
    <col min="8795" max="8795" width="36.5703125" style="130" customWidth="1"/>
    <col min="8796" max="8808" width="36.85546875" style="130" customWidth="1"/>
    <col min="8809" max="8809" width="36.5703125" style="130" customWidth="1"/>
    <col min="8810" max="8812" width="36.85546875" style="130" customWidth="1"/>
    <col min="8813" max="8813" width="36.5703125" style="130" customWidth="1"/>
    <col min="8814" max="8821" width="36.85546875" style="130" customWidth="1"/>
    <col min="8822" max="8822" width="36.5703125" style="130" customWidth="1"/>
    <col min="8823" max="8960" width="36.85546875" style="130"/>
    <col min="8961" max="8961" width="18.5703125" style="130" customWidth="1"/>
    <col min="8962" max="8970" width="31.42578125" style="130" customWidth="1"/>
    <col min="8971" max="8987" width="36.85546875" style="130" customWidth="1"/>
    <col min="8988" max="8988" width="37" style="130" customWidth="1"/>
    <col min="8989" max="9004" width="36.85546875" style="130" customWidth="1"/>
    <col min="9005" max="9005" width="37.140625" style="130" customWidth="1"/>
    <col min="9006" max="9007" width="36.85546875" style="130" customWidth="1"/>
    <col min="9008" max="9008" width="36.5703125" style="130" customWidth="1"/>
    <col min="9009" max="9010" width="36.85546875" style="130" customWidth="1"/>
    <col min="9011" max="9011" width="36.5703125" style="130" customWidth="1"/>
    <col min="9012" max="9012" width="37" style="130" customWidth="1"/>
    <col min="9013" max="9031" width="36.85546875" style="130" customWidth="1"/>
    <col min="9032" max="9032" width="37" style="130" customWidth="1"/>
    <col min="9033" max="9050" width="36.85546875" style="130" customWidth="1"/>
    <col min="9051" max="9051" width="36.5703125" style="130" customWidth="1"/>
    <col min="9052" max="9064" width="36.85546875" style="130" customWidth="1"/>
    <col min="9065" max="9065" width="36.5703125" style="130" customWidth="1"/>
    <col min="9066" max="9068" width="36.85546875" style="130" customWidth="1"/>
    <col min="9069" max="9069" width="36.5703125" style="130" customWidth="1"/>
    <col min="9070" max="9077" width="36.85546875" style="130" customWidth="1"/>
    <col min="9078" max="9078" width="36.5703125" style="130" customWidth="1"/>
    <col min="9079" max="9216" width="36.85546875" style="130"/>
    <col min="9217" max="9217" width="18.5703125" style="130" customWidth="1"/>
    <col min="9218" max="9226" width="31.42578125" style="130" customWidth="1"/>
    <col min="9227" max="9243" width="36.85546875" style="130" customWidth="1"/>
    <col min="9244" max="9244" width="37" style="130" customWidth="1"/>
    <col min="9245" max="9260" width="36.85546875" style="130" customWidth="1"/>
    <col min="9261" max="9261" width="37.140625" style="130" customWidth="1"/>
    <col min="9262" max="9263" width="36.85546875" style="130" customWidth="1"/>
    <col min="9264" max="9264" width="36.5703125" style="130" customWidth="1"/>
    <col min="9265" max="9266" width="36.85546875" style="130" customWidth="1"/>
    <col min="9267" max="9267" width="36.5703125" style="130" customWidth="1"/>
    <col min="9268" max="9268" width="37" style="130" customWidth="1"/>
    <col min="9269" max="9287" width="36.85546875" style="130" customWidth="1"/>
    <col min="9288" max="9288" width="37" style="130" customWidth="1"/>
    <col min="9289" max="9306" width="36.85546875" style="130" customWidth="1"/>
    <col min="9307" max="9307" width="36.5703125" style="130" customWidth="1"/>
    <col min="9308" max="9320" width="36.85546875" style="130" customWidth="1"/>
    <col min="9321" max="9321" width="36.5703125" style="130" customWidth="1"/>
    <col min="9322" max="9324" width="36.85546875" style="130" customWidth="1"/>
    <col min="9325" max="9325" width="36.5703125" style="130" customWidth="1"/>
    <col min="9326" max="9333" width="36.85546875" style="130" customWidth="1"/>
    <col min="9334" max="9334" width="36.5703125" style="130" customWidth="1"/>
    <col min="9335" max="9472" width="36.85546875" style="130"/>
    <col min="9473" max="9473" width="18.5703125" style="130" customWidth="1"/>
    <col min="9474" max="9482" width="31.42578125" style="130" customWidth="1"/>
    <col min="9483" max="9499" width="36.85546875" style="130" customWidth="1"/>
    <col min="9500" max="9500" width="37" style="130" customWidth="1"/>
    <col min="9501" max="9516" width="36.85546875" style="130" customWidth="1"/>
    <col min="9517" max="9517" width="37.140625" style="130" customWidth="1"/>
    <col min="9518" max="9519" width="36.85546875" style="130" customWidth="1"/>
    <col min="9520" max="9520" width="36.5703125" style="130" customWidth="1"/>
    <col min="9521" max="9522" width="36.85546875" style="130" customWidth="1"/>
    <col min="9523" max="9523" width="36.5703125" style="130" customWidth="1"/>
    <col min="9524" max="9524" width="37" style="130" customWidth="1"/>
    <col min="9525" max="9543" width="36.85546875" style="130" customWidth="1"/>
    <col min="9544" max="9544" width="37" style="130" customWidth="1"/>
    <col min="9545" max="9562" width="36.85546875" style="130" customWidth="1"/>
    <col min="9563" max="9563" width="36.5703125" style="130" customWidth="1"/>
    <col min="9564" max="9576" width="36.85546875" style="130" customWidth="1"/>
    <col min="9577" max="9577" width="36.5703125" style="130" customWidth="1"/>
    <col min="9578" max="9580" width="36.85546875" style="130" customWidth="1"/>
    <col min="9581" max="9581" width="36.5703125" style="130" customWidth="1"/>
    <col min="9582" max="9589" width="36.85546875" style="130" customWidth="1"/>
    <col min="9590" max="9590" width="36.5703125" style="130" customWidth="1"/>
    <col min="9591" max="9728" width="36.85546875" style="130"/>
    <col min="9729" max="9729" width="18.5703125" style="130" customWidth="1"/>
    <col min="9730" max="9738" width="31.42578125" style="130" customWidth="1"/>
    <col min="9739" max="9755" width="36.85546875" style="130" customWidth="1"/>
    <col min="9756" max="9756" width="37" style="130" customWidth="1"/>
    <col min="9757" max="9772" width="36.85546875" style="130" customWidth="1"/>
    <col min="9773" max="9773" width="37.140625" style="130" customWidth="1"/>
    <col min="9774" max="9775" width="36.85546875" style="130" customWidth="1"/>
    <col min="9776" max="9776" width="36.5703125" style="130" customWidth="1"/>
    <col min="9777" max="9778" width="36.85546875" style="130" customWidth="1"/>
    <col min="9779" max="9779" width="36.5703125" style="130" customWidth="1"/>
    <col min="9780" max="9780" width="37" style="130" customWidth="1"/>
    <col min="9781" max="9799" width="36.85546875" style="130" customWidth="1"/>
    <col min="9800" max="9800" width="37" style="130" customWidth="1"/>
    <col min="9801" max="9818" width="36.85546875" style="130" customWidth="1"/>
    <col min="9819" max="9819" width="36.5703125" style="130" customWidth="1"/>
    <col min="9820" max="9832" width="36.85546875" style="130" customWidth="1"/>
    <col min="9833" max="9833" width="36.5703125" style="130" customWidth="1"/>
    <col min="9834" max="9836" width="36.85546875" style="130" customWidth="1"/>
    <col min="9837" max="9837" width="36.5703125" style="130" customWidth="1"/>
    <col min="9838" max="9845" width="36.85546875" style="130" customWidth="1"/>
    <col min="9846" max="9846" width="36.5703125" style="130" customWidth="1"/>
    <col min="9847" max="9984" width="36.85546875" style="130"/>
    <col min="9985" max="9985" width="18.5703125" style="130" customWidth="1"/>
    <col min="9986" max="9994" width="31.42578125" style="130" customWidth="1"/>
    <col min="9995" max="10011" width="36.85546875" style="130" customWidth="1"/>
    <col min="10012" max="10012" width="37" style="130" customWidth="1"/>
    <col min="10013" max="10028" width="36.85546875" style="130" customWidth="1"/>
    <col min="10029" max="10029" width="37.140625" style="130" customWidth="1"/>
    <col min="10030" max="10031" width="36.85546875" style="130" customWidth="1"/>
    <col min="10032" max="10032" width="36.5703125" style="130" customWidth="1"/>
    <col min="10033" max="10034" width="36.85546875" style="130" customWidth="1"/>
    <col min="10035" max="10035" width="36.5703125" style="130" customWidth="1"/>
    <col min="10036" max="10036" width="37" style="130" customWidth="1"/>
    <col min="10037" max="10055" width="36.85546875" style="130" customWidth="1"/>
    <col min="10056" max="10056" width="37" style="130" customWidth="1"/>
    <col min="10057" max="10074" width="36.85546875" style="130" customWidth="1"/>
    <col min="10075" max="10075" width="36.5703125" style="130" customWidth="1"/>
    <col min="10076" max="10088" width="36.85546875" style="130" customWidth="1"/>
    <col min="10089" max="10089" width="36.5703125" style="130" customWidth="1"/>
    <col min="10090" max="10092" width="36.85546875" style="130" customWidth="1"/>
    <col min="10093" max="10093" width="36.5703125" style="130" customWidth="1"/>
    <col min="10094" max="10101" width="36.85546875" style="130" customWidth="1"/>
    <col min="10102" max="10102" width="36.5703125" style="130" customWidth="1"/>
    <col min="10103" max="10240" width="36.85546875" style="130"/>
    <col min="10241" max="10241" width="18.5703125" style="130" customWidth="1"/>
    <col min="10242" max="10250" width="31.42578125" style="130" customWidth="1"/>
    <col min="10251" max="10267" width="36.85546875" style="130" customWidth="1"/>
    <col min="10268" max="10268" width="37" style="130" customWidth="1"/>
    <col min="10269" max="10284" width="36.85546875" style="130" customWidth="1"/>
    <col min="10285" max="10285" width="37.140625" style="130" customWidth="1"/>
    <col min="10286" max="10287" width="36.85546875" style="130" customWidth="1"/>
    <col min="10288" max="10288" width="36.5703125" style="130" customWidth="1"/>
    <col min="10289" max="10290" width="36.85546875" style="130" customWidth="1"/>
    <col min="10291" max="10291" width="36.5703125" style="130" customWidth="1"/>
    <col min="10292" max="10292" width="37" style="130" customWidth="1"/>
    <col min="10293" max="10311" width="36.85546875" style="130" customWidth="1"/>
    <col min="10312" max="10312" width="37" style="130" customWidth="1"/>
    <col min="10313" max="10330" width="36.85546875" style="130" customWidth="1"/>
    <col min="10331" max="10331" width="36.5703125" style="130" customWidth="1"/>
    <col min="10332" max="10344" width="36.85546875" style="130" customWidth="1"/>
    <col min="10345" max="10345" width="36.5703125" style="130" customWidth="1"/>
    <col min="10346" max="10348" width="36.85546875" style="130" customWidth="1"/>
    <col min="10349" max="10349" width="36.5703125" style="130" customWidth="1"/>
    <col min="10350" max="10357" width="36.85546875" style="130" customWidth="1"/>
    <col min="10358" max="10358" width="36.5703125" style="130" customWidth="1"/>
    <col min="10359" max="10496" width="36.85546875" style="130"/>
    <col min="10497" max="10497" width="18.5703125" style="130" customWidth="1"/>
    <col min="10498" max="10506" width="31.42578125" style="130" customWidth="1"/>
    <col min="10507" max="10523" width="36.85546875" style="130" customWidth="1"/>
    <col min="10524" max="10524" width="37" style="130" customWidth="1"/>
    <col min="10525" max="10540" width="36.85546875" style="130" customWidth="1"/>
    <col min="10541" max="10541" width="37.140625" style="130" customWidth="1"/>
    <col min="10542" max="10543" width="36.85546875" style="130" customWidth="1"/>
    <col min="10544" max="10544" width="36.5703125" style="130" customWidth="1"/>
    <col min="10545" max="10546" width="36.85546875" style="130" customWidth="1"/>
    <col min="10547" max="10547" width="36.5703125" style="130" customWidth="1"/>
    <col min="10548" max="10548" width="37" style="130" customWidth="1"/>
    <col min="10549" max="10567" width="36.85546875" style="130" customWidth="1"/>
    <col min="10568" max="10568" width="37" style="130" customWidth="1"/>
    <col min="10569" max="10586" width="36.85546875" style="130" customWidth="1"/>
    <col min="10587" max="10587" width="36.5703125" style="130" customWidth="1"/>
    <col min="10588" max="10600" width="36.85546875" style="130" customWidth="1"/>
    <col min="10601" max="10601" width="36.5703125" style="130" customWidth="1"/>
    <col min="10602" max="10604" width="36.85546875" style="130" customWidth="1"/>
    <col min="10605" max="10605" width="36.5703125" style="130" customWidth="1"/>
    <col min="10606" max="10613" width="36.85546875" style="130" customWidth="1"/>
    <col min="10614" max="10614" width="36.5703125" style="130" customWidth="1"/>
    <col min="10615" max="10752" width="36.85546875" style="130"/>
    <col min="10753" max="10753" width="18.5703125" style="130" customWidth="1"/>
    <col min="10754" max="10762" width="31.42578125" style="130" customWidth="1"/>
    <col min="10763" max="10779" width="36.85546875" style="130" customWidth="1"/>
    <col min="10780" max="10780" width="37" style="130" customWidth="1"/>
    <col min="10781" max="10796" width="36.85546875" style="130" customWidth="1"/>
    <col min="10797" max="10797" width="37.140625" style="130" customWidth="1"/>
    <col min="10798" max="10799" width="36.85546875" style="130" customWidth="1"/>
    <col min="10800" max="10800" width="36.5703125" style="130" customWidth="1"/>
    <col min="10801" max="10802" width="36.85546875" style="130" customWidth="1"/>
    <col min="10803" max="10803" width="36.5703125" style="130" customWidth="1"/>
    <col min="10804" max="10804" width="37" style="130" customWidth="1"/>
    <col min="10805" max="10823" width="36.85546875" style="130" customWidth="1"/>
    <col min="10824" max="10824" width="37" style="130" customWidth="1"/>
    <col min="10825" max="10842" width="36.85546875" style="130" customWidth="1"/>
    <col min="10843" max="10843" width="36.5703125" style="130" customWidth="1"/>
    <col min="10844" max="10856" width="36.85546875" style="130" customWidth="1"/>
    <col min="10857" max="10857" width="36.5703125" style="130" customWidth="1"/>
    <col min="10858" max="10860" width="36.85546875" style="130" customWidth="1"/>
    <col min="10861" max="10861" width="36.5703125" style="130" customWidth="1"/>
    <col min="10862" max="10869" width="36.85546875" style="130" customWidth="1"/>
    <col min="10870" max="10870" width="36.5703125" style="130" customWidth="1"/>
    <col min="10871" max="11008" width="36.85546875" style="130"/>
    <col min="11009" max="11009" width="18.5703125" style="130" customWidth="1"/>
    <col min="11010" max="11018" width="31.42578125" style="130" customWidth="1"/>
    <col min="11019" max="11035" width="36.85546875" style="130" customWidth="1"/>
    <col min="11036" max="11036" width="37" style="130" customWidth="1"/>
    <col min="11037" max="11052" width="36.85546875" style="130" customWidth="1"/>
    <col min="11053" max="11053" width="37.140625" style="130" customWidth="1"/>
    <col min="11054" max="11055" width="36.85546875" style="130" customWidth="1"/>
    <col min="11056" max="11056" width="36.5703125" style="130" customWidth="1"/>
    <col min="11057" max="11058" width="36.85546875" style="130" customWidth="1"/>
    <col min="11059" max="11059" width="36.5703125" style="130" customWidth="1"/>
    <col min="11060" max="11060" width="37" style="130" customWidth="1"/>
    <col min="11061" max="11079" width="36.85546875" style="130" customWidth="1"/>
    <col min="11080" max="11080" width="37" style="130" customWidth="1"/>
    <col min="11081" max="11098" width="36.85546875" style="130" customWidth="1"/>
    <col min="11099" max="11099" width="36.5703125" style="130" customWidth="1"/>
    <col min="11100" max="11112" width="36.85546875" style="130" customWidth="1"/>
    <col min="11113" max="11113" width="36.5703125" style="130" customWidth="1"/>
    <col min="11114" max="11116" width="36.85546875" style="130" customWidth="1"/>
    <col min="11117" max="11117" width="36.5703125" style="130" customWidth="1"/>
    <col min="11118" max="11125" width="36.85546875" style="130" customWidth="1"/>
    <col min="11126" max="11126" width="36.5703125" style="130" customWidth="1"/>
    <col min="11127" max="11264" width="36.85546875" style="130"/>
    <col min="11265" max="11265" width="18.5703125" style="130" customWidth="1"/>
    <col min="11266" max="11274" width="31.42578125" style="130" customWidth="1"/>
    <col min="11275" max="11291" width="36.85546875" style="130" customWidth="1"/>
    <col min="11292" max="11292" width="37" style="130" customWidth="1"/>
    <col min="11293" max="11308" width="36.85546875" style="130" customWidth="1"/>
    <col min="11309" max="11309" width="37.140625" style="130" customWidth="1"/>
    <col min="11310" max="11311" width="36.85546875" style="130" customWidth="1"/>
    <col min="11312" max="11312" width="36.5703125" style="130" customWidth="1"/>
    <col min="11313" max="11314" width="36.85546875" style="130" customWidth="1"/>
    <col min="11315" max="11315" width="36.5703125" style="130" customWidth="1"/>
    <col min="11316" max="11316" width="37" style="130" customWidth="1"/>
    <col min="11317" max="11335" width="36.85546875" style="130" customWidth="1"/>
    <col min="11336" max="11336" width="37" style="130" customWidth="1"/>
    <col min="11337" max="11354" width="36.85546875" style="130" customWidth="1"/>
    <col min="11355" max="11355" width="36.5703125" style="130" customWidth="1"/>
    <col min="11356" max="11368" width="36.85546875" style="130" customWidth="1"/>
    <col min="11369" max="11369" width="36.5703125" style="130" customWidth="1"/>
    <col min="11370" max="11372" width="36.85546875" style="130" customWidth="1"/>
    <col min="11373" max="11373" width="36.5703125" style="130" customWidth="1"/>
    <col min="11374" max="11381" width="36.85546875" style="130" customWidth="1"/>
    <col min="11382" max="11382" width="36.5703125" style="130" customWidth="1"/>
    <col min="11383" max="11520" width="36.85546875" style="130"/>
    <col min="11521" max="11521" width="18.5703125" style="130" customWidth="1"/>
    <col min="11522" max="11530" width="31.42578125" style="130" customWidth="1"/>
    <col min="11531" max="11547" width="36.85546875" style="130" customWidth="1"/>
    <col min="11548" max="11548" width="37" style="130" customWidth="1"/>
    <col min="11549" max="11564" width="36.85546875" style="130" customWidth="1"/>
    <col min="11565" max="11565" width="37.140625" style="130" customWidth="1"/>
    <col min="11566" max="11567" width="36.85546875" style="130" customWidth="1"/>
    <col min="11568" max="11568" width="36.5703125" style="130" customWidth="1"/>
    <col min="11569" max="11570" width="36.85546875" style="130" customWidth="1"/>
    <col min="11571" max="11571" width="36.5703125" style="130" customWidth="1"/>
    <col min="11572" max="11572" width="37" style="130" customWidth="1"/>
    <col min="11573" max="11591" width="36.85546875" style="130" customWidth="1"/>
    <col min="11592" max="11592" width="37" style="130" customWidth="1"/>
    <col min="11593" max="11610" width="36.85546875" style="130" customWidth="1"/>
    <col min="11611" max="11611" width="36.5703125" style="130" customWidth="1"/>
    <col min="11612" max="11624" width="36.85546875" style="130" customWidth="1"/>
    <col min="11625" max="11625" width="36.5703125" style="130" customWidth="1"/>
    <col min="11626" max="11628" width="36.85546875" style="130" customWidth="1"/>
    <col min="11629" max="11629" width="36.5703125" style="130" customWidth="1"/>
    <col min="11630" max="11637" width="36.85546875" style="130" customWidth="1"/>
    <col min="11638" max="11638" width="36.5703125" style="130" customWidth="1"/>
    <col min="11639" max="11776" width="36.85546875" style="130"/>
    <col min="11777" max="11777" width="18.5703125" style="130" customWidth="1"/>
    <col min="11778" max="11786" width="31.42578125" style="130" customWidth="1"/>
    <col min="11787" max="11803" width="36.85546875" style="130" customWidth="1"/>
    <col min="11804" max="11804" width="37" style="130" customWidth="1"/>
    <col min="11805" max="11820" width="36.85546875" style="130" customWidth="1"/>
    <col min="11821" max="11821" width="37.140625" style="130" customWidth="1"/>
    <col min="11822" max="11823" width="36.85546875" style="130" customWidth="1"/>
    <col min="11824" max="11824" width="36.5703125" style="130" customWidth="1"/>
    <col min="11825" max="11826" width="36.85546875" style="130" customWidth="1"/>
    <col min="11827" max="11827" width="36.5703125" style="130" customWidth="1"/>
    <col min="11828" max="11828" width="37" style="130" customWidth="1"/>
    <col min="11829" max="11847" width="36.85546875" style="130" customWidth="1"/>
    <col min="11848" max="11848" width="37" style="130" customWidth="1"/>
    <col min="11849" max="11866" width="36.85546875" style="130" customWidth="1"/>
    <col min="11867" max="11867" width="36.5703125" style="130" customWidth="1"/>
    <col min="11868" max="11880" width="36.85546875" style="130" customWidth="1"/>
    <col min="11881" max="11881" width="36.5703125" style="130" customWidth="1"/>
    <col min="11882" max="11884" width="36.85546875" style="130" customWidth="1"/>
    <col min="11885" max="11885" width="36.5703125" style="130" customWidth="1"/>
    <col min="11886" max="11893" width="36.85546875" style="130" customWidth="1"/>
    <col min="11894" max="11894" width="36.5703125" style="130" customWidth="1"/>
    <col min="11895" max="12032" width="36.85546875" style="130"/>
    <col min="12033" max="12033" width="18.5703125" style="130" customWidth="1"/>
    <col min="12034" max="12042" width="31.42578125" style="130" customWidth="1"/>
    <col min="12043" max="12059" width="36.85546875" style="130" customWidth="1"/>
    <col min="12060" max="12060" width="37" style="130" customWidth="1"/>
    <col min="12061" max="12076" width="36.85546875" style="130" customWidth="1"/>
    <col min="12077" max="12077" width="37.140625" style="130" customWidth="1"/>
    <col min="12078" max="12079" width="36.85546875" style="130" customWidth="1"/>
    <col min="12080" max="12080" width="36.5703125" style="130" customWidth="1"/>
    <col min="12081" max="12082" width="36.85546875" style="130" customWidth="1"/>
    <col min="12083" max="12083" width="36.5703125" style="130" customWidth="1"/>
    <col min="12084" max="12084" width="37" style="130" customWidth="1"/>
    <col min="12085" max="12103" width="36.85546875" style="130" customWidth="1"/>
    <col min="12104" max="12104" width="37" style="130" customWidth="1"/>
    <col min="12105" max="12122" width="36.85546875" style="130" customWidth="1"/>
    <col min="12123" max="12123" width="36.5703125" style="130" customWidth="1"/>
    <col min="12124" max="12136" width="36.85546875" style="130" customWidth="1"/>
    <col min="12137" max="12137" width="36.5703125" style="130" customWidth="1"/>
    <col min="12138" max="12140" width="36.85546875" style="130" customWidth="1"/>
    <col min="12141" max="12141" width="36.5703125" style="130" customWidth="1"/>
    <col min="12142" max="12149" width="36.85546875" style="130" customWidth="1"/>
    <col min="12150" max="12150" width="36.5703125" style="130" customWidth="1"/>
    <col min="12151" max="12288" width="36.85546875" style="130"/>
    <col min="12289" max="12289" width="18.5703125" style="130" customWidth="1"/>
    <col min="12290" max="12298" width="31.42578125" style="130" customWidth="1"/>
    <col min="12299" max="12315" width="36.85546875" style="130" customWidth="1"/>
    <col min="12316" max="12316" width="37" style="130" customWidth="1"/>
    <col min="12317" max="12332" width="36.85546875" style="130" customWidth="1"/>
    <col min="12333" max="12333" width="37.140625" style="130" customWidth="1"/>
    <col min="12334" max="12335" width="36.85546875" style="130" customWidth="1"/>
    <col min="12336" max="12336" width="36.5703125" style="130" customWidth="1"/>
    <col min="12337" max="12338" width="36.85546875" style="130" customWidth="1"/>
    <col min="12339" max="12339" width="36.5703125" style="130" customWidth="1"/>
    <col min="12340" max="12340" width="37" style="130" customWidth="1"/>
    <col min="12341" max="12359" width="36.85546875" style="130" customWidth="1"/>
    <col min="12360" max="12360" width="37" style="130" customWidth="1"/>
    <col min="12361" max="12378" width="36.85546875" style="130" customWidth="1"/>
    <col min="12379" max="12379" width="36.5703125" style="130" customWidth="1"/>
    <col min="12380" max="12392" width="36.85546875" style="130" customWidth="1"/>
    <col min="12393" max="12393" width="36.5703125" style="130" customWidth="1"/>
    <col min="12394" max="12396" width="36.85546875" style="130" customWidth="1"/>
    <col min="12397" max="12397" width="36.5703125" style="130" customWidth="1"/>
    <col min="12398" max="12405" width="36.85546875" style="130" customWidth="1"/>
    <col min="12406" max="12406" width="36.5703125" style="130" customWidth="1"/>
    <col min="12407" max="12544" width="36.85546875" style="130"/>
    <col min="12545" max="12545" width="18.5703125" style="130" customWidth="1"/>
    <col min="12546" max="12554" width="31.42578125" style="130" customWidth="1"/>
    <col min="12555" max="12571" width="36.85546875" style="130" customWidth="1"/>
    <col min="12572" max="12572" width="37" style="130" customWidth="1"/>
    <col min="12573" max="12588" width="36.85546875" style="130" customWidth="1"/>
    <col min="12589" max="12589" width="37.140625" style="130" customWidth="1"/>
    <col min="12590" max="12591" width="36.85546875" style="130" customWidth="1"/>
    <col min="12592" max="12592" width="36.5703125" style="130" customWidth="1"/>
    <col min="12593" max="12594" width="36.85546875" style="130" customWidth="1"/>
    <col min="12595" max="12595" width="36.5703125" style="130" customWidth="1"/>
    <col min="12596" max="12596" width="37" style="130" customWidth="1"/>
    <col min="12597" max="12615" width="36.85546875" style="130" customWidth="1"/>
    <col min="12616" max="12616" width="37" style="130" customWidth="1"/>
    <col min="12617" max="12634" width="36.85546875" style="130" customWidth="1"/>
    <col min="12635" max="12635" width="36.5703125" style="130" customWidth="1"/>
    <col min="12636" max="12648" width="36.85546875" style="130" customWidth="1"/>
    <col min="12649" max="12649" width="36.5703125" style="130" customWidth="1"/>
    <col min="12650" max="12652" width="36.85546875" style="130" customWidth="1"/>
    <col min="12653" max="12653" width="36.5703125" style="130" customWidth="1"/>
    <col min="12654" max="12661" width="36.85546875" style="130" customWidth="1"/>
    <col min="12662" max="12662" width="36.5703125" style="130" customWidth="1"/>
    <col min="12663" max="12800" width="36.85546875" style="130"/>
    <col min="12801" max="12801" width="18.5703125" style="130" customWidth="1"/>
    <col min="12802" max="12810" width="31.42578125" style="130" customWidth="1"/>
    <col min="12811" max="12827" width="36.85546875" style="130" customWidth="1"/>
    <col min="12828" max="12828" width="37" style="130" customWidth="1"/>
    <col min="12829" max="12844" width="36.85546875" style="130" customWidth="1"/>
    <col min="12845" max="12845" width="37.140625" style="130" customWidth="1"/>
    <col min="12846" max="12847" width="36.85546875" style="130" customWidth="1"/>
    <col min="12848" max="12848" width="36.5703125" style="130" customWidth="1"/>
    <col min="12849" max="12850" width="36.85546875" style="130" customWidth="1"/>
    <col min="12851" max="12851" width="36.5703125" style="130" customWidth="1"/>
    <col min="12852" max="12852" width="37" style="130" customWidth="1"/>
    <col min="12853" max="12871" width="36.85546875" style="130" customWidth="1"/>
    <col min="12872" max="12872" width="37" style="130" customWidth="1"/>
    <col min="12873" max="12890" width="36.85546875" style="130" customWidth="1"/>
    <col min="12891" max="12891" width="36.5703125" style="130" customWidth="1"/>
    <col min="12892" max="12904" width="36.85546875" style="130" customWidth="1"/>
    <col min="12905" max="12905" width="36.5703125" style="130" customWidth="1"/>
    <col min="12906" max="12908" width="36.85546875" style="130" customWidth="1"/>
    <col min="12909" max="12909" width="36.5703125" style="130" customWidth="1"/>
    <col min="12910" max="12917" width="36.85546875" style="130" customWidth="1"/>
    <col min="12918" max="12918" width="36.5703125" style="130" customWidth="1"/>
    <col min="12919" max="13056" width="36.85546875" style="130"/>
    <col min="13057" max="13057" width="18.5703125" style="130" customWidth="1"/>
    <col min="13058" max="13066" width="31.42578125" style="130" customWidth="1"/>
    <col min="13067" max="13083" width="36.85546875" style="130" customWidth="1"/>
    <col min="13084" max="13084" width="37" style="130" customWidth="1"/>
    <col min="13085" max="13100" width="36.85546875" style="130" customWidth="1"/>
    <col min="13101" max="13101" width="37.140625" style="130" customWidth="1"/>
    <col min="13102" max="13103" width="36.85546875" style="130" customWidth="1"/>
    <col min="13104" max="13104" width="36.5703125" style="130" customWidth="1"/>
    <col min="13105" max="13106" width="36.85546875" style="130" customWidth="1"/>
    <col min="13107" max="13107" width="36.5703125" style="130" customWidth="1"/>
    <col min="13108" max="13108" width="37" style="130" customWidth="1"/>
    <col min="13109" max="13127" width="36.85546875" style="130" customWidth="1"/>
    <col min="13128" max="13128" width="37" style="130" customWidth="1"/>
    <col min="13129" max="13146" width="36.85546875" style="130" customWidth="1"/>
    <col min="13147" max="13147" width="36.5703125" style="130" customWidth="1"/>
    <col min="13148" max="13160" width="36.85546875" style="130" customWidth="1"/>
    <col min="13161" max="13161" width="36.5703125" style="130" customWidth="1"/>
    <col min="13162" max="13164" width="36.85546875" style="130" customWidth="1"/>
    <col min="13165" max="13165" width="36.5703125" style="130" customWidth="1"/>
    <col min="13166" max="13173" width="36.85546875" style="130" customWidth="1"/>
    <col min="13174" max="13174" width="36.5703125" style="130" customWidth="1"/>
    <col min="13175" max="13312" width="36.85546875" style="130"/>
    <col min="13313" max="13313" width="18.5703125" style="130" customWidth="1"/>
    <col min="13314" max="13322" width="31.42578125" style="130" customWidth="1"/>
    <col min="13323" max="13339" width="36.85546875" style="130" customWidth="1"/>
    <col min="13340" max="13340" width="37" style="130" customWidth="1"/>
    <col min="13341" max="13356" width="36.85546875" style="130" customWidth="1"/>
    <col min="13357" max="13357" width="37.140625" style="130" customWidth="1"/>
    <col min="13358" max="13359" width="36.85546875" style="130" customWidth="1"/>
    <col min="13360" max="13360" width="36.5703125" style="130" customWidth="1"/>
    <col min="13361" max="13362" width="36.85546875" style="130" customWidth="1"/>
    <col min="13363" max="13363" width="36.5703125" style="130" customWidth="1"/>
    <col min="13364" max="13364" width="37" style="130" customWidth="1"/>
    <col min="13365" max="13383" width="36.85546875" style="130" customWidth="1"/>
    <col min="13384" max="13384" width="37" style="130" customWidth="1"/>
    <col min="13385" max="13402" width="36.85546875" style="130" customWidth="1"/>
    <col min="13403" max="13403" width="36.5703125" style="130" customWidth="1"/>
    <col min="13404" max="13416" width="36.85546875" style="130" customWidth="1"/>
    <col min="13417" max="13417" width="36.5703125" style="130" customWidth="1"/>
    <col min="13418" max="13420" width="36.85546875" style="130" customWidth="1"/>
    <col min="13421" max="13421" width="36.5703125" style="130" customWidth="1"/>
    <col min="13422" max="13429" width="36.85546875" style="130" customWidth="1"/>
    <col min="13430" max="13430" width="36.5703125" style="130" customWidth="1"/>
    <col min="13431" max="13568" width="36.85546875" style="130"/>
    <col min="13569" max="13569" width="18.5703125" style="130" customWidth="1"/>
    <col min="13570" max="13578" width="31.42578125" style="130" customWidth="1"/>
    <col min="13579" max="13595" width="36.85546875" style="130" customWidth="1"/>
    <col min="13596" max="13596" width="37" style="130" customWidth="1"/>
    <col min="13597" max="13612" width="36.85546875" style="130" customWidth="1"/>
    <col min="13613" max="13613" width="37.140625" style="130" customWidth="1"/>
    <col min="13614" max="13615" width="36.85546875" style="130" customWidth="1"/>
    <col min="13616" max="13616" width="36.5703125" style="130" customWidth="1"/>
    <col min="13617" max="13618" width="36.85546875" style="130" customWidth="1"/>
    <col min="13619" max="13619" width="36.5703125" style="130" customWidth="1"/>
    <col min="13620" max="13620" width="37" style="130" customWidth="1"/>
    <col min="13621" max="13639" width="36.85546875" style="130" customWidth="1"/>
    <col min="13640" max="13640" width="37" style="130" customWidth="1"/>
    <col min="13641" max="13658" width="36.85546875" style="130" customWidth="1"/>
    <col min="13659" max="13659" width="36.5703125" style="130" customWidth="1"/>
    <col min="13660" max="13672" width="36.85546875" style="130" customWidth="1"/>
    <col min="13673" max="13673" width="36.5703125" style="130" customWidth="1"/>
    <col min="13674" max="13676" width="36.85546875" style="130" customWidth="1"/>
    <col min="13677" max="13677" width="36.5703125" style="130" customWidth="1"/>
    <col min="13678" max="13685" width="36.85546875" style="130" customWidth="1"/>
    <col min="13686" max="13686" width="36.5703125" style="130" customWidth="1"/>
    <col min="13687" max="13824" width="36.85546875" style="130"/>
    <col min="13825" max="13825" width="18.5703125" style="130" customWidth="1"/>
    <col min="13826" max="13834" width="31.42578125" style="130" customWidth="1"/>
    <col min="13835" max="13851" width="36.85546875" style="130" customWidth="1"/>
    <col min="13852" max="13852" width="37" style="130" customWidth="1"/>
    <col min="13853" max="13868" width="36.85546875" style="130" customWidth="1"/>
    <col min="13869" max="13869" width="37.140625" style="130" customWidth="1"/>
    <col min="13870" max="13871" width="36.85546875" style="130" customWidth="1"/>
    <col min="13872" max="13872" width="36.5703125" style="130" customWidth="1"/>
    <col min="13873" max="13874" width="36.85546875" style="130" customWidth="1"/>
    <col min="13875" max="13875" width="36.5703125" style="130" customWidth="1"/>
    <col min="13876" max="13876" width="37" style="130" customWidth="1"/>
    <col min="13877" max="13895" width="36.85546875" style="130" customWidth="1"/>
    <col min="13896" max="13896" width="37" style="130" customWidth="1"/>
    <col min="13897" max="13914" width="36.85546875" style="130" customWidth="1"/>
    <col min="13915" max="13915" width="36.5703125" style="130" customWidth="1"/>
    <col min="13916" max="13928" width="36.85546875" style="130" customWidth="1"/>
    <col min="13929" max="13929" width="36.5703125" style="130" customWidth="1"/>
    <col min="13930" max="13932" width="36.85546875" style="130" customWidth="1"/>
    <col min="13933" max="13933" width="36.5703125" style="130" customWidth="1"/>
    <col min="13934" max="13941" width="36.85546875" style="130" customWidth="1"/>
    <col min="13942" max="13942" width="36.5703125" style="130" customWidth="1"/>
    <col min="13943" max="14080" width="36.85546875" style="130"/>
    <col min="14081" max="14081" width="18.5703125" style="130" customWidth="1"/>
    <col min="14082" max="14090" width="31.42578125" style="130" customWidth="1"/>
    <col min="14091" max="14107" width="36.85546875" style="130" customWidth="1"/>
    <col min="14108" max="14108" width="37" style="130" customWidth="1"/>
    <col min="14109" max="14124" width="36.85546875" style="130" customWidth="1"/>
    <col min="14125" max="14125" width="37.140625" style="130" customWidth="1"/>
    <col min="14126" max="14127" width="36.85546875" style="130" customWidth="1"/>
    <col min="14128" max="14128" width="36.5703125" style="130" customWidth="1"/>
    <col min="14129" max="14130" width="36.85546875" style="130" customWidth="1"/>
    <col min="14131" max="14131" width="36.5703125" style="130" customWidth="1"/>
    <col min="14132" max="14132" width="37" style="130" customWidth="1"/>
    <col min="14133" max="14151" width="36.85546875" style="130" customWidth="1"/>
    <col min="14152" max="14152" width="37" style="130" customWidth="1"/>
    <col min="14153" max="14170" width="36.85546875" style="130" customWidth="1"/>
    <col min="14171" max="14171" width="36.5703125" style="130" customWidth="1"/>
    <col min="14172" max="14184" width="36.85546875" style="130" customWidth="1"/>
    <col min="14185" max="14185" width="36.5703125" style="130" customWidth="1"/>
    <col min="14186" max="14188" width="36.85546875" style="130" customWidth="1"/>
    <col min="14189" max="14189" width="36.5703125" style="130" customWidth="1"/>
    <col min="14190" max="14197" width="36.85546875" style="130" customWidth="1"/>
    <col min="14198" max="14198" width="36.5703125" style="130" customWidth="1"/>
    <col min="14199" max="14336" width="36.85546875" style="130"/>
    <col min="14337" max="14337" width="18.5703125" style="130" customWidth="1"/>
    <col min="14338" max="14346" width="31.42578125" style="130" customWidth="1"/>
    <col min="14347" max="14363" width="36.85546875" style="130" customWidth="1"/>
    <col min="14364" max="14364" width="37" style="130" customWidth="1"/>
    <col min="14365" max="14380" width="36.85546875" style="130" customWidth="1"/>
    <col min="14381" max="14381" width="37.140625" style="130" customWidth="1"/>
    <col min="14382" max="14383" width="36.85546875" style="130" customWidth="1"/>
    <col min="14384" max="14384" width="36.5703125" style="130" customWidth="1"/>
    <col min="14385" max="14386" width="36.85546875" style="130" customWidth="1"/>
    <col min="14387" max="14387" width="36.5703125" style="130" customWidth="1"/>
    <col min="14388" max="14388" width="37" style="130" customWidth="1"/>
    <col min="14389" max="14407" width="36.85546875" style="130" customWidth="1"/>
    <col min="14408" max="14408" width="37" style="130" customWidth="1"/>
    <col min="14409" max="14426" width="36.85546875" style="130" customWidth="1"/>
    <col min="14427" max="14427" width="36.5703125" style="130" customWidth="1"/>
    <col min="14428" max="14440" width="36.85546875" style="130" customWidth="1"/>
    <col min="14441" max="14441" width="36.5703125" style="130" customWidth="1"/>
    <col min="14442" max="14444" width="36.85546875" style="130" customWidth="1"/>
    <col min="14445" max="14445" width="36.5703125" style="130" customWidth="1"/>
    <col min="14446" max="14453" width="36.85546875" style="130" customWidth="1"/>
    <col min="14454" max="14454" width="36.5703125" style="130" customWidth="1"/>
    <col min="14455" max="14592" width="36.85546875" style="130"/>
    <col min="14593" max="14593" width="18.5703125" style="130" customWidth="1"/>
    <col min="14594" max="14602" width="31.42578125" style="130" customWidth="1"/>
    <col min="14603" max="14619" width="36.85546875" style="130" customWidth="1"/>
    <col min="14620" max="14620" width="37" style="130" customWidth="1"/>
    <col min="14621" max="14636" width="36.85546875" style="130" customWidth="1"/>
    <col min="14637" max="14637" width="37.140625" style="130" customWidth="1"/>
    <col min="14638" max="14639" width="36.85546875" style="130" customWidth="1"/>
    <col min="14640" max="14640" width="36.5703125" style="130" customWidth="1"/>
    <col min="14641" max="14642" width="36.85546875" style="130" customWidth="1"/>
    <col min="14643" max="14643" width="36.5703125" style="130" customWidth="1"/>
    <col min="14644" max="14644" width="37" style="130" customWidth="1"/>
    <col min="14645" max="14663" width="36.85546875" style="130" customWidth="1"/>
    <col min="14664" max="14664" width="37" style="130" customWidth="1"/>
    <col min="14665" max="14682" width="36.85546875" style="130" customWidth="1"/>
    <col min="14683" max="14683" width="36.5703125" style="130" customWidth="1"/>
    <col min="14684" max="14696" width="36.85546875" style="130" customWidth="1"/>
    <col min="14697" max="14697" width="36.5703125" style="130" customWidth="1"/>
    <col min="14698" max="14700" width="36.85546875" style="130" customWidth="1"/>
    <col min="14701" max="14701" width="36.5703125" style="130" customWidth="1"/>
    <col min="14702" max="14709" width="36.85546875" style="130" customWidth="1"/>
    <col min="14710" max="14710" width="36.5703125" style="130" customWidth="1"/>
    <col min="14711" max="14848" width="36.85546875" style="130"/>
    <col min="14849" max="14849" width="18.5703125" style="130" customWidth="1"/>
    <col min="14850" max="14858" width="31.42578125" style="130" customWidth="1"/>
    <col min="14859" max="14875" width="36.85546875" style="130" customWidth="1"/>
    <col min="14876" max="14876" width="37" style="130" customWidth="1"/>
    <col min="14877" max="14892" width="36.85546875" style="130" customWidth="1"/>
    <col min="14893" max="14893" width="37.140625" style="130" customWidth="1"/>
    <col min="14894" max="14895" width="36.85546875" style="130" customWidth="1"/>
    <col min="14896" max="14896" width="36.5703125" style="130" customWidth="1"/>
    <col min="14897" max="14898" width="36.85546875" style="130" customWidth="1"/>
    <col min="14899" max="14899" width="36.5703125" style="130" customWidth="1"/>
    <col min="14900" max="14900" width="37" style="130" customWidth="1"/>
    <col min="14901" max="14919" width="36.85546875" style="130" customWidth="1"/>
    <col min="14920" max="14920" width="37" style="130" customWidth="1"/>
    <col min="14921" max="14938" width="36.85546875" style="130" customWidth="1"/>
    <col min="14939" max="14939" width="36.5703125" style="130" customWidth="1"/>
    <col min="14940" max="14952" width="36.85546875" style="130" customWidth="1"/>
    <col min="14953" max="14953" width="36.5703125" style="130" customWidth="1"/>
    <col min="14954" max="14956" width="36.85546875" style="130" customWidth="1"/>
    <col min="14957" max="14957" width="36.5703125" style="130" customWidth="1"/>
    <col min="14958" max="14965" width="36.85546875" style="130" customWidth="1"/>
    <col min="14966" max="14966" width="36.5703125" style="130" customWidth="1"/>
    <col min="14967" max="15104" width="36.85546875" style="130"/>
    <col min="15105" max="15105" width="18.5703125" style="130" customWidth="1"/>
    <col min="15106" max="15114" width="31.42578125" style="130" customWidth="1"/>
    <col min="15115" max="15131" width="36.85546875" style="130" customWidth="1"/>
    <col min="15132" max="15132" width="37" style="130" customWidth="1"/>
    <col min="15133" max="15148" width="36.85546875" style="130" customWidth="1"/>
    <col min="15149" max="15149" width="37.140625" style="130" customWidth="1"/>
    <col min="15150" max="15151" width="36.85546875" style="130" customWidth="1"/>
    <col min="15152" max="15152" width="36.5703125" style="130" customWidth="1"/>
    <col min="15153" max="15154" width="36.85546875" style="130" customWidth="1"/>
    <col min="15155" max="15155" width="36.5703125" style="130" customWidth="1"/>
    <col min="15156" max="15156" width="37" style="130" customWidth="1"/>
    <col min="15157" max="15175" width="36.85546875" style="130" customWidth="1"/>
    <col min="15176" max="15176" width="37" style="130" customWidth="1"/>
    <col min="15177" max="15194" width="36.85546875" style="130" customWidth="1"/>
    <col min="15195" max="15195" width="36.5703125" style="130" customWidth="1"/>
    <col min="15196" max="15208" width="36.85546875" style="130" customWidth="1"/>
    <col min="15209" max="15209" width="36.5703125" style="130" customWidth="1"/>
    <col min="15210" max="15212" width="36.85546875" style="130" customWidth="1"/>
    <col min="15213" max="15213" width="36.5703125" style="130" customWidth="1"/>
    <col min="15214" max="15221" width="36.85546875" style="130" customWidth="1"/>
    <col min="15222" max="15222" width="36.5703125" style="130" customWidth="1"/>
    <col min="15223" max="15360" width="36.85546875" style="130"/>
    <col min="15361" max="15361" width="18.5703125" style="130" customWidth="1"/>
    <col min="15362" max="15370" width="31.42578125" style="130" customWidth="1"/>
    <col min="15371" max="15387" width="36.85546875" style="130" customWidth="1"/>
    <col min="15388" max="15388" width="37" style="130" customWidth="1"/>
    <col min="15389" max="15404" width="36.85546875" style="130" customWidth="1"/>
    <col min="15405" max="15405" width="37.140625" style="130" customWidth="1"/>
    <col min="15406" max="15407" width="36.85546875" style="130" customWidth="1"/>
    <col min="15408" max="15408" width="36.5703125" style="130" customWidth="1"/>
    <col min="15409" max="15410" width="36.85546875" style="130" customWidth="1"/>
    <col min="15411" max="15411" width="36.5703125" style="130" customWidth="1"/>
    <col min="15412" max="15412" width="37" style="130" customWidth="1"/>
    <col min="15413" max="15431" width="36.85546875" style="130" customWidth="1"/>
    <col min="15432" max="15432" width="37" style="130" customWidth="1"/>
    <col min="15433" max="15450" width="36.85546875" style="130" customWidth="1"/>
    <col min="15451" max="15451" width="36.5703125" style="130" customWidth="1"/>
    <col min="15452" max="15464" width="36.85546875" style="130" customWidth="1"/>
    <col min="15465" max="15465" width="36.5703125" style="130" customWidth="1"/>
    <col min="15466" max="15468" width="36.85546875" style="130" customWidth="1"/>
    <col min="15469" max="15469" width="36.5703125" style="130" customWidth="1"/>
    <col min="15470" max="15477" width="36.85546875" style="130" customWidth="1"/>
    <col min="15478" max="15478" width="36.5703125" style="130" customWidth="1"/>
    <col min="15479" max="15616" width="36.85546875" style="130"/>
    <col min="15617" max="15617" width="18.5703125" style="130" customWidth="1"/>
    <col min="15618" max="15626" width="31.42578125" style="130" customWidth="1"/>
    <col min="15627" max="15643" width="36.85546875" style="130" customWidth="1"/>
    <col min="15644" max="15644" width="37" style="130" customWidth="1"/>
    <col min="15645" max="15660" width="36.85546875" style="130" customWidth="1"/>
    <col min="15661" max="15661" width="37.140625" style="130" customWidth="1"/>
    <col min="15662" max="15663" width="36.85546875" style="130" customWidth="1"/>
    <col min="15664" max="15664" width="36.5703125" style="130" customWidth="1"/>
    <col min="15665" max="15666" width="36.85546875" style="130" customWidth="1"/>
    <col min="15667" max="15667" width="36.5703125" style="130" customWidth="1"/>
    <col min="15668" max="15668" width="37" style="130" customWidth="1"/>
    <col min="15669" max="15687" width="36.85546875" style="130" customWidth="1"/>
    <col min="15688" max="15688" width="37" style="130" customWidth="1"/>
    <col min="15689" max="15706" width="36.85546875" style="130" customWidth="1"/>
    <col min="15707" max="15707" width="36.5703125" style="130" customWidth="1"/>
    <col min="15708" max="15720" width="36.85546875" style="130" customWidth="1"/>
    <col min="15721" max="15721" width="36.5703125" style="130" customWidth="1"/>
    <col min="15722" max="15724" width="36.85546875" style="130" customWidth="1"/>
    <col min="15725" max="15725" width="36.5703125" style="130" customWidth="1"/>
    <col min="15726" max="15733" width="36.85546875" style="130" customWidth="1"/>
    <col min="15734" max="15734" width="36.5703125" style="130" customWidth="1"/>
    <col min="15735" max="15872" width="36.85546875" style="130"/>
    <col min="15873" max="15873" width="18.5703125" style="130" customWidth="1"/>
    <col min="15874" max="15882" width="31.42578125" style="130" customWidth="1"/>
    <col min="15883" max="15899" width="36.85546875" style="130" customWidth="1"/>
    <col min="15900" max="15900" width="37" style="130" customWidth="1"/>
    <col min="15901" max="15916" width="36.85546875" style="130" customWidth="1"/>
    <col min="15917" max="15917" width="37.140625" style="130" customWidth="1"/>
    <col min="15918" max="15919" width="36.85546875" style="130" customWidth="1"/>
    <col min="15920" max="15920" width="36.5703125" style="130" customWidth="1"/>
    <col min="15921" max="15922" width="36.85546875" style="130" customWidth="1"/>
    <col min="15923" max="15923" width="36.5703125" style="130" customWidth="1"/>
    <col min="15924" max="15924" width="37" style="130" customWidth="1"/>
    <col min="15925" max="15943" width="36.85546875" style="130" customWidth="1"/>
    <col min="15944" max="15944" width="37" style="130" customWidth="1"/>
    <col min="15945" max="15962" width="36.85546875" style="130" customWidth="1"/>
    <col min="15963" max="15963" width="36.5703125" style="130" customWidth="1"/>
    <col min="15964" max="15976" width="36.85546875" style="130" customWidth="1"/>
    <col min="15977" max="15977" width="36.5703125" style="130" customWidth="1"/>
    <col min="15978" max="15980" width="36.85546875" style="130" customWidth="1"/>
    <col min="15981" max="15981" width="36.5703125" style="130" customWidth="1"/>
    <col min="15982" max="15989" width="36.85546875" style="130" customWidth="1"/>
    <col min="15990" max="15990" width="36.5703125" style="130" customWidth="1"/>
    <col min="15991" max="16128" width="36.85546875" style="130"/>
    <col min="16129" max="16129" width="18.5703125" style="130" customWidth="1"/>
    <col min="16130" max="16138" width="31.42578125" style="130" customWidth="1"/>
    <col min="16139" max="16155" width="36.85546875" style="130" customWidth="1"/>
    <col min="16156" max="16156" width="37" style="130" customWidth="1"/>
    <col min="16157" max="16172" width="36.85546875" style="130" customWidth="1"/>
    <col min="16173" max="16173" width="37.140625" style="130" customWidth="1"/>
    <col min="16174" max="16175" width="36.85546875" style="130" customWidth="1"/>
    <col min="16176" max="16176" width="36.5703125" style="130" customWidth="1"/>
    <col min="16177" max="16178" width="36.85546875" style="130" customWidth="1"/>
    <col min="16179" max="16179" width="36.5703125" style="130" customWidth="1"/>
    <col min="16180" max="16180" width="37" style="130" customWidth="1"/>
    <col min="16181" max="16199" width="36.85546875" style="130" customWidth="1"/>
    <col min="16200" max="16200" width="37" style="130" customWidth="1"/>
    <col min="16201" max="16218" width="36.85546875" style="130" customWidth="1"/>
    <col min="16219" max="16219" width="36.5703125" style="130" customWidth="1"/>
    <col min="16220" max="16232" width="36.85546875" style="130" customWidth="1"/>
    <col min="16233" max="16233" width="36.5703125" style="130" customWidth="1"/>
    <col min="16234" max="16236" width="36.85546875" style="130" customWidth="1"/>
    <col min="16237" max="16237" width="36.5703125" style="130" customWidth="1"/>
    <col min="16238" max="16245" width="36.85546875" style="130" customWidth="1"/>
    <col min="16246" max="16246" width="36.5703125" style="130" customWidth="1"/>
    <col min="16247" max="16384" width="36.85546875" style="130"/>
  </cols>
  <sheetData>
    <row r="1" spans="1:245" s="76" customFormat="1" ht="12.75" customHeight="1" x14ac:dyDescent="0.25">
      <c r="A1" s="72" t="s">
        <v>113</v>
      </c>
      <c r="B1" s="73"/>
      <c r="C1" s="74"/>
      <c r="D1" s="74"/>
      <c r="E1" s="74"/>
      <c r="F1" s="74"/>
      <c r="G1" s="74"/>
      <c r="H1" s="74"/>
      <c r="I1" s="74"/>
      <c r="J1" s="74"/>
      <c r="K1" s="75"/>
      <c r="L1" s="75"/>
      <c r="M1" s="75"/>
      <c r="N1" s="75"/>
      <c r="O1" s="75"/>
      <c r="P1" s="75"/>
      <c r="Q1" s="75"/>
      <c r="R1" s="75"/>
      <c r="S1" s="75"/>
      <c r="T1" s="75"/>
      <c r="U1" s="75"/>
      <c r="V1" s="75"/>
      <c r="W1" s="75"/>
      <c r="X1" s="75"/>
      <c r="Y1" s="75"/>
      <c r="Z1" s="75"/>
      <c r="AA1" s="75"/>
      <c r="AB1" s="75"/>
      <c r="AC1" s="75"/>
      <c r="AD1" s="75"/>
      <c r="AE1" s="75"/>
      <c r="AF1" s="75"/>
      <c r="AG1" s="75"/>
      <c r="AH1" s="75"/>
      <c r="AI1" s="75"/>
    </row>
    <row r="2" spans="1:245" s="80" customFormat="1" ht="12.75" customHeight="1" x14ac:dyDescent="0.25">
      <c r="A2" s="77" t="s">
        <v>114</v>
      </c>
      <c r="B2" s="78">
        <v>1</v>
      </c>
      <c r="C2" s="78">
        <v>2</v>
      </c>
      <c r="D2" s="78">
        <v>3</v>
      </c>
      <c r="E2" s="78">
        <v>4</v>
      </c>
      <c r="F2" s="78">
        <v>5</v>
      </c>
      <c r="G2" s="78">
        <v>6</v>
      </c>
      <c r="H2" s="78">
        <v>7</v>
      </c>
      <c r="I2" s="78">
        <v>8</v>
      </c>
      <c r="J2" s="78">
        <v>9</v>
      </c>
      <c r="K2" s="78"/>
      <c r="L2" s="78"/>
      <c r="M2" s="78"/>
      <c r="N2" s="78"/>
      <c r="O2" s="78"/>
      <c r="P2" s="78"/>
      <c r="Q2" s="78"/>
      <c r="R2" s="78"/>
      <c r="S2" s="78"/>
      <c r="T2" s="78"/>
      <c r="U2" s="78"/>
      <c r="V2" s="78"/>
      <c r="W2" s="78"/>
      <c r="X2" s="78"/>
      <c r="Y2" s="78"/>
      <c r="Z2" s="78"/>
      <c r="AA2" s="78"/>
      <c r="AB2" s="78"/>
      <c r="AC2" s="78"/>
      <c r="AD2" s="78"/>
      <c r="AE2" s="78"/>
      <c r="AF2" s="78"/>
      <c r="AG2" s="78"/>
      <c r="AH2" s="78"/>
      <c r="AI2" s="78"/>
      <c r="AJ2" s="79"/>
      <c r="AK2" s="79" t="str">
        <f t="shared" ref="AK2:CV2" si="0">IF(AK3="","",AJ2+1)</f>
        <v/>
      </c>
      <c r="AL2" s="79" t="str">
        <f t="shared" si="0"/>
        <v/>
      </c>
      <c r="AM2" s="79" t="str">
        <f t="shared" si="0"/>
        <v/>
      </c>
      <c r="AN2" s="79" t="str">
        <f t="shared" si="0"/>
        <v/>
      </c>
      <c r="AO2" s="79" t="str">
        <f t="shared" si="0"/>
        <v/>
      </c>
      <c r="AP2" s="79" t="str">
        <f t="shared" si="0"/>
        <v/>
      </c>
      <c r="AQ2" s="79" t="str">
        <f t="shared" si="0"/>
        <v/>
      </c>
      <c r="AR2" s="79" t="str">
        <f t="shared" si="0"/>
        <v/>
      </c>
      <c r="AS2" s="79" t="str">
        <f t="shared" si="0"/>
        <v/>
      </c>
      <c r="AT2" s="79" t="str">
        <f t="shared" si="0"/>
        <v/>
      </c>
      <c r="AU2" s="79" t="str">
        <f t="shared" si="0"/>
        <v/>
      </c>
      <c r="AV2" s="79" t="str">
        <f t="shared" si="0"/>
        <v/>
      </c>
      <c r="AW2" s="79" t="str">
        <f t="shared" si="0"/>
        <v/>
      </c>
      <c r="AX2" s="79" t="str">
        <f t="shared" si="0"/>
        <v/>
      </c>
      <c r="AY2" s="79" t="str">
        <f t="shared" si="0"/>
        <v/>
      </c>
      <c r="AZ2" s="79" t="str">
        <f t="shared" si="0"/>
        <v/>
      </c>
      <c r="BA2" s="79" t="str">
        <f t="shared" si="0"/>
        <v/>
      </c>
      <c r="BB2" s="79" t="str">
        <f t="shared" si="0"/>
        <v/>
      </c>
      <c r="BC2" s="79" t="str">
        <f t="shared" si="0"/>
        <v/>
      </c>
      <c r="BD2" s="79" t="str">
        <f t="shared" si="0"/>
        <v/>
      </c>
      <c r="BE2" s="79" t="str">
        <f t="shared" si="0"/>
        <v/>
      </c>
      <c r="BF2" s="79" t="str">
        <f t="shared" si="0"/>
        <v/>
      </c>
      <c r="BG2" s="79" t="str">
        <f t="shared" si="0"/>
        <v/>
      </c>
      <c r="BH2" s="79" t="str">
        <f t="shared" si="0"/>
        <v/>
      </c>
      <c r="BI2" s="79" t="str">
        <f t="shared" si="0"/>
        <v/>
      </c>
      <c r="BJ2" s="79" t="str">
        <f t="shared" si="0"/>
        <v/>
      </c>
      <c r="BK2" s="79" t="str">
        <f t="shared" si="0"/>
        <v/>
      </c>
      <c r="BL2" s="79" t="str">
        <f t="shared" si="0"/>
        <v/>
      </c>
      <c r="BM2" s="79" t="str">
        <f t="shared" si="0"/>
        <v/>
      </c>
      <c r="BN2" s="79" t="str">
        <f t="shared" si="0"/>
        <v/>
      </c>
      <c r="BO2" s="79" t="str">
        <f t="shared" si="0"/>
        <v/>
      </c>
      <c r="BP2" s="79" t="str">
        <f t="shared" si="0"/>
        <v/>
      </c>
      <c r="BQ2" s="79" t="str">
        <f t="shared" si="0"/>
        <v/>
      </c>
      <c r="BR2" s="79" t="str">
        <f t="shared" si="0"/>
        <v/>
      </c>
      <c r="BS2" s="79" t="str">
        <f t="shared" si="0"/>
        <v/>
      </c>
      <c r="BT2" s="79" t="str">
        <f t="shared" si="0"/>
        <v/>
      </c>
      <c r="BU2" s="79" t="str">
        <f t="shared" si="0"/>
        <v/>
      </c>
      <c r="BV2" s="79" t="str">
        <f t="shared" si="0"/>
        <v/>
      </c>
      <c r="BW2" s="79" t="str">
        <f t="shared" si="0"/>
        <v/>
      </c>
      <c r="BX2" s="79" t="str">
        <f t="shared" si="0"/>
        <v/>
      </c>
      <c r="BY2" s="79" t="str">
        <f t="shared" si="0"/>
        <v/>
      </c>
      <c r="BZ2" s="79" t="str">
        <f t="shared" si="0"/>
        <v/>
      </c>
      <c r="CA2" s="79" t="str">
        <f t="shared" si="0"/>
        <v/>
      </c>
      <c r="CB2" s="79" t="str">
        <f t="shared" si="0"/>
        <v/>
      </c>
      <c r="CC2" s="79" t="str">
        <f t="shared" si="0"/>
        <v/>
      </c>
      <c r="CD2" s="79" t="str">
        <f t="shared" si="0"/>
        <v/>
      </c>
      <c r="CE2" s="79" t="str">
        <f t="shared" si="0"/>
        <v/>
      </c>
      <c r="CF2" s="79" t="str">
        <f t="shared" si="0"/>
        <v/>
      </c>
      <c r="CG2" s="79" t="str">
        <f t="shared" si="0"/>
        <v/>
      </c>
      <c r="CH2" s="79" t="str">
        <f t="shared" si="0"/>
        <v/>
      </c>
      <c r="CI2" s="79" t="str">
        <f t="shared" si="0"/>
        <v/>
      </c>
      <c r="CJ2" s="79" t="str">
        <f t="shared" si="0"/>
        <v/>
      </c>
      <c r="CK2" s="79" t="str">
        <f t="shared" si="0"/>
        <v/>
      </c>
      <c r="CL2" s="79" t="str">
        <f t="shared" si="0"/>
        <v/>
      </c>
      <c r="CM2" s="79" t="str">
        <f t="shared" si="0"/>
        <v/>
      </c>
      <c r="CN2" s="79" t="str">
        <f t="shared" si="0"/>
        <v/>
      </c>
      <c r="CO2" s="79" t="str">
        <f t="shared" si="0"/>
        <v/>
      </c>
      <c r="CP2" s="79" t="str">
        <f t="shared" si="0"/>
        <v/>
      </c>
      <c r="CQ2" s="79" t="str">
        <f t="shared" si="0"/>
        <v/>
      </c>
      <c r="CR2" s="79" t="str">
        <f t="shared" si="0"/>
        <v/>
      </c>
      <c r="CS2" s="79" t="str">
        <f t="shared" si="0"/>
        <v/>
      </c>
      <c r="CT2" s="79" t="str">
        <f t="shared" si="0"/>
        <v/>
      </c>
      <c r="CU2" s="79" t="str">
        <f t="shared" si="0"/>
        <v/>
      </c>
      <c r="CV2" s="79" t="str">
        <f t="shared" si="0"/>
        <v/>
      </c>
      <c r="CW2" s="79" t="str">
        <f t="shared" ref="CW2:FH2" si="1">IF(CW3="","",CV2+1)</f>
        <v/>
      </c>
      <c r="CX2" s="79" t="str">
        <f t="shared" si="1"/>
        <v/>
      </c>
      <c r="CY2" s="79" t="str">
        <f t="shared" si="1"/>
        <v/>
      </c>
      <c r="CZ2" s="79" t="str">
        <f t="shared" si="1"/>
        <v/>
      </c>
      <c r="DA2" s="79" t="str">
        <f t="shared" si="1"/>
        <v/>
      </c>
      <c r="DB2" s="79" t="str">
        <f t="shared" si="1"/>
        <v/>
      </c>
      <c r="DC2" s="79" t="str">
        <f t="shared" si="1"/>
        <v/>
      </c>
      <c r="DD2" s="79" t="str">
        <f t="shared" si="1"/>
        <v/>
      </c>
      <c r="DE2" s="79" t="str">
        <f t="shared" si="1"/>
        <v/>
      </c>
      <c r="DF2" s="79" t="str">
        <f t="shared" si="1"/>
        <v/>
      </c>
      <c r="DG2" s="79" t="str">
        <f t="shared" si="1"/>
        <v/>
      </c>
      <c r="DH2" s="79" t="str">
        <f t="shared" si="1"/>
        <v/>
      </c>
      <c r="DI2" s="79" t="str">
        <f t="shared" si="1"/>
        <v/>
      </c>
      <c r="DJ2" s="79" t="str">
        <f t="shared" si="1"/>
        <v/>
      </c>
      <c r="DK2" s="79" t="str">
        <f t="shared" si="1"/>
        <v/>
      </c>
      <c r="DL2" s="79" t="str">
        <f t="shared" si="1"/>
        <v/>
      </c>
      <c r="DM2" s="79" t="str">
        <f t="shared" si="1"/>
        <v/>
      </c>
      <c r="DN2" s="79" t="str">
        <f t="shared" si="1"/>
        <v/>
      </c>
      <c r="DO2" s="79" t="str">
        <f t="shared" si="1"/>
        <v/>
      </c>
      <c r="DP2" s="79" t="str">
        <f t="shared" si="1"/>
        <v/>
      </c>
      <c r="DQ2" s="79" t="str">
        <f t="shared" si="1"/>
        <v/>
      </c>
      <c r="DR2" s="79" t="str">
        <f t="shared" si="1"/>
        <v/>
      </c>
      <c r="DS2" s="79" t="str">
        <f t="shared" si="1"/>
        <v/>
      </c>
      <c r="DT2" s="79" t="str">
        <f t="shared" si="1"/>
        <v/>
      </c>
      <c r="DU2" s="79" t="str">
        <f t="shared" si="1"/>
        <v/>
      </c>
      <c r="DV2" s="79" t="str">
        <f t="shared" si="1"/>
        <v/>
      </c>
      <c r="DW2" s="79" t="str">
        <f t="shared" si="1"/>
        <v/>
      </c>
      <c r="DX2" s="79" t="str">
        <f t="shared" si="1"/>
        <v/>
      </c>
      <c r="DY2" s="79" t="str">
        <f t="shared" si="1"/>
        <v/>
      </c>
      <c r="DZ2" s="79" t="str">
        <f t="shared" si="1"/>
        <v/>
      </c>
      <c r="EA2" s="79" t="str">
        <f t="shared" si="1"/>
        <v/>
      </c>
      <c r="EB2" s="79" t="str">
        <f t="shared" si="1"/>
        <v/>
      </c>
      <c r="EC2" s="79" t="str">
        <f t="shared" si="1"/>
        <v/>
      </c>
      <c r="ED2" s="79" t="str">
        <f t="shared" si="1"/>
        <v/>
      </c>
      <c r="EE2" s="79" t="str">
        <f t="shared" si="1"/>
        <v/>
      </c>
      <c r="EF2" s="79" t="str">
        <f t="shared" si="1"/>
        <v/>
      </c>
      <c r="EG2" s="79" t="str">
        <f t="shared" si="1"/>
        <v/>
      </c>
      <c r="EH2" s="79" t="str">
        <f t="shared" si="1"/>
        <v/>
      </c>
      <c r="EI2" s="79" t="str">
        <f t="shared" si="1"/>
        <v/>
      </c>
      <c r="EJ2" s="79" t="str">
        <f t="shared" si="1"/>
        <v/>
      </c>
      <c r="EK2" s="79" t="str">
        <f t="shared" si="1"/>
        <v/>
      </c>
      <c r="EL2" s="79" t="str">
        <f t="shared" si="1"/>
        <v/>
      </c>
      <c r="EM2" s="79" t="str">
        <f t="shared" si="1"/>
        <v/>
      </c>
      <c r="EN2" s="79" t="str">
        <f t="shared" si="1"/>
        <v/>
      </c>
      <c r="EO2" s="79" t="str">
        <f t="shared" si="1"/>
        <v/>
      </c>
      <c r="EP2" s="79" t="str">
        <f t="shared" si="1"/>
        <v/>
      </c>
      <c r="EQ2" s="79" t="str">
        <f t="shared" si="1"/>
        <v/>
      </c>
      <c r="ER2" s="79" t="str">
        <f t="shared" si="1"/>
        <v/>
      </c>
      <c r="ES2" s="79" t="str">
        <f t="shared" si="1"/>
        <v/>
      </c>
      <c r="ET2" s="79" t="str">
        <f t="shared" si="1"/>
        <v/>
      </c>
      <c r="EU2" s="79" t="str">
        <f t="shared" si="1"/>
        <v/>
      </c>
      <c r="EV2" s="79" t="str">
        <f t="shared" si="1"/>
        <v/>
      </c>
      <c r="EW2" s="79" t="str">
        <f t="shared" si="1"/>
        <v/>
      </c>
      <c r="EX2" s="79" t="str">
        <f t="shared" si="1"/>
        <v/>
      </c>
      <c r="EY2" s="79" t="str">
        <f t="shared" si="1"/>
        <v/>
      </c>
      <c r="EZ2" s="79" t="str">
        <f t="shared" si="1"/>
        <v/>
      </c>
      <c r="FA2" s="79" t="str">
        <f t="shared" si="1"/>
        <v/>
      </c>
      <c r="FB2" s="79" t="str">
        <f t="shared" si="1"/>
        <v/>
      </c>
      <c r="FC2" s="79" t="str">
        <f t="shared" si="1"/>
        <v/>
      </c>
      <c r="FD2" s="79" t="str">
        <f t="shared" si="1"/>
        <v/>
      </c>
      <c r="FE2" s="79" t="str">
        <f t="shared" si="1"/>
        <v/>
      </c>
      <c r="FF2" s="79" t="str">
        <f t="shared" si="1"/>
        <v/>
      </c>
      <c r="FG2" s="79" t="str">
        <f t="shared" si="1"/>
        <v/>
      </c>
      <c r="FH2" s="79" t="str">
        <f t="shared" si="1"/>
        <v/>
      </c>
      <c r="FI2" s="79" t="str">
        <f t="shared" ref="FI2:HT2" si="2">IF(FI3="","",FH2+1)</f>
        <v/>
      </c>
      <c r="FJ2" s="79" t="str">
        <f t="shared" si="2"/>
        <v/>
      </c>
      <c r="FK2" s="79" t="str">
        <f t="shared" si="2"/>
        <v/>
      </c>
      <c r="FL2" s="79" t="str">
        <f t="shared" si="2"/>
        <v/>
      </c>
      <c r="FM2" s="79" t="str">
        <f t="shared" si="2"/>
        <v/>
      </c>
      <c r="FN2" s="79" t="str">
        <f t="shared" si="2"/>
        <v/>
      </c>
      <c r="FO2" s="79" t="str">
        <f t="shared" si="2"/>
        <v/>
      </c>
      <c r="FP2" s="79" t="str">
        <f t="shared" si="2"/>
        <v/>
      </c>
      <c r="FQ2" s="79" t="str">
        <f t="shared" si="2"/>
        <v/>
      </c>
      <c r="FR2" s="79" t="str">
        <f t="shared" si="2"/>
        <v/>
      </c>
      <c r="FS2" s="79" t="str">
        <f t="shared" si="2"/>
        <v/>
      </c>
      <c r="FT2" s="79" t="str">
        <f t="shared" si="2"/>
        <v/>
      </c>
      <c r="FU2" s="79" t="str">
        <f t="shared" si="2"/>
        <v/>
      </c>
      <c r="FV2" s="79" t="str">
        <f t="shared" si="2"/>
        <v/>
      </c>
      <c r="FW2" s="79" t="str">
        <f t="shared" si="2"/>
        <v/>
      </c>
      <c r="FX2" s="79" t="str">
        <f t="shared" si="2"/>
        <v/>
      </c>
      <c r="FY2" s="79" t="str">
        <f t="shared" si="2"/>
        <v/>
      </c>
      <c r="FZ2" s="79" t="str">
        <f t="shared" si="2"/>
        <v/>
      </c>
      <c r="GA2" s="79" t="str">
        <f t="shared" si="2"/>
        <v/>
      </c>
      <c r="GB2" s="79" t="str">
        <f t="shared" si="2"/>
        <v/>
      </c>
      <c r="GC2" s="79" t="str">
        <f t="shared" si="2"/>
        <v/>
      </c>
      <c r="GD2" s="79" t="str">
        <f t="shared" si="2"/>
        <v/>
      </c>
      <c r="GE2" s="79" t="str">
        <f t="shared" si="2"/>
        <v/>
      </c>
      <c r="GF2" s="79" t="str">
        <f t="shared" si="2"/>
        <v/>
      </c>
      <c r="GG2" s="79" t="str">
        <f t="shared" si="2"/>
        <v/>
      </c>
      <c r="GH2" s="79" t="str">
        <f t="shared" si="2"/>
        <v/>
      </c>
      <c r="GI2" s="79" t="str">
        <f t="shared" si="2"/>
        <v/>
      </c>
      <c r="GJ2" s="79" t="str">
        <f t="shared" si="2"/>
        <v/>
      </c>
      <c r="GK2" s="79" t="str">
        <f t="shared" si="2"/>
        <v/>
      </c>
      <c r="GL2" s="79" t="str">
        <f t="shared" si="2"/>
        <v/>
      </c>
      <c r="GM2" s="79" t="str">
        <f t="shared" si="2"/>
        <v/>
      </c>
      <c r="GN2" s="79" t="str">
        <f t="shared" si="2"/>
        <v/>
      </c>
      <c r="GO2" s="79" t="str">
        <f t="shared" si="2"/>
        <v/>
      </c>
      <c r="GP2" s="79" t="str">
        <f t="shared" si="2"/>
        <v/>
      </c>
      <c r="GQ2" s="79" t="str">
        <f t="shared" si="2"/>
        <v/>
      </c>
      <c r="GR2" s="79" t="str">
        <f t="shared" si="2"/>
        <v/>
      </c>
      <c r="GS2" s="79" t="str">
        <f t="shared" si="2"/>
        <v/>
      </c>
      <c r="GT2" s="79" t="str">
        <f t="shared" si="2"/>
        <v/>
      </c>
      <c r="GU2" s="79" t="str">
        <f t="shared" si="2"/>
        <v/>
      </c>
      <c r="GV2" s="79" t="str">
        <f t="shared" si="2"/>
        <v/>
      </c>
      <c r="GW2" s="79" t="str">
        <f t="shared" si="2"/>
        <v/>
      </c>
      <c r="GX2" s="79" t="str">
        <f t="shared" si="2"/>
        <v/>
      </c>
      <c r="GY2" s="79" t="str">
        <f t="shared" si="2"/>
        <v/>
      </c>
      <c r="GZ2" s="79" t="str">
        <f t="shared" si="2"/>
        <v/>
      </c>
      <c r="HA2" s="79" t="str">
        <f t="shared" si="2"/>
        <v/>
      </c>
      <c r="HB2" s="79" t="str">
        <f t="shared" si="2"/>
        <v/>
      </c>
      <c r="HC2" s="79" t="str">
        <f t="shared" si="2"/>
        <v/>
      </c>
      <c r="HD2" s="79" t="str">
        <f t="shared" si="2"/>
        <v/>
      </c>
      <c r="HE2" s="79" t="str">
        <f t="shared" si="2"/>
        <v/>
      </c>
      <c r="HF2" s="79" t="str">
        <f t="shared" si="2"/>
        <v/>
      </c>
      <c r="HG2" s="79" t="str">
        <f t="shared" si="2"/>
        <v/>
      </c>
      <c r="HH2" s="79" t="str">
        <f t="shared" si="2"/>
        <v/>
      </c>
      <c r="HI2" s="79" t="str">
        <f t="shared" si="2"/>
        <v/>
      </c>
      <c r="HJ2" s="79" t="str">
        <f t="shared" si="2"/>
        <v/>
      </c>
      <c r="HK2" s="79" t="str">
        <f t="shared" si="2"/>
        <v/>
      </c>
      <c r="HL2" s="79" t="str">
        <f t="shared" si="2"/>
        <v/>
      </c>
      <c r="HM2" s="79" t="str">
        <f t="shared" si="2"/>
        <v/>
      </c>
      <c r="HN2" s="79" t="str">
        <f t="shared" si="2"/>
        <v/>
      </c>
      <c r="HO2" s="79" t="str">
        <f t="shared" si="2"/>
        <v/>
      </c>
      <c r="HP2" s="79" t="str">
        <f t="shared" si="2"/>
        <v/>
      </c>
      <c r="HQ2" s="79" t="str">
        <f t="shared" si="2"/>
        <v/>
      </c>
      <c r="HR2" s="79" t="str">
        <f t="shared" si="2"/>
        <v/>
      </c>
      <c r="HS2" s="79" t="str">
        <f t="shared" si="2"/>
        <v/>
      </c>
      <c r="HT2" s="79" t="str">
        <f t="shared" si="2"/>
        <v/>
      </c>
      <c r="HU2" s="79" t="str">
        <f t="shared" ref="HU2:IK2" si="3">IF(HU3="","",HT2+1)</f>
        <v/>
      </c>
      <c r="HV2" s="79" t="str">
        <f t="shared" si="3"/>
        <v/>
      </c>
      <c r="HW2" s="79" t="str">
        <f t="shared" si="3"/>
        <v/>
      </c>
      <c r="HX2" s="79" t="str">
        <f t="shared" si="3"/>
        <v/>
      </c>
      <c r="HY2" s="79" t="str">
        <f t="shared" si="3"/>
        <v/>
      </c>
      <c r="HZ2" s="79" t="str">
        <f t="shared" si="3"/>
        <v/>
      </c>
      <c r="IA2" s="79" t="str">
        <f t="shared" si="3"/>
        <v/>
      </c>
      <c r="IB2" s="79" t="str">
        <f t="shared" si="3"/>
        <v/>
      </c>
      <c r="IC2" s="79" t="str">
        <f t="shared" si="3"/>
        <v/>
      </c>
      <c r="ID2" s="79" t="str">
        <f t="shared" si="3"/>
        <v/>
      </c>
      <c r="IE2" s="79" t="str">
        <f t="shared" si="3"/>
        <v/>
      </c>
      <c r="IF2" s="79" t="str">
        <f t="shared" si="3"/>
        <v/>
      </c>
      <c r="IG2" s="79" t="str">
        <f t="shared" si="3"/>
        <v/>
      </c>
      <c r="IH2" s="79" t="str">
        <f t="shared" si="3"/>
        <v/>
      </c>
      <c r="II2" s="79" t="str">
        <f t="shared" si="3"/>
        <v/>
      </c>
      <c r="IJ2" s="79" t="str">
        <f t="shared" si="3"/>
        <v/>
      </c>
      <c r="IK2" s="79" t="str">
        <f t="shared" si="3"/>
        <v/>
      </c>
    </row>
    <row r="3" spans="1:245" s="85" customFormat="1" x14ac:dyDescent="0.2">
      <c r="A3" s="81" t="s">
        <v>115</v>
      </c>
      <c r="B3" s="83" t="s">
        <v>145</v>
      </c>
      <c r="C3" s="82"/>
      <c r="D3" s="83" t="s">
        <v>788</v>
      </c>
      <c r="E3" s="83"/>
      <c r="F3" s="84"/>
      <c r="G3" s="82"/>
      <c r="H3" s="82"/>
      <c r="I3" s="82"/>
      <c r="J3" s="82"/>
      <c r="K3" s="83"/>
      <c r="L3" s="83"/>
      <c r="M3" s="83"/>
      <c r="N3" s="83"/>
      <c r="O3" s="83"/>
      <c r="P3" s="83"/>
      <c r="Q3" s="83"/>
      <c r="R3" s="83"/>
      <c r="S3" s="83"/>
      <c r="T3" s="83"/>
      <c r="U3" s="83"/>
      <c r="V3" s="83"/>
      <c r="W3" s="83"/>
      <c r="X3" s="83"/>
      <c r="Y3" s="83"/>
      <c r="Z3" s="83"/>
      <c r="AA3" s="83"/>
      <c r="AB3" s="83"/>
      <c r="AC3" s="83"/>
      <c r="AD3" s="83"/>
      <c r="AE3" s="83"/>
      <c r="AF3" s="83"/>
      <c r="AG3" s="83"/>
      <c r="AH3" s="83"/>
      <c r="AI3" s="83"/>
      <c r="GC3" s="86"/>
      <c r="GD3" s="86"/>
      <c r="GE3" s="86"/>
      <c r="GF3" s="86"/>
      <c r="GG3" s="86"/>
      <c r="GH3" s="86"/>
      <c r="GI3" s="86"/>
      <c r="GJ3" s="86"/>
      <c r="GK3" s="86"/>
      <c r="GL3" s="86"/>
      <c r="GM3" s="86"/>
      <c r="GN3" s="86"/>
      <c r="GO3" s="86"/>
      <c r="GP3" s="86"/>
      <c r="GQ3" s="86"/>
      <c r="GR3" s="86"/>
      <c r="GS3" s="86"/>
      <c r="GT3" s="86"/>
      <c r="GU3" s="86"/>
      <c r="GV3" s="86"/>
      <c r="GW3" s="86"/>
      <c r="GX3" s="86"/>
      <c r="GY3" s="86"/>
      <c r="GZ3" s="86"/>
      <c r="HA3" s="86"/>
      <c r="HB3" s="86"/>
    </row>
    <row r="4" spans="1:245" s="85" customFormat="1" ht="25.5" x14ac:dyDescent="0.2">
      <c r="A4" s="81" t="s">
        <v>116</v>
      </c>
      <c r="B4" s="82" t="s">
        <v>493</v>
      </c>
      <c r="C4" s="84" t="s">
        <v>761</v>
      </c>
      <c r="D4" s="82" t="s">
        <v>789</v>
      </c>
      <c r="E4" s="82"/>
      <c r="F4" s="84"/>
      <c r="G4" s="82"/>
      <c r="H4" s="82"/>
      <c r="I4" s="82"/>
      <c r="J4" s="82"/>
      <c r="K4" s="83"/>
      <c r="L4" s="82"/>
      <c r="M4" s="82"/>
      <c r="N4" s="82"/>
      <c r="O4" s="83"/>
      <c r="P4" s="83"/>
      <c r="Q4" s="82"/>
      <c r="R4" s="82"/>
      <c r="S4" s="82"/>
      <c r="T4" s="82"/>
      <c r="U4" s="82"/>
      <c r="V4" s="82"/>
      <c r="W4" s="82"/>
      <c r="X4" s="87"/>
      <c r="Y4" s="82"/>
      <c r="Z4" s="83"/>
      <c r="AA4" s="82"/>
      <c r="AB4" s="82"/>
      <c r="AC4" s="83"/>
      <c r="AD4" s="83"/>
      <c r="AE4" s="83"/>
      <c r="AF4" s="83"/>
      <c r="AG4" s="83"/>
      <c r="AH4" s="83"/>
      <c r="AI4" s="83"/>
      <c r="AQ4" s="88"/>
      <c r="AR4" s="88"/>
      <c r="AS4" s="88"/>
      <c r="AT4" s="88"/>
      <c r="AU4" s="88"/>
      <c r="AV4" s="88"/>
      <c r="AW4" s="88"/>
      <c r="GA4" s="86"/>
      <c r="GC4" s="86"/>
      <c r="GD4" s="86"/>
      <c r="GE4" s="86"/>
      <c r="GF4" s="86"/>
      <c r="GG4" s="86"/>
      <c r="GH4" s="86"/>
      <c r="GI4" s="86"/>
      <c r="GJ4" s="86"/>
      <c r="GK4" s="86"/>
      <c r="GL4" s="86"/>
      <c r="GM4" s="86"/>
      <c r="GN4" s="86"/>
      <c r="GO4" s="86"/>
      <c r="GP4" s="86"/>
      <c r="GQ4" s="86"/>
      <c r="GR4" s="86"/>
      <c r="GS4" s="86"/>
      <c r="GT4" s="86"/>
      <c r="GU4" s="86"/>
      <c r="GV4" s="86"/>
      <c r="GW4" s="86"/>
      <c r="GX4" s="86"/>
      <c r="GY4" s="86"/>
      <c r="GZ4" s="86"/>
      <c r="HA4" s="86"/>
      <c r="HB4" s="86"/>
    </row>
    <row r="5" spans="1:245" s="93" customFormat="1" x14ac:dyDescent="0.2">
      <c r="A5" s="89" t="s">
        <v>117</v>
      </c>
      <c r="B5" s="90" t="s">
        <v>489</v>
      </c>
      <c r="C5" s="92" t="s">
        <v>762</v>
      </c>
      <c r="D5" s="91" t="s">
        <v>790</v>
      </c>
      <c r="E5" s="91"/>
      <c r="F5" s="92"/>
      <c r="G5" s="90"/>
      <c r="H5" s="90"/>
      <c r="I5" s="90"/>
      <c r="J5" s="90"/>
      <c r="K5" s="90"/>
      <c r="L5" s="91"/>
      <c r="M5" s="90"/>
      <c r="N5" s="91"/>
      <c r="O5" s="91"/>
      <c r="P5" s="91"/>
      <c r="Q5" s="90"/>
      <c r="R5" s="91"/>
      <c r="S5" s="90"/>
      <c r="T5" s="91"/>
      <c r="U5" s="90"/>
      <c r="V5" s="91"/>
      <c r="W5" s="90"/>
      <c r="X5" s="91"/>
      <c r="Y5" s="90"/>
      <c r="Z5" s="90"/>
      <c r="AA5" s="91"/>
      <c r="AB5" s="91"/>
      <c r="AC5" s="91"/>
      <c r="AD5" s="91"/>
      <c r="AE5" s="91"/>
      <c r="AF5" s="91"/>
      <c r="AG5" s="91"/>
      <c r="AH5" s="91"/>
      <c r="AI5" s="91"/>
      <c r="DO5" s="94"/>
      <c r="GC5" s="95"/>
      <c r="GD5" s="95"/>
      <c r="GE5" s="95"/>
      <c r="GF5" s="95"/>
      <c r="GG5" s="95"/>
      <c r="GH5" s="95"/>
      <c r="GI5" s="95"/>
      <c r="GJ5" s="95"/>
      <c r="GK5" s="95"/>
      <c r="GL5" s="95"/>
      <c r="GM5" s="95"/>
      <c r="GN5" s="95"/>
      <c r="GO5" s="95"/>
      <c r="GP5" s="95"/>
      <c r="GQ5" s="95"/>
      <c r="GR5" s="95"/>
      <c r="GS5" s="95"/>
      <c r="GT5" s="95"/>
      <c r="GU5" s="95"/>
      <c r="GV5" s="95"/>
      <c r="GW5" s="96"/>
      <c r="GX5" s="95"/>
      <c r="GY5" s="95"/>
      <c r="GZ5" s="95"/>
      <c r="HA5" s="95"/>
      <c r="HB5" s="95"/>
    </row>
    <row r="6" spans="1:245" s="93" customFormat="1" x14ac:dyDescent="0.2">
      <c r="A6" s="89" t="s">
        <v>118</v>
      </c>
      <c r="B6" s="91"/>
      <c r="C6" s="92"/>
      <c r="D6" s="91"/>
      <c r="E6" s="91"/>
      <c r="F6" s="92"/>
      <c r="G6" s="90"/>
      <c r="H6" s="90"/>
      <c r="I6" s="90"/>
      <c r="J6" s="90"/>
      <c r="K6" s="91"/>
      <c r="L6" s="91"/>
      <c r="M6" s="91"/>
      <c r="N6" s="91"/>
      <c r="O6" s="91"/>
      <c r="P6" s="91"/>
      <c r="Q6" s="91"/>
      <c r="R6" s="91"/>
      <c r="S6" s="91"/>
      <c r="T6" s="91"/>
      <c r="U6" s="91"/>
      <c r="V6" s="91"/>
      <c r="W6" s="91"/>
      <c r="X6" s="91"/>
      <c r="Y6" s="91"/>
      <c r="Z6" s="91"/>
      <c r="AA6" s="91"/>
      <c r="AB6" s="91"/>
      <c r="AC6" s="91"/>
      <c r="AD6" s="91"/>
      <c r="AE6" s="91"/>
      <c r="AF6" s="91"/>
      <c r="AG6" s="91"/>
      <c r="AH6" s="91"/>
      <c r="AI6" s="91"/>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row>
    <row r="7" spans="1:245" s="100" customFormat="1" x14ac:dyDescent="0.2">
      <c r="A7" s="81" t="s">
        <v>119</v>
      </c>
      <c r="B7" s="97" t="s">
        <v>494</v>
      </c>
      <c r="C7" s="99" t="s">
        <v>494</v>
      </c>
      <c r="D7" s="98" t="s">
        <v>791</v>
      </c>
      <c r="E7" s="98"/>
      <c r="F7" s="99"/>
      <c r="G7" s="97"/>
      <c r="H7" s="97"/>
      <c r="I7" s="97"/>
      <c r="J7" s="97"/>
      <c r="K7" s="98"/>
      <c r="L7" s="98"/>
      <c r="M7" s="97"/>
      <c r="N7" s="98"/>
      <c r="O7" s="98"/>
      <c r="P7" s="98"/>
      <c r="Q7" s="97"/>
      <c r="R7" s="98"/>
      <c r="S7" s="97"/>
      <c r="T7" s="98"/>
      <c r="U7" s="98"/>
      <c r="V7" s="98"/>
      <c r="W7" s="98"/>
      <c r="X7" s="98"/>
      <c r="Y7" s="98"/>
      <c r="Z7" s="98"/>
      <c r="AA7" s="98"/>
      <c r="AB7" s="98"/>
      <c r="AC7" s="98"/>
      <c r="AD7" s="98"/>
      <c r="AE7" s="98"/>
      <c r="AF7" s="98"/>
      <c r="AG7" s="98"/>
      <c r="AH7" s="98"/>
      <c r="AI7" s="98"/>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row>
    <row r="8" spans="1:245" s="100" customFormat="1" x14ac:dyDescent="0.2">
      <c r="A8" s="81" t="s">
        <v>120</v>
      </c>
      <c r="B8" s="98"/>
      <c r="C8" s="99"/>
      <c r="D8" s="98"/>
      <c r="E8" s="98"/>
      <c r="F8" s="99"/>
      <c r="G8" s="97"/>
      <c r="H8" s="97"/>
      <c r="I8" s="97"/>
      <c r="J8" s="97"/>
      <c r="K8" s="98"/>
      <c r="L8" s="98"/>
      <c r="M8" s="98"/>
      <c r="N8" s="97"/>
      <c r="O8" s="98"/>
      <c r="P8" s="98"/>
      <c r="Q8" s="98"/>
      <c r="R8" s="98"/>
      <c r="S8" s="97"/>
      <c r="T8" s="98"/>
      <c r="U8" s="98"/>
      <c r="V8" s="98"/>
      <c r="W8" s="98"/>
      <c r="X8" s="98"/>
      <c r="Y8" s="98"/>
      <c r="Z8" s="98"/>
      <c r="AA8" s="98"/>
      <c r="AB8" s="98"/>
      <c r="AC8" s="98"/>
      <c r="AD8" s="98"/>
      <c r="AE8" s="98"/>
      <c r="AF8" s="98"/>
      <c r="AG8" s="98"/>
      <c r="AH8" s="98"/>
      <c r="AI8" s="98"/>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row>
    <row r="9" spans="1:245" s="93" customFormat="1" x14ac:dyDescent="0.2">
      <c r="A9" s="89" t="s">
        <v>121</v>
      </c>
      <c r="B9" s="102" t="s">
        <v>490</v>
      </c>
      <c r="C9" s="92"/>
      <c r="D9" s="91" t="s">
        <v>792</v>
      </c>
      <c r="E9" s="91"/>
      <c r="F9" s="92"/>
      <c r="G9" s="90"/>
      <c r="H9" s="90"/>
      <c r="I9" s="90"/>
      <c r="J9" s="90"/>
      <c r="K9" s="91"/>
      <c r="L9" s="90"/>
      <c r="M9" s="90"/>
      <c r="N9" s="91"/>
      <c r="O9" s="91"/>
      <c r="P9" s="91"/>
      <c r="Q9" s="102"/>
      <c r="R9" s="91"/>
      <c r="S9" s="90"/>
      <c r="T9" s="90"/>
      <c r="U9" s="90"/>
      <c r="V9" s="91"/>
      <c r="W9" s="91"/>
      <c r="X9" s="91"/>
      <c r="Y9" s="91"/>
      <c r="Z9" s="91"/>
      <c r="AA9" s="91"/>
      <c r="AB9" s="91"/>
      <c r="AC9" s="91"/>
      <c r="AD9" s="91"/>
      <c r="AE9" s="91"/>
      <c r="AF9" s="91"/>
      <c r="AG9" s="91"/>
      <c r="AH9" s="91"/>
      <c r="AI9" s="91"/>
      <c r="AY9" s="94"/>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row>
    <row r="10" spans="1:245" s="93" customFormat="1" x14ac:dyDescent="0.2">
      <c r="A10" s="89" t="s">
        <v>122</v>
      </c>
      <c r="B10" s="90" t="s">
        <v>491</v>
      </c>
      <c r="C10" s="92"/>
      <c r="D10" s="91" t="s">
        <v>790</v>
      </c>
      <c r="E10" s="91"/>
      <c r="F10" s="92"/>
      <c r="G10" s="90"/>
      <c r="H10" s="90"/>
      <c r="I10" s="90"/>
      <c r="J10" s="90"/>
      <c r="K10" s="91"/>
      <c r="L10" s="91"/>
      <c r="M10" s="91"/>
      <c r="N10" s="91"/>
      <c r="O10" s="91"/>
      <c r="P10" s="91"/>
      <c r="Q10" s="90"/>
      <c r="R10" s="91"/>
      <c r="S10" s="91"/>
      <c r="T10" s="91"/>
      <c r="U10" s="91"/>
      <c r="V10" s="91"/>
      <c r="W10" s="91"/>
      <c r="X10" s="91"/>
      <c r="Y10" s="91"/>
      <c r="Z10" s="91"/>
      <c r="AA10" s="91"/>
      <c r="AB10" s="91"/>
      <c r="AC10" s="91"/>
      <c r="AD10" s="91"/>
      <c r="AE10" s="91"/>
      <c r="AF10" s="91"/>
      <c r="AG10" s="91"/>
      <c r="AH10" s="91"/>
      <c r="AI10" s="91"/>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row>
    <row r="11" spans="1:245" s="100" customFormat="1" x14ac:dyDescent="0.2">
      <c r="A11" s="81" t="s">
        <v>123</v>
      </c>
      <c r="B11" s="98"/>
      <c r="C11" s="99"/>
      <c r="D11" s="98"/>
      <c r="E11" s="98"/>
      <c r="F11" s="99"/>
      <c r="G11" s="97"/>
      <c r="H11" s="97"/>
      <c r="I11" s="97"/>
      <c r="J11" s="97"/>
      <c r="K11" s="98"/>
      <c r="L11" s="98"/>
      <c r="M11" s="98"/>
      <c r="N11" s="98"/>
      <c r="O11" s="98"/>
      <c r="P11" s="98"/>
      <c r="Q11" s="98"/>
      <c r="R11" s="98"/>
      <c r="S11" s="97"/>
      <c r="T11" s="98"/>
      <c r="U11" s="98"/>
      <c r="V11" s="98"/>
      <c r="W11" s="98"/>
      <c r="X11" s="97"/>
      <c r="Y11" s="98"/>
      <c r="Z11" s="98"/>
      <c r="AA11" s="98"/>
      <c r="AB11" s="98"/>
      <c r="AC11" s="98"/>
      <c r="AD11" s="98"/>
      <c r="AE11" s="98"/>
      <c r="AF11" s="98"/>
      <c r="AG11" s="98"/>
      <c r="AH11" s="98"/>
      <c r="AI11" s="98"/>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row>
    <row r="12" spans="1:245" s="100" customFormat="1" ht="25.5" x14ac:dyDescent="0.2">
      <c r="A12" s="81" t="s">
        <v>124</v>
      </c>
      <c r="B12" s="98"/>
      <c r="C12" s="99"/>
      <c r="D12" s="98"/>
      <c r="E12" s="98"/>
      <c r="F12" s="99"/>
      <c r="G12" s="97"/>
      <c r="H12" s="97"/>
      <c r="I12" s="97"/>
      <c r="J12" s="97"/>
      <c r="K12" s="98"/>
      <c r="L12" s="98"/>
      <c r="M12" s="98"/>
      <c r="N12" s="98"/>
      <c r="O12" s="98"/>
      <c r="P12" s="98"/>
      <c r="Q12" s="98"/>
      <c r="R12" s="98"/>
      <c r="S12" s="97"/>
      <c r="T12" s="98"/>
      <c r="U12" s="98"/>
      <c r="V12" s="98"/>
      <c r="W12" s="98"/>
      <c r="X12" s="97"/>
      <c r="Y12" s="98"/>
      <c r="Z12" s="98"/>
      <c r="AA12" s="98"/>
      <c r="AB12" s="98"/>
      <c r="AC12" s="98"/>
      <c r="AD12" s="98"/>
      <c r="AE12" s="98"/>
      <c r="AF12" s="98"/>
      <c r="AG12" s="98"/>
      <c r="AH12" s="98"/>
      <c r="AI12" s="98"/>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row>
    <row r="13" spans="1:245" s="93" customFormat="1" x14ac:dyDescent="0.2">
      <c r="A13" s="89" t="s">
        <v>125</v>
      </c>
      <c r="B13" s="91"/>
      <c r="C13" s="92"/>
      <c r="D13" s="91"/>
      <c r="E13" s="91"/>
      <c r="F13" s="92"/>
      <c r="G13" s="90"/>
      <c r="H13" s="90"/>
      <c r="I13" s="90"/>
      <c r="J13" s="90"/>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row>
    <row r="14" spans="1:245" s="93" customFormat="1" x14ac:dyDescent="0.2">
      <c r="A14" s="89" t="s">
        <v>126</v>
      </c>
      <c r="B14" s="91"/>
      <c r="C14" s="92"/>
      <c r="D14" s="91"/>
      <c r="E14" s="91"/>
      <c r="F14" s="92"/>
      <c r="G14" s="90"/>
      <c r="H14" s="90"/>
      <c r="I14" s="90"/>
      <c r="J14" s="90"/>
      <c r="K14" s="91"/>
      <c r="L14" s="91"/>
      <c r="M14" s="91"/>
      <c r="N14" s="90"/>
      <c r="O14" s="91"/>
      <c r="P14" s="91"/>
      <c r="Q14" s="91"/>
      <c r="R14" s="91"/>
      <c r="S14" s="91"/>
      <c r="T14" s="91"/>
      <c r="U14" s="91"/>
      <c r="V14" s="91"/>
      <c r="W14" s="91"/>
      <c r="X14" s="91"/>
      <c r="Y14" s="91"/>
      <c r="Z14" s="91"/>
      <c r="AA14" s="91"/>
      <c r="AB14" s="91"/>
      <c r="AC14" s="91"/>
      <c r="AD14" s="91"/>
      <c r="AE14" s="91"/>
      <c r="AF14" s="91"/>
      <c r="AG14" s="91"/>
      <c r="AH14" s="91"/>
      <c r="AI14" s="91"/>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row>
    <row r="15" spans="1:245" s="85" customFormat="1" x14ac:dyDescent="0.2">
      <c r="A15" s="81" t="s">
        <v>127</v>
      </c>
      <c r="B15" s="83"/>
      <c r="C15" s="84"/>
      <c r="D15" s="83"/>
      <c r="E15" s="83"/>
      <c r="F15" s="84"/>
      <c r="G15" s="82"/>
      <c r="H15" s="82"/>
      <c r="I15" s="82"/>
      <c r="J15" s="82"/>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row>
    <row r="16" spans="1:245" s="100" customFormat="1" x14ac:dyDescent="0.2">
      <c r="A16" s="81" t="s">
        <v>128</v>
      </c>
      <c r="B16" s="98"/>
      <c r="C16" s="99"/>
      <c r="D16" s="98"/>
      <c r="E16" s="98"/>
      <c r="F16" s="99"/>
      <c r="G16" s="97"/>
      <c r="H16" s="97"/>
      <c r="I16" s="97"/>
      <c r="J16" s="97"/>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CC16" s="85"/>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row>
    <row r="17" spans="1:210" s="106" customFormat="1" x14ac:dyDescent="0.2">
      <c r="A17" s="89" t="s">
        <v>129</v>
      </c>
      <c r="B17" s="104"/>
      <c r="C17" s="105"/>
      <c r="D17" s="104"/>
      <c r="E17" s="104"/>
      <c r="F17" s="105"/>
      <c r="G17" s="103"/>
      <c r="H17" s="103"/>
      <c r="I17" s="103"/>
      <c r="J17" s="103"/>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row>
    <row r="18" spans="1:210" s="106" customFormat="1" x14ac:dyDescent="0.2">
      <c r="A18" s="89" t="s">
        <v>130</v>
      </c>
      <c r="B18" s="104"/>
      <c r="C18" s="105"/>
      <c r="D18" s="104"/>
      <c r="E18" s="104"/>
      <c r="F18" s="105"/>
      <c r="G18" s="103"/>
      <c r="H18" s="103"/>
      <c r="I18" s="103"/>
      <c r="J18" s="103"/>
      <c r="K18" s="104"/>
      <c r="L18" s="104"/>
      <c r="M18" s="104"/>
      <c r="N18" s="104"/>
      <c r="O18" s="104"/>
      <c r="P18" s="104"/>
      <c r="Q18" s="104"/>
      <c r="R18" s="104"/>
      <c r="S18" s="104"/>
      <c r="T18" s="104"/>
      <c r="U18" s="104"/>
      <c r="V18" s="104"/>
      <c r="W18" s="104"/>
      <c r="X18" s="108"/>
      <c r="Y18" s="104"/>
      <c r="Z18" s="104"/>
      <c r="AA18" s="104"/>
      <c r="AB18" s="104"/>
      <c r="AC18" s="104"/>
      <c r="AD18" s="104"/>
      <c r="AE18" s="104"/>
      <c r="AF18" s="104"/>
      <c r="AG18" s="104"/>
      <c r="AH18" s="104"/>
      <c r="AI18" s="104"/>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row>
    <row r="19" spans="1:210" s="85" customFormat="1" x14ac:dyDescent="0.2">
      <c r="A19" s="81" t="s">
        <v>131</v>
      </c>
      <c r="B19" s="83"/>
      <c r="C19" s="84"/>
      <c r="D19" s="83"/>
      <c r="E19" s="83"/>
      <c r="F19" s="84"/>
      <c r="G19" s="82"/>
      <c r="H19" s="82"/>
      <c r="I19" s="82"/>
      <c r="J19" s="82"/>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row>
    <row r="20" spans="1:210" s="114" customFormat="1" x14ac:dyDescent="0.25">
      <c r="A20" s="109" t="s">
        <v>132</v>
      </c>
      <c r="B20" s="111" t="s">
        <v>492</v>
      </c>
      <c r="C20" s="112" t="s">
        <v>763</v>
      </c>
      <c r="D20" s="110" t="s">
        <v>793</v>
      </c>
      <c r="E20" s="110"/>
      <c r="F20" s="112"/>
      <c r="G20" s="110"/>
      <c r="H20" s="110"/>
      <c r="I20" s="110"/>
      <c r="J20" s="110"/>
      <c r="K20" s="111"/>
      <c r="L20" s="111"/>
      <c r="M20" s="113"/>
      <c r="N20" s="111"/>
      <c r="P20" s="115"/>
      <c r="Q20" s="111"/>
      <c r="R20" s="111"/>
      <c r="T20" s="111"/>
      <c r="U20" s="111"/>
      <c r="V20" s="111"/>
      <c r="W20" s="111"/>
      <c r="X20" s="111"/>
      <c r="Y20" s="111"/>
      <c r="Z20" s="111"/>
      <c r="AA20" s="115"/>
      <c r="AB20" s="115"/>
      <c r="AC20" s="115"/>
      <c r="AD20" s="115"/>
      <c r="AE20" s="115"/>
      <c r="AF20" s="115"/>
      <c r="AG20" s="115"/>
      <c r="AH20" s="115"/>
      <c r="AI20" s="115"/>
      <c r="AJ20" s="115"/>
      <c r="AK20" s="115"/>
      <c r="AL20" s="115"/>
      <c r="AM20" s="115"/>
      <c r="AN20" s="115"/>
      <c r="AO20" s="115"/>
      <c r="AP20" s="115"/>
      <c r="AQ20" s="115"/>
      <c r="AR20" s="115"/>
      <c r="AS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X20" s="115"/>
      <c r="BY20" s="115"/>
      <c r="BZ20" s="115"/>
      <c r="CA20" s="115"/>
      <c r="CB20" s="115"/>
      <c r="CC20" s="115"/>
      <c r="CD20" s="115"/>
      <c r="CE20" s="115"/>
      <c r="CF20" s="115"/>
      <c r="CG20" s="115"/>
      <c r="CH20" s="115"/>
      <c r="CI20" s="115"/>
      <c r="CK20" s="115"/>
      <c r="CL20" s="115"/>
      <c r="CN20" s="115"/>
      <c r="CO20" s="115"/>
      <c r="CP20" s="115"/>
      <c r="CQ20" s="115"/>
      <c r="CR20" s="115"/>
      <c r="CS20" s="115"/>
      <c r="CT20" s="115"/>
      <c r="CU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GC20" s="113"/>
      <c r="GE20" s="113"/>
      <c r="GI20" s="113"/>
      <c r="GJ20" s="113"/>
      <c r="GK20" s="113"/>
      <c r="GM20" s="113"/>
      <c r="GN20" s="113"/>
      <c r="GO20" s="113"/>
      <c r="GP20" s="113"/>
      <c r="GQ20" s="113"/>
      <c r="GR20" s="113"/>
      <c r="GS20" s="113"/>
      <c r="GT20" s="113"/>
      <c r="GU20" s="113"/>
      <c r="GV20" s="113"/>
      <c r="GW20" s="113"/>
      <c r="GX20" s="113"/>
      <c r="GY20" s="113"/>
      <c r="GZ20" s="113"/>
      <c r="HA20" s="113"/>
      <c r="HB20" s="113"/>
    </row>
    <row r="21" spans="1:210" s="97" customFormat="1" ht="25.5" x14ac:dyDescent="0.25">
      <c r="A21" s="116" t="s">
        <v>133</v>
      </c>
      <c r="B21" s="118"/>
      <c r="C21" s="119" t="s">
        <v>764</v>
      </c>
      <c r="D21" s="117"/>
      <c r="E21" s="117"/>
      <c r="F21" s="119"/>
      <c r="G21" s="117"/>
      <c r="H21" s="117"/>
      <c r="I21" s="117"/>
      <c r="J21" s="117"/>
      <c r="K21" s="118"/>
      <c r="L21" s="118"/>
      <c r="M21" s="120"/>
      <c r="N21" s="118"/>
      <c r="P21" s="121"/>
      <c r="Q21" s="118"/>
      <c r="R21" s="118"/>
      <c r="T21" s="118"/>
      <c r="U21" s="118"/>
      <c r="V21" s="118"/>
      <c r="W21" s="118"/>
      <c r="X21" s="118"/>
      <c r="Y21" s="118"/>
      <c r="Z21" s="118"/>
      <c r="AA21" s="121"/>
      <c r="AB21" s="121"/>
      <c r="AC21" s="121"/>
      <c r="AD21" s="121"/>
      <c r="AE21" s="121"/>
      <c r="AF21" s="121"/>
      <c r="AG21" s="121"/>
      <c r="AH21" s="121"/>
      <c r="AI21" s="121"/>
      <c r="AJ21" s="121"/>
      <c r="AK21" s="121"/>
      <c r="AL21" s="121"/>
      <c r="AM21" s="121"/>
      <c r="AN21" s="121"/>
      <c r="AO21" s="121"/>
      <c r="AP21" s="121"/>
      <c r="AQ21" s="121"/>
      <c r="AR21" s="121"/>
      <c r="AS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X21" s="121"/>
      <c r="BY21" s="121"/>
      <c r="BZ21" s="121"/>
      <c r="CA21" s="121"/>
      <c r="CB21" s="121"/>
      <c r="CC21" s="121"/>
      <c r="CD21" s="121"/>
      <c r="CE21" s="121"/>
      <c r="CF21" s="121"/>
      <c r="CG21" s="121"/>
      <c r="CH21" s="121"/>
      <c r="CI21" s="121"/>
      <c r="CK21" s="121"/>
      <c r="CL21" s="121"/>
      <c r="CN21" s="121"/>
      <c r="CO21" s="121"/>
      <c r="CP21" s="121"/>
      <c r="CQ21" s="121"/>
      <c r="CR21" s="121"/>
      <c r="CS21" s="121"/>
      <c r="CT21" s="121"/>
      <c r="CU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GC21" s="120"/>
      <c r="GE21" s="120"/>
      <c r="GI21" s="120"/>
      <c r="GJ21" s="120"/>
      <c r="GK21" s="120"/>
      <c r="GM21" s="120"/>
      <c r="GN21" s="120"/>
      <c r="GO21" s="120"/>
      <c r="GP21" s="120"/>
      <c r="GQ21" s="120"/>
      <c r="GR21" s="120"/>
      <c r="GS21" s="120"/>
      <c r="GT21" s="120"/>
      <c r="GU21" s="120"/>
      <c r="GV21" s="120"/>
      <c r="GW21" s="120"/>
      <c r="GX21" s="120"/>
      <c r="GY21" s="120"/>
      <c r="GZ21" s="120"/>
      <c r="HA21" s="120"/>
      <c r="HB21" s="120"/>
    </row>
    <row r="22" spans="1:210" s="93" customFormat="1" x14ac:dyDescent="0.2">
      <c r="A22" s="89" t="s">
        <v>134</v>
      </c>
      <c r="B22" s="91"/>
      <c r="C22" s="92"/>
      <c r="D22" s="91"/>
      <c r="E22" s="91"/>
      <c r="F22" s="92"/>
      <c r="G22" s="90"/>
      <c r="H22" s="90"/>
      <c r="I22" s="90"/>
      <c r="J22" s="90"/>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row>
    <row r="23" spans="1:210" s="106" customFormat="1" ht="25.5" x14ac:dyDescent="0.2">
      <c r="A23" s="89" t="s">
        <v>135</v>
      </c>
      <c r="B23" s="103"/>
      <c r="C23" s="105"/>
      <c r="D23" s="104"/>
      <c r="E23" s="104"/>
      <c r="F23" s="105"/>
      <c r="G23" s="90"/>
      <c r="H23" s="103"/>
      <c r="I23" s="103"/>
      <c r="J23" s="103"/>
      <c r="K23" s="91"/>
      <c r="L23" s="104"/>
      <c r="M23" s="90"/>
      <c r="N23" s="104"/>
      <c r="O23" s="104"/>
      <c r="P23" s="104"/>
      <c r="Q23" s="103"/>
      <c r="R23" s="104"/>
      <c r="S23" s="103"/>
      <c r="T23" s="104"/>
      <c r="U23" s="104"/>
      <c r="V23" s="104"/>
      <c r="W23" s="104"/>
      <c r="X23" s="103"/>
      <c r="Y23" s="104"/>
      <c r="Z23" s="104"/>
      <c r="AA23" s="104"/>
      <c r="AB23" s="104"/>
      <c r="AC23" s="104"/>
      <c r="AD23" s="104"/>
      <c r="AE23" s="104"/>
      <c r="AF23" s="104"/>
      <c r="AG23" s="104"/>
      <c r="AH23" s="104"/>
      <c r="AI23" s="104"/>
      <c r="GC23" s="107"/>
      <c r="GD23" s="107"/>
      <c r="GE23" s="107"/>
      <c r="GF23" s="107"/>
      <c r="GG23" s="107"/>
      <c r="GH23" s="107"/>
      <c r="GI23" s="107"/>
      <c r="GJ23" s="107"/>
      <c r="GK23" s="107"/>
      <c r="GL23" s="107"/>
      <c r="GM23" s="107"/>
      <c r="GN23" s="107"/>
      <c r="GO23" s="107"/>
      <c r="GP23" s="107"/>
      <c r="GQ23" s="107"/>
      <c r="GR23" s="107"/>
      <c r="GS23" s="107"/>
      <c r="GT23" s="107"/>
      <c r="GU23" s="107"/>
      <c r="GV23" s="107"/>
      <c r="GW23" s="107"/>
      <c r="GX23" s="107"/>
      <c r="GY23" s="107"/>
      <c r="GZ23" s="107"/>
      <c r="HA23" s="107"/>
      <c r="HB23" s="107"/>
    </row>
    <row r="24" spans="1:210" s="100" customFormat="1" ht="25.5" x14ac:dyDescent="0.2">
      <c r="A24" s="81" t="s">
        <v>136</v>
      </c>
      <c r="B24" s="83"/>
      <c r="C24" s="99"/>
      <c r="D24" s="98"/>
      <c r="E24" s="98"/>
      <c r="F24" s="99"/>
      <c r="G24" s="82"/>
      <c r="H24" s="97"/>
      <c r="I24" s="97"/>
      <c r="J24" s="97"/>
      <c r="K24" s="83"/>
      <c r="L24" s="98"/>
      <c r="M24" s="82"/>
      <c r="N24" s="98"/>
      <c r="O24" s="98"/>
      <c r="P24" s="98"/>
      <c r="Q24" s="83"/>
      <c r="R24" s="98"/>
      <c r="S24" s="82"/>
      <c r="T24" s="98"/>
      <c r="U24" s="98"/>
      <c r="V24" s="98"/>
      <c r="W24" s="98"/>
      <c r="X24" s="98"/>
      <c r="Y24" s="98"/>
      <c r="Z24" s="98"/>
      <c r="AA24" s="98"/>
      <c r="AB24" s="98"/>
      <c r="AC24" s="98"/>
      <c r="AD24" s="98"/>
      <c r="AE24" s="98"/>
      <c r="AF24" s="98"/>
      <c r="AG24" s="98"/>
      <c r="AH24" s="98"/>
      <c r="AI24" s="98"/>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row>
    <row r="25" spans="1:210" s="85" customFormat="1" x14ac:dyDescent="0.2">
      <c r="A25" s="81" t="s">
        <v>137</v>
      </c>
      <c r="B25" s="82"/>
      <c r="C25" s="84"/>
      <c r="D25" s="83"/>
      <c r="E25" s="83"/>
      <c r="F25" s="84"/>
      <c r="G25" s="82"/>
      <c r="H25" s="82"/>
      <c r="I25" s="82"/>
      <c r="J25" s="82"/>
      <c r="K25" s="83"/>
      <c r="L25" s="83"/>
      <c r="M25" s="82"/>
      <c r="N25" s="83"/>
      <c r="O25" s="83"/>
      <c r="P25" s="83"/>
      <c r="Q25" s="82"/>
      <c r="R25" s="83"/>
      <c r="S25" s="82"/>
      <c r="T25" s="83"/>
      <c r="U25" s="83"/>
      <c r="V25" s="83"/>
      <c r="W25" s="83"/>
      <c r="X25" s="83"/>
      <c r="Y25" s="83"/>
      <c r="Z25" s="83"/>
      <c r="AA25" s="83"/>
      <c r="AB25" s="83"/>
      <c r="AC25" s="83"/>
      <c r="AD25" s="83"/>
      <c r="AE25" s="83"/>
      <c r="AF25" s="83"/>
      <c r="AG25" s="83"/>
      <c r="AH25" s="83"/>
      <c r="AI25" s="83"/>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row>
    <row r="26" spans="1:210" s="93" customFormat="1" ht="103.5" customHeight="1" x14ac:dyDescent="0.25">
      <c r="A26" s="94" t="s">
        <v>138</v>
      </c>
      <c r="B26" s="90" t="s">
        <v>529</v>
      </c>
      <c r="C26" s="278" t="s">
        <v>765</v>
      </c>
      <c r="D26" s="209" t="s">
        <v>794</v>
      </c>
      <c r="E26" s="209"/>
      <c r="F26" s="210"/>
      <c r="G26" s="90"/>
      <c r="H26" s="90"/>
      <c r="I26" s="90"/>
      <c r="J26" s="90"/>
      <c r="K26" s="122"/>
      <c r="L26" s="90"/>
      <c r="M26" s="90"/>
      <c r="N26" s="90"/>
      <c r="O26" s="90"/>
      <c r="P26" s="90"/>
      <c r="Q26" s="90"/>
      <c r="R26" s="90"/>
      <c r="S26" s="90"/>
      <c r="T26" s="90"/>
      <c r="U26" s="90"/>
      <c r="V26" s="90"/>
      <c r="W26" s="90"/>
      <c r="X26" s="90"/>
      <c r="Y26" s="90"/>
      <c r="Z26" s="90"/>
      <c r="AA26" s="123"/>
      <c r="AB26" s="123"/>
      <c r="AC26" s="123"/>
      <c r="AD26" s="90"/>
      <c r="AE26" s="123"/>
      <c r="AF26" s="123"/>
      <c r="AG26" s="123"/>
      <c r="AH26" s="123"/>
      <c r="AI26" s="123"/>
      <c r="AJ26" s="94"/>
      <c r="AK26" s="124"/>
      <c r="AL26" s="124"/>
      <c r="AM26" s="124"/>
      <c r="AN26" s="124"/>
      <c r="AO26" s="124"/>
      <c r="AP26" s="124"/>
      <c r="AQ26" s="124"/>
      <c r="AR26" s="124"/>
      <c r="AS26" s="124"/>
      <c r="AU26" s="94"/>
      <c r="AV26" s="94"/>
      <c r="AW26" s="94"/>
      <c r="AX26" s="94"/>
      <c r="BL26" s="124"/>
      <c r="DS26" s="94"/>
      <c r="DT26" s="94"/>
      <c r="GC26" s="95"/>
      <c r="GD26" s="95"/>
      <c r="GE26" s="95"/>
      <c r="GF26" s="95"/>
      <c r="GG26" s="95"/>
      <c r="GH26" s="95"/>
      <c r="GI26" s="95"/>
      <c r="GJ26" s="95"/>
      <c r="GK26" s="96"/>
      <c r="GL26" s="95"/>
      <c r="GM26" s="95"/>
      <c r="GN26" s="95"/>
      <c r="GO26" s="95"/>
      <c r="GP26" s="95"/>
      <c r="GQ26" s="95"/>
      <c r="GR26" s="95"/>
      <c r="GS26" s="95"/>
      <c r="GT26" s="95"/>
      <c r="GU26" s="95"/>
      <c r="GV26" s="95"/>
      <c r="GW26" s="95"/>
      <c r="GX26" s="95"/>
      <c r="GY26" s="95"/>
      <c r="GZ26" s="95"/>
      <c r="HA26" s="125"/>
      <c r="HB26" s="125"/>
    </row>
    <row r="27" spans="1:210" s="93" customFormat="1" x14ac:dyDescent="0.25">
      <c r="A27" s="89" t="s">
        <v>139</v>
      </c>
      <c r="B27" s="91"/>
      <c r="C27" s="90"/>
      <c r="D27" s="91"/>
      <c r="E27" s="91"/>
      <c r="F27" s="92"/>
      <c r="G27" s="90"/>
      <c r="H27" s="90"/>
      <c r="I27" s="90"/>
      <c r="J27" s="90"/>
      <c r="K27" s="91"/>
      <c r="L27" s="91"/>
      <c r="M27" s="91"/>
      <c r="N27" s="91"/>
      <c r="O27" s="91"/>
      <c r="P27" s="91"/>
      <c r="Q27" s="91"/>
      <c r="R27" s="91"/>
      <c r="S27" s="90"/>
      <c r="T27" s="91"/>
      <c r="U27" s="91"/>
      <c r="V27" s="91"/>
      <c r="W27" s="91"/>
      <c r="X27" s="90"/>
      <c r="Y27" s="91"/>
      <c r="Z27" s="91"/>
      <c r="AA27" s="91"/>
      <c r="AB27" s="91"/>
      <c r="AC27" s="91"/>
      <c r="AD27" s="91"/>
      <c r="AE27" s="91"/>
      <c r="AF27" s="91"/>
      <c r="AG27" s="91"/>
      <c r="AH27" s="91"/>
      <c r="AI27" s="91"/>
    </row>
    <row r="28" spans="1:210" s="126" customFormat="1" ht="12.75" customHeight="1" x14ac:dyDescent="0.25">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row>
    <row r="29" spans="1:210" s="126" customFormat="1" ht="12.75" customHeight="1" x14ac:dyDescent="0.25">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row>
    <row r="30" spans="1:210" s="126" customFormat="1" ht="12.75" customHeight="1" x14ac:dyDescent="0.25">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row>
    <row r="31" spans="1:210" s="126" customFormat="1" ht="12.75" customHeight="1" x14ac:dyDescent="0.25">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row>
    <row r="32" spans="1:210" s="126" customFormat="1" ht="12.75" customHeight="1" x14ac:dyDescent="0.25">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row>
    <row r="33" spans="2:35" s="126" customFormat="1" ht="12.75" customHeight="1" x14ac:dyDescent="0.25">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row>
    <row r="34" spans="2:35" s="126" customFormat="1" ht="12.75" customHeight="1" x14ac:dyDescent="0.25">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row>
    <row r="35" spans="2:35" s="126" customFormat="1" ht="12.75" customHeight="1" x14ac:dyDescent="0.25">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row>
    <row r="36" spans="2:35" s="126" customFormat="1" ht="12.75" customHeight="1" x14ac:dyDescent="0.25">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row>
    <row r="37" spans="2:35" s="126" customFormat="1" ht="12.75" customHeight="1" x14ac:dyDescent="0.25">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row>
    <row r="38" spans="2:35" s="126" customFormat="1" ht="12.75" customHeight="1" x14ac:dyDescent="0.25">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row>
    <row r="39" spans="2:35" s="126" customFormat="1" ht="12.75" customHeight="1" x14ac:dyDescent="0.25">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row>
    <row r="40" spans="2:35" s="126" customFormat="1" ht="12.75" customHeight="1" x14ac:dyDescent="0.25">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row>
    <row r="50" spans="1:35" ht="12.75" customHeight="1" x14ac:dyDescent="0.2">
      <c r="A50" s="128" t="s">
        <v>140</v>
      </c>
    </row>
    <row r="51" spans="1:35" s="131" customFormat="1" ht="12.75" customHeight="1" x14ac:dyDescent="0.25">
      <c r="B51" s="132" t="s">
        <v>141</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row>
    <row r="52" spans="1:35" ht="12.75" customHeight="1" x14ac:dyDescent="0.2">
      <c r="B52" s="133" t="s">
        <v>77</v>
      </c>
    </row>
    <row r="53" spans="1:35" ht="12.75" customHeight="1" x14ac:dyDescent="0.2">
      <c r="B53" s="134" t="s">
        <v>142</v>
      </c>
    </row>
    <row r="54" spans="1:35" ht="12.75" customHeight="1" x14ac:dyDescent="0.2">
      <c r="B54" s="134" t="s">
        <v>143</v>
      </c>
    </row>
    <row r="55" spans="1:35" ht="12.75" customHeight="1" x14ac:dyDescent="0.2">
      <c r="B55" s="134" t="s">
        <v>144</v>
      </c>
    </row>
    <row r="56" spans="1:35" ht="12.75" customHeight="1" x14ac:dyDescent="0.2">
      <c r="B56" s="134" t="s">
        <v>145</v>
      </c>
    </row>
    <row r="57" spans="1:35" ht="12.75" customHeight="1" x14ac:dyDescent="0.2">
      <c r="B57" s="134" t="s">
        <v>146</v>
      </c>
    </row>
    <row r="58" spans="1:35" ht="12.75" customHeight="1" x14ac:dyDescent="0.2">
      <c r="B58" s="134" t="s">
        <v>147</v>
      </c>
    </row>
    <row r="59" spans="1:35" ht="12.75" customHeight="1" x14ac:dyDescent="0.2">
      <c r="B59" s="134" t="s">
        <v>148</v>
      </c>
    </row>
    <row r="60" spans="1:35" ht="12.75" customHeight="1" x14ac:dyDescent="0.2">
      <c r="B60" s="134" t="s">
        <v>149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C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07" t="s">
        <v>18</v>
      </c>
      <c r="B1" s="407"/>
      <c r="C1" s="407"/>
      <c r="D1" s="407"/>
      <c r="E1" s="407"/>
      <c r="F1" s="407"/>
      <c r="G1" s="407"/>
      <c r="H1" s="407"/>
      <c r="I1" s="407"/>
      <c r="J1" s="407"/>
      <c r="K1" s="407"/>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5" t="s">
        <v>150</v>
      </c>
      <c r="C2" s="136"/>
      <c r="D2" s="136"/>
      <c r="E2" s="136"/>
      <c r="F2" s="136"/>
      <c r="G2" s="136"/>
      <c r="H2" s="136"/>
    </row>
    <row r="3" spans="1:39" s="134" customFormat="1" ht="40.5" customHeight="1" x14ac:dyDescent="0.2">
      <c r="B3" s="137" t="s">
        <v>151</v>
      </c>
      <c r="C3" s="138" t="s">
        <v>152</v>
      </c>
      <c r="D3" s="138" t="s">
        <v>153</v>
      </c>
      <c r="E3" s="138" t="s">
        <v>84</v>
      </c>
      <c r="F3" s="138" t="s">
        <v>154</v>
      </c>
      <c r="G3" s="138" t="s">
        <v>155</v>
      </c>
      <c r="H3" s="138" t="s">
        <v>156</v>
      </c>
      <c r="I3" s="139" t="s">
        <v>17</v>
      </c>
      <c r="J3" s="138" t="s">
        <v>157</v>
      </c>
      <c r="K3" s="138" t="s">
        <v>158</v>
      </c>
    </row>
    <row r="4" spans="1:39" s="134" customFormat="1" x14ac:dyDescent="0.2">
      <c r="B4" s="51" t="s">
        <v>694</v>
      </c>
      <c r="C4" s="38">
        <v>1</v>
      </c>
      <c r="D4" s="140">
        <v>1</v>
      </c>
      <c r="E4" s="140">
        <v>3</v>
      </c>
      <c r="F4" s="140">
        <v>4</v>
      </c>
      <c r="G4" s="140">
        <v>1</v>
      </c>
      <c r="H4" s="141">
        <v>1</v>
      </c>
      <c r="I4" s="142" t="str">
        <f t="shared" ref="I4:I6" si="0">IF(D4&lt;&gt;"",D4&amp;","&amp;E4&amp;","&amp;F4&amp;","&amp;G4&amp;","&amp;H4,"0,0,0,0,0")</f>
        <v>1,3,4,1,1</v>
      </c>
      <c r="J4" s="143" t="str">
        <f>IF(MAX(D4:H4)&gt;=5, "Requirements not met", "Requirements met")</f>
        <v>Requirements met</v>
      </c>
      <c r="K4" s="144" t="str">
        <f>IF(MAX(D4:H4)&gt;=5, "Not OK", "OK")</f>
        <v>OK</v>
      </c>
    </row>
    <row r="5" spans="1:39" s="134" customFormat="1" x14ac:dyDescent="0.2">
      <c r="B5" s="288" t="s">
        <v>802</v>
      </c>
      <c r="C5" s="289">
        <v>2</v>
      </c>
      <c r="D5" s="282">
        <v>2</v>
      </c>
      <c r="E5" s="282">
        <v>4</v>
      </c>
      <c r="F5" s="282">
        <v>3</v>
      </c>
      <c r="G5" s="282">
        <v>3</v>
      </c>
      <c r="H5" s="283">
        <v>2</v>
      </c>
      <c r="I5" s="142" t="str">
        <f t="shared" si="0"/>
        <v>2,4,3,3,2</v>
      </c>
      <c r="J5" s="143" t="str">
        <f>IF(MAX(D5:H5)&gt;=5, "Requirements not met", "Requirements met")</f>
        <v>Requirements met</v>
      </c>
      <c r="K5" s="144" t="str">
        <f>IF(MAX(D5:H5)&gt;=5, "Not OK", "OK")</f>
        <v>OK</v>
      </c>
    </row>
    <row r="6" spans="1:39" s="134" customFormat="1" x14ac:dyDescent="0.2">
      <c r="B6" s="51" t="s">
        <v>796</v>
      </c>
      <c r="C6" s="38">
        <v>3</v>
      </c>
      <c r="D6" s="282">
        <v>1</v>
      </c>
      <c r="E6" s="282">
        <v>4</v>
      </c>
      <c r="F6" s="282">
        <v>2</v>
      </c>
      <c r="G6" s="282">
        <v>3</v>
      </c>
      <c r="H6" s="283">
        <v>1</v>
      </c>
      <c r="I6" s="142" t="str">
        <f t="shared" si="0"/>
        <v>1,4,2,3,1</v>
      </c>
      <c r="J6" s="143" t="str">
        <f>IF(MAX(D6:H6)&gt;=5, "Requirements not met", "Requirements met")</f>
        <v>Requirements met</v>
      </c>
      <c r="K6" s="144" t="str">
        <f>IF(MAX(D6:H6)&gt;=5, "Not OK", "OK")</f>
        <v>OK</v>
      </c>
    </row>
    <row r="7" spans="1:39" s="134" customFormat="1" x14ac:dyDescent="0.2">
      <c r="B7" s="53"/>
      <c r="C7" s="145"/>
      <c r="D7" s="140"/>
      <c r="E7" s="140"/>
      <c r="F7" s="140"/>
      <c r="G7" s="140"/>
      <c r="H7" s="141"/>
      <c r="I7" s="142" t="str">
        <f>IF(D7&lt;&gt;"",D7&amp;","&amp;E7&amp;","&amp;F7&amp;","&amp;G7&amp;","&amp;H7,"0,0,0,0,0")</f>
        <v>0,0,0,0,0</v>
      </c>
      <c r="J7" s="143" t="str">
        <f>IF(MAX(D7:H7)&gt;=5, "Requirements not met", "Requirements met")</f>
        <v>Requirements met</v>
      </c>
      <c r="K7" s="144" t="str">
        <f>IF(MAX(D7:H7)&gt;=5, "Not OK", "OK")</f>
        <v>OK</v>
      </c>
    </row>
    <row r="8" spans="1:39" s="134" customFormat="1" ht="12.75" customHeight="1" x14ac:dyDescent="0.2">
      <c r="B8" s="146" t="s">
        <v>71</v>
      </c>
      <c r="C8" s="147"/>
      <c r="D8" s="147"/>
      <c r="E8" s="147"/>
      <c r="F8" s="147"/>
      <c r="G8" s="147"/>
      <c r="H8" s="147"/>
      <c r="I8" s="148" t="str">
        <f>MAX(D4:D7)&amp;","&amp;MAX(E4:E7)&amp;","&amp;MAX(F4:F7)&amp;","&amp;MAX(G4:G7)&amp;","&amp;MAX(H4:H7)</f>
        <v>2,4,4,3,2</v>
      </c>
      <c r="J8" s="424"/>
      <c r="K8" s="424"/>
    </row>
    <row r="9" spans="1:39" ht="20.25" x14ac:dyDescent="0.3">
      <c r="B9" s="11"/>
      <c r="C9" s="11"/>
      <c r="D9" s="11"/>
      <c r="E9" s="11"/>
      <c r="F9" s="11"/>
      <c r="G9" s="11"/>
      <c r="H9" s="11"/>
      <c r="I9" s="65"/>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35" t="s">
        <v>159</v>
      </c>
      <c r="C10" s="11"/>
      <c r="D10" s="11"/>
      <c r="E10" s="11"/>
      <c r="F10" s="11"/>
      <c r="G10" s="11"/>
      <c r="H10" s="65"/>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50" customFormat="1" ht="13.5" thickBot="1" x14ac:dyDescent="0.25">
      <c r="A11" s="149" t="s">
        <v>160</v>
      </c>
    </row>
    <row r="12" spans="1:39" ht="17.25" customHeight="1" thickBot="1" x14ac:dyDescent="0.25">
      <c r="B12" s="425" t="s">
        <v>161</v>
      </c>
      <c r="C12" s="427" t="s">
        <v>162</v>
      </c>
      <c r="D12" s="428"/>
      <c r="E12" s="428"/>
      <c r="F12" s="428"/>
      <c r="G12" s="429"/>
    </row>
    <row r="13" spans="1:39" ht="13.5" thickBot="1" x14ac:dyDescent="0.25">
      <c r="B13" s="426"/>
      <c r="C13" s="151">
        <v>1</v>
      </c>
      <c r="D13" s="151">
        <v>2</v>
      </c>
      <c r="E13" s="151">
        <v>3</v>
      </c>
      <c r="F13" s="151">
        <v>4</v>
      </c>
      <c r="G13" s="151">
        <v>5</v>
      </c>
    </row>
    <row r="14" spans="1:39" ht="72.75" thickBot="1" x14ac:dyDescent="0.25">
      <c r="B14" s="430" t="s">
        <v>163</v>
      </c>
      <c r="C14" s="152" t="s">
        <v>164</v>
      </c>
      <c r="D14" s="152" t="s">
        <v>165</v>
      </c>
      <c r="E14" s="152" t="s">
        <v>166</v>
      </c>
      <c r="F14" s="152" t="s">
        <v>167</v>
      </c>
      <c r="G14" s="152" t="s">
        <v>168</v>
      </c>
    </row>
    <row r="15" spans="1:39" ht="24" customHeight="1" thickBot="1" x14ac:dyDescent="0.25">
      <c r="B15" s="431"/>
      <c r="C15" s="433" t="s">
        <v>169</v>
      </c>
      <c r="D15" s="434"/>
      <c r="E15" s="433" t="s">
        <v>170</v>
      </c>
      <c r="F15" s="435"/>
      <c r="G15" s="434"/>
    </row>
    <row r="16" spans="1:39" ht="36.75" thickBot="1" x14ac:dyDescent="0.25">
      <c r="B16" s="432"/>
      <c r="C16" s="153" t="s">
        <v>171</v>
      </c>
      <c r="D16" s="436" t="s">
        <v>172</v>
      </c>
      <c r="E16" s="437"/>
      <c r="F16" s="438" t="s">
        <v>173</v>
      </c>
      <c r="G16" s="439"/>
    </row>
    <row r="17" spans="1:18" ht="60.75" thickBot="1" x14ac:dyDescent="0.25">
      <c r="B17" s="154" t="s">
        <v>84</v>
      </c>
      <c r="C17" s="152" t="s">
        <v>174</v>
      </c>
      <c r="D17" s="152" t="s">
        <v>175</v>
      </c>
      <c r="E17" s="152" t="s">
        <v>176</v>
      </c>
      <c r="F17" s="152" t="s">
        <v>177</v>
      </c>
      <c r="G17" s="152" t="s">
        <v>178</v>
      </c>
    </row>
    <row r="18" spans="1:18" ht="44.25" customHeight="1" thickBot="1" x14ac:dyDescent="0.25">
      <c r="B18" s="154" t="s">
        <v>154</v>
      </c>
      <c r="C18" s="152" t="s">
        <v>179</v>
      </c>
      <c r="D18" s="152" t="s">
        <v>180</v>
      </c>
      <c r="E18" s="152" t="s">
        <v>181</v>
      </c>
      <c r="F18" s="152" t="s">
        <v>182</v>
      </c>
      <c r="G18" s="152" t="s">
        <v>183</v>
      </c>
    </row>
    <row r="19" spans="1:18" ht="44.25" customHeight="1" thickBot="1" x14ac:dyDescent="0.25">
      <c r="B19" s="154" t="s">
        <v>155</v>
      </c>
      <c r="C19" s="152" t="s">
        <v>184</v>
      </c>
      <c r="D19" s="152" t="s">
        <v>185</v>
      </c>
      <c r="E19" s="152" t="s">
        <v>186</v>
      </c>
      <c r="F19" s="152" t="s">
        <v>187</v>
      </c>
      <c r="G19" s="152" t="s">
        <v>188</v>
      </c>
    </row>
    <row r="20" spans="1:18" ht="44.25" customHeight="1" thickBot="1" x14ac:dyDescent="0.25">
      <c r="B20" s="154" t="s">
        <v>189</v>
      </c>
      <c r="C20" s="152" t="s">
        <v>190</v>
      </c>
      <c r="D20" s="433" t="s">
        <v>191</v>
      </c>
      <c r="E20" s="434"/>
      <c r="F20" s="152" t="s">
        <v>192</v>
      </c>
      <c r="G20" s="152" t="s">
        <v>193</v>
      </c>
    </row>
    <row r="21" spans="1:18" x14ac:dyDescent="0.2">
      <c r="B21" s="155"/>
      <c r="C21" s="156"/>
      <c r="D21" s="156"/>
      <c r="E21" s="156"/>
      <c r="F21" s="156"/>
      <c r="G21" s="156"/>
    </row>
    <row r="22" spans="1:18" customFormat="1" ht="15" x14ac:dyDescent="0.25">
      <c r="A22" s="157" t="s">
        <v>194</v>
      </c>
      <c r="C22" s="158"/>
      <c r="D22" s="158"/>
      <c r="E22" s="158"/>
      <c r="F22" s="158"/>
      <c r="G22" s="158"/>
      <c r="H22" s="158"/>
      <c r="I22" s="158"/>
      <c r="J22" s="158"/>
      <c r="K22" s="158"/>
      <c r="L22" s="158"/>
      <c r="M22" s="158"/>
      <c r="N22" s="158"/>
      <c r="O22" s="158"/>
      <c r="P22" s="158"/>
      <c r="Q22" s="158"/>
      <c r="R22" s="158"/>
    </row>
    <row r="23" spans="1:18" customFormat="1" ht="15" x14ac:dyDescent="0.25">
      <c r="B23" s="159" t="s">
        <v>195</v>
      </c>
      <c r="C23" s="160"/>
      <c r="D23" s="160"/>
      <c r="E23" s="160"/>
      <c r="F23" s="160"/>
      <c r="G23" s="160"/>
      <c r="H23" s="161"/>
      <c r="I23" s="158"/>
      <c r="J23" s="158"/>
      <c r="K23" s="158"/>
      <c r="L23" s="158"/>
      <c r="M23" s="158"/>
      <c r="N23" s="158"/>
      <c r="O23" s="158"/>
      <c r="P23" s="158"/>
      <c r="Q23" s="158"/>
      <c r="R23" s="158"/>
    </row>
    <row r="24" spans="1:18" customFormat="1" ht="65.25" customHeight="1" x14ac:dyDescent="0.25">
      <c r="B24" s="162"/>
      <c r="C24" s="421" t="s">
        <v>196</v>
      </c>
      <c r="D24" s="422"/>
      <c r="E24" s="422"/>
      <c r="F24" s="422"/>
      <c r="G24" s="422"/>
      <c r="H24" s="423"/>
      <c r="N24" s="163"/>
      <c r="O24" s="163"/>
      <c r="P24" s="163"/>
      <c r="Q24" s="163"/>
      <c r="R24" s="163"/>
    </row>
    <row r="25" spans="1:18" customFormat="1" ht="15" x14ac:dyDescent="0.25">
      <c r="B25" s="162"/>
      <c r="C25" s="164" t="s">
        <v>197</v>
      </c>
      <c r="D25" s="165"/>
      <c r="E25" s="165"/>
      <c r="F25" s="165"/>
      <c r="G25" s="165"/>
      <c r="H25" s="166"/>
      <c r="I25" s="158"/>
      <c r="J25" s="158"/>
      <c r="K25" s="158"/>
      <c r="L25" s="158"/>
      <c r="M25" s="158"/>
      <c r="N25" s="158"/>
      <c r="O25" s="158"/>
      <c r="P25" s="158"/>
      <c r="Q25" s="158"/>
      <c r="R25" s="158"/>
    </row>
    <row r="26" spans="1:18" customFormat="1" ht="15" x14ac:dyDescent="0.25">
      <c r="B26" s="162"/>
      <c r="C26" s="167" t="s">
        <v>198</v>
      </c>
      <c r="D26" s="168"/>
      <c r="E26" s="168"/>
      <c r="F26" s="168"/>
      <c r="G26" s="168"/>
      <c r="H26" s="169"/>
      <c r="I26" s="158"/>
      <c r="J26" s="158"/>
      <c r="K26" s="158"/>
      <c r="L26" s="158"/>
      <c r="M26" s="158"/>
      <c r="N26" s="158"/>
      <c r="O26" s="158"/>
      <c r="P26" s="158"/>
      <c r="Q26" s="158"/>
      <c r="R26" s="158"/>
    </row>
    <row r="27" spans="1:18" customFormat="1" ht="15" x14ac:dyDescent="0.25">
      <c r="B27" s="162"/>
      <c r="C27" s="167" t="s">
        <v>199</v>
      </c>
      <c r="D27" s="168"/>
      <c r="E27" s="168"/>
      <c r="F27" s="168"/>
      <c r="G27" s="168"/>
      <c r="H27" s="169"/>
      <c r="I27" s="158"/>
      <c r="J27" s="158"/>
      <c r="K27" s="158"/>
      <c r="L27" s="158"/>
      <c r="M27" s="158"/>
      <c r="N27" s="158"/>
      <c r="O27" s="158"/>
      <c r="P27" s="158"/>
      <c r="Q27" s="158"/>
      <c r="R27" s="158"/>
    </row>
    <row r="28" spans="1:18" customFormat="1" ht="15" x14ac:dyDescent="0.25">
      <c r="B28" s="162"/>
      <c r="C28" s="167" t="s">
        <v>200</v>
      </c>
      <c r="D28" s="168"/>
      <c r="E28" s="168"/>
      <c r="F28" s="168"/>
      <c r="G28" s="168"/>
      <c r="H28" s="169"/>
      <c r="I28" s="158"/>
      <c r="J28" s="158"/>
      <c r="K28" s="158"/>
      <c r="L28" s="158"/>
      <c r="M28" s="158"/>
      <c r="N28" s="158"/>
      <c r="O28" s="158"/>
      <c r="P28" s="158"/>
      <c r="Q28" s="158"/>
      <c r="R28" s="158"/>
    </row>
    <row r="29" spans="1:18" customFormat="1" ht="15" x14ac:dyDescent="0.25">
      <c r="B29" s="162"/>
      <c r="C29" s="167" t="s">
        <v>201</v>
      </c>
      <c r="D29" s="168"/>
      <c r="E29" s="168"/>
      <c r="F29" s="168"/>
      <c r="G29" s="168"/>
      <c r="H29" s="169"/>
      <c r="I29" s="158"/>
      <c r="J29" s="158"/>
      <c r="K29" s="158"/>
      <c r="L29" s="158"/>
      <c r="M29" s="158"/>
      <c r="N29" s="158"/>
      <c r="O29" s="158"/>
      <c r="P29" s="158"/>
      <c r="Q29" s="158"/>
      <c r="R29" s="158"/>
    </row>
    <row r="30" spans="1:18" customFormat="1" ht="41.25" customHeight="1" x14ac:dyDescent="0.25">
      <c r="B30" s="162"/>
      <c r="C30" s="440" t="s">
        <v>202</v>
      </c>
      <c r="D30" s="441"/>
      <c r="E30" s="441"/>
      <c r="F30" s="441"/>
      <c r="G30" s="441"/>
      <c r="H30" s="442"/>
      <c r="N30" s="170"/>
      <c r="O30" s="170"/>
      <c r="P30" s="170"/>
      <c r="Q30" s="158"/>
      <c r="R30" s="158"/>
    </row>
    <row r="31" spans="1:18" customFormat="1" ht="38.25" customHeight="1" x14ac:dyDescent="0.25">
      <c r="B31" s="171"/>
      <c r="C31" s="421" t="s">
        <v>203</v>
      </c>
      <c r="D31" s="422"/>
      <c r="E31" s="422"/>
      <c r="F31" s="422"/>
      <c r="G31" s="422"/>
      <c r="H31" s="423"/>
      <c r="N31" s="163"/>
      <c r="O31" s="163"/>
      <c r="P31" s="163"/>
      <c r="Q31" s="163"/>
      <c r="R31" s="158"/>
    </row>
    <row r="32" spans="1:18" customFormat="1" ht="43.5" customHeight="1" x14ac:dyDescent="0.25">
      <c r="B32" s="421" t="s">
        <v>204</v>
      </c>
      <c r="C32" s="422"/>
      <c r="D32" s="422"/>
      <c r="E32" s="422"/>
      <c r="F32" s="422"/>
      <c r="G32" s="422"/>
      <c r="H32" s="423"/>
      <c r="I32" s="158"/>
      <c r="J32" s="158"/>
      <c r="K32" s="158"/>
      <c r="L32" s="158"/>
      <c r="M32" s="158"/>
      <c r="N32" s="158"/>
      <c r="O32" s="158"/>
      <c r="P32" s="158"/>
      <c r="Q32" s="158"/>
      <c r="R32" s="158"/>
    </row>
    <row r="33" spans="1:9" customFormat="1" ht="49.5" customHeight="1" x14ac:dyDescent="0.25">
      <c r="B33" s="421" t="s">
        <v>205</v>
      </c>
      <c r="C33" s="422"/>
      <c r="D33" s="422"/>
      <c r="E33" s="422"/>
      <c r="F33" s="422"/>
      <c r="G33" s="422"/>
      <c r="H33" s="423"/>
      <c r="I33" s="172"/>
    </row>
    <row r="34" spans="1:9" customFormat="1" ht="46.5" customHeight="1" x14ac:dyDescent="0.25">
      <c r="B34" s="421" t="s">
        <v>206</v>
      </c>
      <c r="C34" s="422"/>
      <c r="D34" s="422"/>
      <c r="E34" s="422"/>
      <c r="F34" s="422"/>
      <c r="G34" s="422"/>
      <c r="H34" s="423"/>
      <c r="I34" s="172"/>
    </row>
    <row r="35" spans="1:9" customFormat="1" ht="30" customHeight="1" x14ac:dyDescent="0.25">
      <c r="B35" s="421" t="s">
        <v>207</v>
      </c>
      <c r="C35" s="422"/>
      <c r="D35" s="422"/>
      <c r="E35" s="422"/>
      <c r="F35" s="422"/>
      <c r="G35" s="422"/>
      <c r="H35" s="423"/>
      <c r="I35" s="172"/>
    </row>
    <row r="36" spans="1:9" customFormat="1" ht="15" customHeight="1" x14ac:dyDescent="0.25">
      <c r="A36" s="173" t="s">
        <v>208</v>
      </c>
      <c r="B36" s="173"/>
      <c r="I36" s="174"/>
    </row>
    <row r="37" spans="1:9" customFormat="1" ht="30" customHeight="1" x14ac:dyDescent="0.25">
      <c r="B37" s="444" t="s">
        <v>209</v>
      </c>
      <c r="C37" s="445"/>
      <c r="D37" s="445"/>
      <c r="E37" s="445"/>
      <c r="F37" s="445"/>
      <c r="G37" s="445"/>
      <c r="H37" s="446"/>
    </row>
    <row r="38" spans="1:9" customFormat="1" ht="12.75" customHeight="1" x14ac:dyDescent="0.25">
      <c r="B38" s="447" t="s">
        <v>210</v>
      </c>
      <c r="C38" s="448"/>
      <c r="D38" s="448"/>
      <c r="E38" s="448"/>
      <c r="F38" s="448"/>
      <c r="G38" s="175"/>
      <c r="H38" s="176"/>
    </row>
    <row r="39" spans="1:9" customFormat="1" ht="29.25" customHeight="1" x14ac:dyDescent="0.25">
      <c r="B39" s="449" t="s">
        <v>211</v>
      </c>
      <c r="C39" s="450"/>
      <c r="D39" s="450"/>
      <c r="E39" s="450"/>
      <c r="F39" s="450"/>
      <c r="G39" s="450"/>
      <c r="H39" s="451"/>
    </row>
    <row r="40" spans="1:9" customFormat="1" ht="15" customHeight="1" x14ac:dyDescent="0.25">
      <c r="B40" s="177" t="s">
        <v>212</v>
      </c>
      <c r="C40" s="175"/>
      <c r="D40" s="175"/>
      <c r="E40" s="175"/>
      <c r="F40" s="175"/>
      <c r="G40" s="175"/>
      <c r="H40" s="176"/>
    </row>
    <row r="41" spans="1:9" customFormat="1" ht="30.75" customHeight="1" x14ac:dyDescent="0.25">
      <c r="B41" s="449" t="s">
        <v>213</v>
      </c>
      <c r="C41" s="450"/>
      <c r="D41" s="450"/>
      <c r="E41" s="450"/>
      <c r="F41" s="450"/>
      <c r="G41" s="450"/>
      <c r="H41" s="451"/>
    </row>
    <row r="42" spans="1:9" customFormat="1" ht="12.75" customHeight="1" x14ac:dyDescent="0.25">
      <c r="B42" s="452" t="s">
        <v>214</v>
      </c>
      <c r="C42" s="453"/>
      <c r="D42" s="453"/>
      <c r="E42" s="453"/>
      <c r="F42" s="453"/>
      <c r="G42" s="453"/>
      <c r="H42" s="176"/>
    </row>
    <row r="43" spans="1:9" customFormat="1" ht="35.25" customHeight="1" x14ac:dyDescent="0.25">
      <c r="B43" s="449" t="s">
        <v>215</v>
      </c>
      <c r="C43" s="450"/>
      <c r="D43" s="450"/>
      <c r="E43" s="450"/>
      <c r="F43" s="450"/>
      <c r="G43" s="450"/>
      <c r="H43" s="451"/>
    </row>
    <row r="44" spans="1:9" customFormat="1" ht="24.75" customHeight="1" x14ac:dyDescent="0.25">
      <c r="B44" s="454" t="s">
        <v>216</v>
      </c>
      <c r="C44" s="455"/>
      <c r="D44" s="455"/>
      <c r="E44" s="455"/>
      <c r="F44" s="455"/>
      <c r="G44" s="455"/>
      <c r="H44" s="456"/>
    </row>
    <row r="45" spans="1:9" customFormat="1" ht="27.75" customHeight="1" x14ac:dyDescent="0.25">
      <c r="B45" s="440" t="s">
        <v>217</v>
      </c>
      <c r="C45" s="441"/>
      <c r="D45" s="441"/>
      <c r="E45" s="441"/>
      <c r="F45" s="441"/>
      <c r="G45" s="441"/>
      <c r="H45" s="442"/>
    </row>
    <row r="46" spans="1:9" customFormat="1" ht="21" customHeight="1" x14ac:dyDescent="0.25">
      <c r="B46" s="421" t="s">
        <v>218</v>
      </c>
      <c r="C46" s="422"/>
      <c r="D46" s="422"/>
      <c r="E46" s="422"/>
      <c r="F46" s="422"/>
      <c r="G46" s="422"/>
      <c r="H46" s="423"/>
    </row>
    <row r="47" spans="1:9" customFormat="1" ht="26.25" customHeight="1" x14ac:dyDescent="0.25">
      <c r="B47" s="443" t="s">
        <v>219</v>
      </c>
      <c r="C47" s="443"/>
      <c r="D47" s="443"/>
      <c r="E47" s="443"/>
      <c r="F47" s="443"/>
      <c r="G47" s="443"/>
      <c r="H47" s="443"/>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9" priority="5">
      <formula>MAX(D4:H4)&gt;=5</formula>
    </cfRule>
  </conditionalFormatting>
  <conditionalFormatting sqref="J5:K5">
    <cfRule type="expression" dxfId="8" priority="4">
      <formula>MAX(D5:H5)&gt;=5</formula>
    </cfRule>
  </conditionalFormatting>
  <conditionalFormatting sqref="J6:K6">
    <cfRule type="expression" dxfId="7" priority="3">
      <formula>MAX(D6:H6)&gt;=5</formula>
    </cfRule>
  </conditionalFormatting>
  <conditionalFormatting sqref="J7:K7">
    <cfRule type="expression" dxfId="6" priority="2">
      <formula>MAX(D7:H7)&gt;=5</formula>
    </cfRule>
  </conditionalFormatting>
  <conditionalFormatting sqref="I8">
    <cfRule type="expression" dxfId="5"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workbookViewId="0"/>
  </sheetViews>
  <sheetFormatPr defaultRowHeight="15" x14ac:dyDescent="0.25"/>
  <cols>
    <col min="2" max="2" width="6.140625" customWidth="1"/>
    <col min="3" max="3" width="17.28515625" customWidth="1"/>
    <col min="4" max="4" width="46.42578125" customWidth="1"/>
    <col min="5" max="5" width="17.7109375" customWidth="1"/>
    <col min="6" max="6" width="70.85546875" customWidth="1"/>
    <col min="7" max="7" width="12.5703125" customWidth="1"/>
    <col min="8" max="8" width="11.7109375" customWidth="1"/>
  </cols>
  <sheetData>
    <row r="1" spans="1:11" s="11" customFormat="1" ht="20.25" x14ac:dyDescent="0.3">
      <c r="A1" s="294" t="s">
        <v>19</v>
      </c>
      <c r="B1" s="201"/>
      <c r="C1" s="201"/>
      <c r="D1" s="201"/>
      <c r="E1" s="201"/>
      <c r="F1" s="201"/>
      <c r="G1" s="201"/>
      <c r="H1" s="201"/>
      <c r="J1" s="211" t="s">
        <v>19</v>
      </c>
      <c r="K1" s="178"/>
    </row>
    <row r="2" spans="1:11" s="183" customFormat="1" ht="18" customHeight="1" x14ac:dyDescent="0.25">
      <c r="A2" s="194"/>
      <c r="B2"/>
      <c r="C2" s="185"/>
      <c r="D2" s="185"/>
      <c r="E2" s="185"/>
      <c r="G2" s="291"/>
      <c r="H2" s="201"/>
      <c r="I2" s="182"/>
      <c r="J2" s="182"/>
      <c r="K2" s="202"/>
    </row>
    <row r="3" spans="1:11" s="183" customFormat="1" ht="15.75" thickBot="1" x14ac:dyDescent="0.3">
      <c r="A3"/>
      <c r="B3"/>
      <c r="C3"/>
      <c r="D3"/>
      <c r="E3"/>
      <c r="F3"/>
      <c r="G3" s="291" t="s">
        <v>20</v>
      </c>
      <c r="H3" s="182" t="s">
        <v>62</v>
      </c>
      <c r="I3" s="202"/>
      <c r="J3" s="202"/>
      <c r="K3" s="202"/>
    </row>
    <row r="4" spans="1:11" s="183" customFormat="1" ht="15.75" thickBot="1" x14ac:dyDescent="0.3">
      <c r="A4" s="254">
        <v>0</v>
      </c>
      <c r="B4" s="255" t="s">
        <v>655</v>
      </c>
      <c r="C4" s="255" t="s">
        <v>654</v>
      </c>
      <c r="D4" s="255" t="s">
        <v>651</v>
      </c>
      <c r="E4" s="255" t="s">
        <v>68</v>
      </c>
      <c r="F4" s="292" t="s">
        <v>221</v>
      </c>
      <c r="G4" s="293"/>
      <c r="H4" s="293"/>
      <c r="I4" s="202"/>
      <c r="J4" s="202"/>
      <c r="K4" s="202"/>
    </row>
    <row r="5" spans="1:11" x14ac:dyDescent="0.25">
      <c r="A5">
        <f>IF(F5="",0,IF(C5&lt;44.1,0,MAX($A$4:A4)+1))</f>
        <v>0</v>
      </c>
      <c r="B5">
        <v>3</v>
      </c>
      <c r="C5">
        <v>134.21816000000001</v>
      </c>
      <c r="D5" s="277" t="s">
        <v>426</v>
      </c>
      <c r="E5" t="s">
        <v>562</v>
      </c>
      <c r="G5" s="201"/>
      <c r="H5" s="201" t="s">
        <v>819</v>
      </c>
      <c r="I5" s="201"/>
      <c r="J5" s="201"/>
      <c r="K5" s="200"/>
    </row>
    <row r="6" spans="1:11" x14ac:dyDescent="0.25">
      <c r="A6">
        <f>IF(F6="",0,IF(C6&lt;44.1,0,MAX($A$4:A5)+1))</f>
        <v>1</v>
      </c>
      <c r="B6">
        <v>25</v>
      </c>
      <c r="C6">
        <v>120.19158</v>
      </c>
      <c r="D6" s="192" t="s">
        <v>629</v>
      </c>
      <c r="E6" t="s">
        <v>662</v>
      </c>
      <c r="F6" t="s">
        <v>782</v>
      </c>
      <c r="G6" s="201"/>
      <c r="H6" s="201" t="s">
        <v>819</v>
      </c>
      <c r="I6" s="200"/>
      <c r="J6" s="200"/>
      <c r="K6" s="200"/>
    </row>
    <row r="7" spans="1:11" x14ac:dyDescent="0.25">
      <c r="A7">
        <f>IF(F7="",0,IF(C7&lt;44.1,0,MAX($A$4:A6)+1))</f>
        <v>2</v>
      </c>
      <c r="B7">
        <v>30</v>
      </c>
      <c r="C7">
        <v>120.19158</v>
      </c>
      <c r="D7" t="s">
        <v>360</v>
      </c>
      <c r="E7" t="s">
        <v>660</v>
      </c>
      <c r="F7" t="s">
        <v>502</v>
      </c>
      <c r="G7" s="201"/>
      <c r="H7" s="201" t="s">
        <v>819</v>
      </c>
      <c r="I7" s="201"/>
    </row>
    <row r="8" spans="1:11" s="195" customFormat="1" x14ac:dyDescent="0.25">
      <c r="A8">
        <f>IF(F8="",0,IF(C8&lt;44.1,0,MAX($A$4:A7)+1))</f>
        <v>0</v>
      </c>
      <c r="B8">
        <v>36</v>
      </c>
      <c r="C8">
        <v>134.21816000000001</v>
      </c>
      <c r="D8" s="277" t="s">
        <v>633</v>
      </c>
      <c r="E8" t="s">
        <v>663</v>
      </c>
      <c r="F8"/>
      <c r="G8" s="201"/>
      <c r="H8" s="201" t="s">
        <v>819</v>
      </c>
      <c r="I8" s="293"/>
    </row>
    <row r="9" spans="1:11" x14ac:dyDescent="0.25">
      <c r="A9">
        <f>IF(F9="",0,IF(C9&lt;44.1,0,MAX($A$4:A8)+1))</f>
        <v>3</v>
      </c>
      <c r="B9">
        <v>44</v>
      </c>
      <c r="C9">
        <v>120.19158</v>
      </c>
      <c r="D9" t="s">
        <v>402</v>
      </c>
      <c r="E9" t="s">
        <v>661</v>
      </c>
      <c r="F9" t="s">
        <v>587</v>
      </c>
      <c r="G9" s="201"/>
      <c r="H9" s="201" t="s">
        <v>819</v>
      </c>
      <c r="I9" s="201"/>
    </row>
    <row r="10" spans="1:11" x14ac:dyDescent="0.25">
      <c r="A10">
        <f>IF(F10="",0,IF(C10&lt;44.1,0,MAX($A$4:A9)+1))</f>
        <v>0</v>
      </c>
      <c r="B10">
        <v>51</v>
      </c>
      <c r="C10">
        <v>134.21816000000001</v>
      </c>
      <c r="D10" s="277" t="s">
        <v>636</v>
      </c>
      <c r="E10" t="s">
        <v>758</v>
      </c>
      <c r="G10" s="201"/>
      <c r="H10" s="201" t="s">
        <v>819</v>
      </c>
      <c r="I10" s="201"/>
    </row>
    <row r="11" spans="1:11" x14ac:dyDescent="0.25">
      <c r="A11">
        <f>IF(F11="",0,IF(C11&lt;44.1,0,MAX($A$4:A10)+1))</f>
        <v>0</v>
      </c>
      <c r="B11">
        <v>59</v>
      </c>
      <c r="C11">
        <v>134.21816000000001</v>
      </c>
      <c r="D11" s="277" t="s">
        <v>640</v>
      </c>
      <c r="E11" t="s">
        <v>664</v>
      </c>
      <c r="G11" s="201"/>
      <c r="H11" s="201" t="s">
        <v>819</v>
      </c>
      <c r="I11" s="201"/>
    </row>
    <row r="12" spans="1:11" x14ac:dyDescent="0.25">
      <c r="A12">
        <f>IF(F12="",0,IF(C12&lt;44.1,0,MAX($A$4:A11)+1))</f>
        <v>4</v>
      </c>
      <c r="B12">
        <v>80</v>
      </c>
      <c r="C12">
        <v>120.19158</v>
      </c>
      <c r="D12" t="s">
        <v>409</v>
      </c>
      <c r="E12" t="s">
        <v>563</v>
      </c>
      <c r="F12" t="s">
        <v>588</v>
      </c>
      <c r="G12" s="201"/>
      <c r="H12" s="201" t="s">
        <v>819</v>
      </c>
      <c r="I12" s="201"/>
    </row>
    <row r="13" spans="1:11" x14ac:dyDescent="0.25">
      <c r="A13">
        <f>IF(F13="",0,IF(C13&lt;44.1,0,MAX($A$4:A12)+1))</f>
        <v>5</v>
      </c>
      <c r="B13">
        <v>89</v>
      </c>
      <c r="C13">
        <v>120.19158</v>
      </c>
      <c r="D13" t="s">
        <v>412</v>
      </c>
      <c r="E13" t="s">
        <v>564</v>
      </c>
      <c r="F13" t="s">
        <v>589</v>
      </c>
      <c r="G13" s="201"/>
      <c r="H13" s="201" t="s">
        <v>819</v>
      </c>
      <c r="I13" s="201"/>
    </row>
    <row r="14" spans="1:11" x14ac:dyDescent="0.25">
      <c r="A14">
        <f>IF(F14="",0,IF(C14&lt;44.1,0,MAX($A$4:A13)+1))</f>
        <v>6</v>
      </c>
      <c r="B14">
        <v>118</v>
      </c>
      <c r="C14">
        <v>114.22852</v>
      </c>
      <c r="D14" t="s">
        <v>298</v>
      </c>
      <c r="E14" t="s">
        <v>472</v>
      </c>
      <c r="F14" t="s">
        <v>503</v>
      </c>
      <c r="G14" s="201"/>
      <c r="H14" s="201" t="s">
        <v>819</v>
      </c>
      <c r="I14" s="201"/>
    </row>
    <row r="15" spans="1:11" x14ac:dyDescent="0.25">
      <c r="A15">
        <f>IF(F15="",0,IF(C15&lt;44.1,0,MAX($A$4:A14)+1))</f>
        <v>7</v>
      </c>
      <c r="B15">
        <v>122</v>
      </c>
      <c r="C15">
        <v>86.175359999999998</v>
      </c>
      <c r="D15" t="s">
        <v>302</v>
      </c>
      <c r="E15" t="s">
        <v>553</v>
      </c>
      <c r="F15" t="s">
        <v>590</v>
      </c>
      <c r="G15" s="201"/>
      <c r="H15" s="201" t="s">
        <v>819</v>
      </c>
      <c r="I15" s="201"/>
    </row>
    <row r="16" spans="1:11" x14ac:dyDescent="0.25">
      <c r="A16">
        <f>IF(F16="",0,IF(C16&lt;44.1,0,MAX($A$4:A15)+1))</f>
        <v>8</v>
      </c>
      <c r="B16">
        <v>127</v>
      </c>
      <c r="C16">
        <v>72.148780000000002</v>
      </c>
      <c r="D16" s="192" t="s">
        <v>442</v>
      </c>
      <c r="E16" t="s">
        <v>565</v>
      </c>
      <c r="F16" t="s">
        <v>783</v>
      </c>
      <c r="G16" s="201"/>
      <c r="H16" s="201" t="s">
        <v>819</v>
      </c>
      <c r="I16" s="201"/>
    </row>
    <row r="17" spans="1:9" x14ac:dyDescent="0.25">
      <c r="A17">
        <f>IF(F17="",0,IF(C17&lt;44.1,0,MAX($A$4:A16)+1))</f>
        <v>9</v>
      </c>
      <c r="B17">
        <v>130</v>
      </c>
      <c r="C17">
        <v>114.22852</v>
      </c>
      <c r="D17" t="s">
        <v>406</v>
      </c>
      <c r="E17" t="s">
        <v>471</v>
      </c>
      <c r="F17" t="s">
        <v>504</v>
      </c>
      <c r="G17" s="201"/>
      <c r="H17" s="201" t="s">
        <v>819</v>
      </c>
      <c r="I17" s="201"/>
    </row>
    <row r="18" spans="1:9" x14ac:dyDescent="0.25">
      <c r="A18">
        <f>IF(F18="",0,IF(C18&lt;44.1,0,MAX($A$4:A17)+1))</f>
        <v>10</v>
      </c>
      <c r="B18">
        <v>136</v>
      </c>
      <c r="C18">
        <v>86.175359999999998</v>
      </c>
      <c r="D18" t="s">
        <v>305</v>
      </c>
      <c r="E18" t="s">
        <v>366</v>
      </c>
      <c r="F18" t="s">
        <v>505</v>
      </c>
      <c r="G18" s="201"/>
      <c r="H18" s="201" t="s">
        <v>819</v>
      </c>
      <c r="I18" s="201"/>
    </row>
    <row r="19" spans="1:9" x14ac:dyDescent="0.25">
      <c r="A19">
        <f>IF(F19="",0,IF(C19&lt;44.1,0,MAX($A$4:A18)+1))</f>
        <v>11</v>
      </c>
      <c r="B19">
        <v>138</v>
      </c>
      <c r="C19">
        <v>114.22852</v>
      </c>
      <c r="D19" t="s">
        <v>444</v>
      </c>
      <c r="E19" t="s">
        <v>566</v>
      </c>
      <c r="F19" t="s">
        <v>591</v>
      </c>
      <c r="G19" s="201"/>
      <c r="H19" s="201" t="s">
        <v>819</v>
      </c>
      <c r="I19" s="201"/>
    </row>
    <row r="20" spans="1:9" x14ac:dyDescent="0.25">
      <c r="A20">
        <f>IF(F20="",0,IF(C20&lt;44.1,0,MAX($A$4:A19)+1))</f>
        <v>12</v>
      </c>
      <c r="B20">
        <v>140</v>
      </c>
      <c r="C20">
        <v>100.20193999999999</v>
      </c>
      <c r="D20" t="s">
        <v>308</v>
      </c>
      <c r="E20" t="s">
        <v>473</v>
      </c>
      <c r="F20" t="s">
        <v>506</v>
      </c>
      <c r="G20" s="201"/>
      <c r="H20" s="201" t="s">
        <v>819</v>
      </c>
      <c r="I20" s="201"/>
    </row>
    <row r="21" spans="1:9" x14ac:dyDescent="0.25">
      <c r="A21">
        <f>IF(F21="",0,IF(C21&lt;44.1,0,MAX($A$4:A20)+1))</f>
        <v>13</v>
      </c>
      <c r="B21">
        <v>149</v>
      </c>
      <c r="C21">
        <v>114.22852</v>
      </c>
      <c r="D21" t="s">
        <v>428</v>
      </c>
      <c r="E21" t="s">
        <v>567</v>
      </c>
      <c r="F21" t="s">
        <v>592</v>
      </c>
      <c r="G21" s="201"/>
      <c r="H21" s="201" t="s">
        <v>819</v>
      </c>
      <c r="I21" s="201"/>
    </row>
    <row r="22" spans="1:9" x14ac:dyDescent="0.25">
      <c r="A22">
        <f>IF(F22="",0,IF(C22&lt;44.1,0,MAX($A$4:A21)+1))</f>
        <v>14</v>
      </c>
      <c r="B22">
        <v>152</v>
      </c>
      <c r="C22">
        <v>100.20193999999999</v>
      </c>
      <c r="D22" t="s">
        <v>311</v>
      </c>
      <c r="E22" t="s">
        <v>474</v>
      </c>
      <c r="F22" t="s">
        <v>507</v>
      </c>
      <c r="G22" s="201"/>
      <c r="H22" s="201" t="s">
        <v>819</v>
      </c>
      <c r="I22" s="201"/>
    </row>
    <row r="23" spans="1:9" x14ac:dyDescent="0.25">
      <c r="A23">
        <f>IF(F23="",0,IF(C23&lt;44.1,0,MAX($A$4:A22)+1))</f>
        <v>15</v>
      </c>
      <c r="B23">
        <v>193</v>
      </c>
      <c r="C23">
        <v>114.22852</v>
      </c>
      <c r="D23" t="s">
        <v>314</v>
      </c>
      <c r="E23" t="s">
        <v>554</v>
      </c>
      <c r="F23" t="s">
        <v>593</v>
      </c>
      <c r="G23" s="201"/>
      <c r="H23" s="201" t="s">
        <v>819</v>
      </c>
      <c r="I23" s="201"/>
    </row>
    <row r="24" spans="1:9" x14ac:dyDescent="0.25">
      <c r="A24">
        <f>IF(F24="",0,IF(C24&lt;44.1,0,MAX($A$4:A23)+1))</f>
        <v>16</v>
      </c>
      <c r="B24">
        <v>194</v>
      </c>
      <c r="C24">
        <v>100.20193999999999</v>
      </c>
      <c r="D24" t="s">
        <v>317</v>
      </c>
      <c r="E24" t="s">
        <v>498</v>
      </c>
      <c r="F24" t="s">
        <v>508</v>
      </c>
      <c r="G24" s="201"/>
      <c r="H24" s="201" t="s">
        <v>819</v>
      </c>
      <c r="I24" s="201"/>
    </row>
    <row r="25" spans="1:9" x14ac:dyDescent="0.25">
      <c r="A25">
        <f>IF(F25="",0,IF(C25&lt;44.1,0,MAX($A$4:A24)+1))</f>
        <v>17</v>
      </c>
      <c r="B25">
        <v>199</v>
      </c>
      <c r="C25">
        <v>86.175359999999998</v>
      </c>
      <c r="D25" t="s">
        <v>320</v>
      </c>
      <c r="E25" t="s">
        <v>499</v>
      </c>
      <c r="F25" t="s">
        <v>509</v>
      </c>
      <c r="G25" s="201"/>
      <c r="H25" s="201" t="s">
        <v>819</v>
      </c>
      <c r="I25" s="201"/>
    </row>
    <row r="26" spans="1:9" x14ac:dyDescent="0.25">
      <c r="A26">
        <f>IF(F26="",0,IF(C26&lt;44.1,0,MAX($A$4:A25)+1))</f>
        <v>0</v>
      </c>
      <c r="B26">
        <v>226</v>
      </c>
      <c r="C26">
        <v>114.22852</v>
      </c>
      <c r="D26" s="277" t="s">
        <v>440</v>
      </c>
      <c r="E26" t="s">
        <v>568</v>
      </c>
      <c r="G26" s="201"/>
      <c r="H26" s="201" t="s">
        <v>819</v>
      </c>
      <c r="I26" s="201"/>
    </row>
    <row r="27" spans="1:9" x14ac:dyDescent="0.25">
      <c r="A27">
        <f>IF(F27="",0,IF(C27&lt;44.1,0,MAX($A$4:A26)+1))</f>
        <v>18</v>
      </c>
      <c r="B27">
        <v>244</v>
      </c>
      <c r="C27">
        <v>114.22852</v>
      </c>
      <c r="D27" t="s">
        <v>323</v>
      </c>
      <c r="E27" t="s">
        <v>555</v>
      </c>
      <c r="F27" t="s">
        <v>594</v>
      </c>
      <c r="G27" s="201"/>
      <c r="H27" s="201" t="s">
        <v>819</v>
      </c>
      <c r="I27" s="201"/>
    </row>
    <row r="28" spans="1:9" x14ac:dyDescent="0.25">
      <c r="A28">
        <f>IF(F28="",0,IF(C28&lt;44.1,0,MAX($A$4:A27)+1))</f>
        <v>19</v>
      </c>
      <c r="B28">
        <v>245</v>
      </c>
      <c r="C28">
        <v>100.20193999999999</v>
      </c>
      <c r="D28" t="s">
        <v>326</v>
      </c>
      <c r="E28" t="s">
        <v>500</v>
      </c>
      <c r="F28" t="s">
        <v>510</v>
      </c>
      <c r="G28" s="201"/>
      <c r="H28" s="201" t="s">
        <v>819</v>
      </c>
      <c r="I28" s="201"/>
    </row>
    <row r="29" spans="1:9" x14ac:dyDescent="0.25">
      <c r="A29">
        <f>IF(F29="",0,IF(C29&lt;44.1,0,MAX($A$4:A28)+1))</f>
        <v>20</v>
      </c>
      <c r="B29">
        <v>248</v>
      </c>
      <c r="C29">
        <v>86.175359999999998</v>
      </c>
      <c r="D29" t="s">
        <v>329</v>
      </c>
      <c r="E29" t="s">
        <v>501</v>
      </c>
      <c r="F29" t="s">
        <v>511</v>
      </c>
      <c r="G29" s="201"/>
      <c r="H29" s="201" t="s">
        <v>819</v>
      </c>
      <c r="I29" s="201"/>
    </row>
    <row r="30" spans="1:9" x14ac:dyDescent="0.25">
      <c r="A30">
        <f>IF(F30="",0,IF(C30&lt;44.1,0,MAX($A$4:A29)+1))</f>
        <v>21</v>
      </c>
      <c r="B30">
        <v>302</v>
      </c>
      <c r="C30">
        <v>78.111840000000001</v>
      </c>
      <c r="D30" t="s">
        <v>263</v>
      </c>
      <c r="E30" t="s">
        <v>475</v>
      </c>
      <c r="F30" t="s">
        <v>527</v>
      </c>
      <c r="G30" s="201"/>
      <c r="H30" s="201" t="s">
        <v>819</v>
      </c>
      <c r="I30" s="201"/>
    </row>
    <row r="31" spans="1:9" x14ac:dyDescent="0.25">
      <c r="A31">
        <f>IF(F31="",0,IF(C31&lt;44.1,0,MAX($A$4:A30)+1))</f>
        <v>22</v>
      </c>
      <c r="B31">
        <v>385</v>
      </c>
      <c r="C31">
        <v>84.159480000000002</v>
      </c>
      <c r="D31" t="s">
        <v>332</v>
      </c>
      <c r="E31" t="s">
        <v>556</v>
      </c>
      <c r="F31" t="s">
        <v>595</v>
      </c>
      <c r="G31" s="201"/>
      <c r="H31" s="201" t="s">
        <v>819</v>
      </c>
      <c r="I31" s="201"/>
    </row>
    <row r="32" spans="1:9" x14ac:dyDescent="0.25">
      <c r="A32">
        <f>IF(F32="",0,IF(C32&lt;44.1,0,MAX($A$4:A31)+1))</f>
        <v>23</v>
      </c>
      <c r="B32">
        <v>390</v>
      </c>
      <c r="C32">
        <v>70.132900000000006</v>
      </c>
      <c r="D32" t="s">
        <v>335</v>
      </c>
      <c r="E32" t="s">
        <v>557</v>
      </c>
      <c r="F32" t="s">
        <v>596</v>
      </c>
      <c r="G32" s="201"/>
      <c r="H32" s="201" t="s">
        <v>819</v>
      </c>
      <c r="I32" s="201"/>
    </row>
    <row r="33" spans="1:9" x14ac:dyDescent="0.25">
      <c r="A33">
        <f>IF(F33="",0,IF(C33&lt;44.1,0,MAX($A$4:A32)+1))</f>
        <v>0</v>
      </c>
      <c r="B33">
        <v>438</v>
      </c>
      <c r="C33">
        <v>30.069040000000001</v>
      </c>
      <c r="D33" t="s">
        <v>266</v>
      </c>
      <c r="E33" t="s">
        <v>367</v>
      </c>
      <c r="F33" t="s">
        <v>512</v>
      </c>
      <c r="G33" s="201"/>
      <c r="H33" s="201" t="s">
        <v>819</v>
      </c>
      <c r="I33" s="201"/>
    </row>
    <row r="34" spans="1:9" x14ac:dyDescent="0.25">
      <c r="A34">
        <f>IF(F34="",0,IF(C34&lt;44.1,0,MAX($A$4:A33)+1))</f>
        <v>24</v>
      </c>
      <c r="B34">
        <v>449</v>
      </c>
      <c r="C34">
        <v>106.16500000000001</v>
      </c>
      <c r="D34" t="s">
        <v>338</v>
      </c>
      <c r="E34" t="s">
        <v>477</v>
      </c>
      <c r="F34" t="s">
        <v>526</v>
      </c>
      <c r="G34" s="201"/>
      <c r="H34" s="201" t="s">
        <v>819</v>
      </c>
      <c r="I34" s="201"/>
    </row>
    <row r="35" spans="1:9" x14ac:dyDescent="0.25">
      <c r="A35">
        <f>IF(F35="",0,IF(C35&lt;44.1,0,MAX($A$4:A34)+1))</f>
        <v>25</v>
      </c>
      <c r="B35">
        <v>450</v>
      </c>
      <c r="C35">
        <v>112.21263999999999</v>
      </c>
      <c r="D35" t="s">
        <v>341</v>
      </c>
      <c r="E35" t="s">
        <v>558</v>
      </c>
      <c r="F35" t="s">
        <v>597</v>
      </c>
      <c r="G35" s="201"/>
      <c r="H35" s="201" t="s">
        <v>819</v>
      </c>
      <c r="I35" s="201"/>
    </row>
    <row r="36" spans="1:9" x14ac:dyDescent="0.25">
      <c r="A36">
        <f>IF(F36="",0,IF(C36&lt;44.1,0,MAX($A$4:A35)+1))</f>
        <v>26</v>
      </c>
      <c r="B36">
        <v>491</v>
      </c>
      <c r="C36">
        <v>58.122199999999999</v>
      </c>
      <c r="D36" t="s">
        <v>269</v>
      </c>
      <c r="E36" t="s">
        <v>368</v>
      </c>
      <c r="F36" t="s">
        <v>513</v>
      </c>
      <c r="G36" s="201"/>
      <c r="H36" s="201" t="s">
        <v>819</v>
      </c>
      <c r="I36" s="201"/>
    </row>
    <row r="37" spans="1:9" x14ac:dyDescent="0.25">
      <c r="A37">
        <f>IF(F37="",0,IF(C37&lt;44.1,0,MAX($A$4:A36)+1))</f>
        <v>27</v>
      </c>
      <c r="B37">
        <v>499</v>
      </c>
      <c r="C37">
        <v>134.21816000000001</v>
      </c>
      <c r="D37" s="192" t="s">
        <v>644</v>
      </c>
      <c r="E37" t="s">
        <v>670</v>
      </c>
      <c r="F37" t="s">
        <v>780</v>
      </c>
      <c r="G37" s="201"/>
      <c r="H37" s="201" t="s">
        <v>819</v>
      </c>
      <c r="I37" s="201"/>
    </row>
    <row r="38" spans="1:9" x14ac:dyDescent="0.25">
      <c r="A38">
        <f>IF(F38="",0,IF(C38&lt;44.1,0,MAX($A$4:A37)+1))</f>
        <v>28</v>
      </c>
      <c r="B38">
        <v>508</v>
      </c>
      <c r="C38">
        <v>72.148780000000002</v>
      </c>
      <c r="D38" t="s">
        <v>343</v>
      </c>
      <c r="E38" t="s">
        <v>478</v>
      </c>
      <c r="F38" t="s">
        <v>514</v>
      </c>
      <c r="G38" s="201"/>
      <c r="H38" s="201" t="s">
        <v>819</v>
      </c>
      <c r="I38" s="201"/>
    </row>
    <row r="39" spans="1:9" x14ac:dyDescent="0.25">
      <c r="A39">
        <f>IF(F39="",0,IF(C39&lt;44.1,0,MAX($A$4:A38)+1))</f>
        <v>29</v>
      </c>
      <c r="B39">
        <v>514</v>
      </c>
      <c r="C39">
        <v>120.19158</v>
      </c>
      <c r="D39" t="s">
        <v>363</v>
      </c>
      <c r="E39" t="s">
        <v>559</v>
      </c>
      <c r="F39" t="s">
        <v>598</v>
      </c>
      <c r="G39" s="201"/>
      <c r="H39" s="201" t="s">
        <v>819</v>
      </c>
      <c r="I39" s="201"/>
    </row>
    <row r="40" spans="1:9" x14ac:dyDescent="0.25">
      <c r="A40">
        <f>IF(F40="",0,IF(C40&lt;44.1,0,MAX($A$4:A39)+1))</f>
        <v>30</v>
      </c>
      <c r="B40">
        <v>522</v>
      </c>
      <c r="C40">
        <v>106.16500000000001</v>
      </c>
      <c r="D40" t="s">
        <v>346</v>
      </c>
      <c r="E40" t="s">
        <v>369</v>
      </c>
      <c r="F40" t="s">
        <v>515</v>
      </c>
      <c r="G40" s="201"/>
      <c r="H40" s="201" t="s">
        <v>819</v>
      </c>
      <c r="I40" s="201"/>
    </row>
    <row r="41" spans="1:9" x14ac:dyDescent="0.25">
      <c r="A41">
        <f>IF(F41="",0,IF(C41&lt;44.1,0,MAX($A$4:A40)+1))</f>
        <v>31</v>
      </c>
      <c r="B41">
        <v>524</v>
      </c>
      <c r="C41">
        <v>106.16500000000001</v>
      </c>
      <c r="D41" t="s">
        <v>437</v>
      </c>
      <c r="E41" t="s">
        <v>603</v>
      </c>
      <c r="F41" t="s">
        <v>518</v>
      </c>
      <c r="G41" s="201" t="s">
        <v>820</v>
      </c>
      <c r="H41" s="201" t="s">
        <v>819</v>
      </c>
      <c r="I41" s="201"/>
    </row>
    <row r="42" spans="1:9" x14ac:dyDescent="0.25">
      <c r="A42">
        <f>IF(F42="",0,IF(C42&lt;44.1,0,MAX($A$4:A41)+1))</f>
        <v>0</v>
      </c>
      <c r="B42">
        <v>529</v>
      </c>
      <c r="C42">
        <v>16.042459999999998</v>
      </c>
      <c r="D42" t="s">
        <v>272</v>
      </c>
      <c r="E42" t="s">
        <v>370</v>
      </c>
      <c r="F42" t="s">
        <v>516</v>
      </c>
      <c r="G42" s="201"/>
      <c r="H42" s="201" t="s">
        <v>819</v>
      </c>
      <c r="I42" s="201"/>
    </row>
    <row r="43" spans="1:9" x14ac:dyDescent="0.25">
      <c r="A43">
        <f>IF(F43="",0,IF(C43&lt;44.1,0,MAX($A$4:A42)+1))</f>
        <v>32</v>
      </c>
      <c r="B43">
        <v>550</v>
      </c>
      <c r="C43">
        <v>98.186059999999998</v>
      </c>
      <c r="D43" t="s">
        <v>349</v>
      </c>
      <c r="E43" t="s">
        <v>479</v>
      </c>
      <c r="F43" t="s">
        <v>528</v>
      </c>
      <c r="G43" s="201"/>
      <c r="H43" s="201" t="s">
        <v>819</v>
      </c>
      <c r="I43" s="201"/>
    </row>
    <row r="44" spans="1:9" x14ac:dyDescent="0.25">
      <c r="A44">
        <f>IF(F44="",0,IF(C44&lt;44.1,0,MAX($A$4:A43)+1))</f>
        <v>33</v>
      </c>
      <c r="B44">
        <v>551</v>
      </c>
      <c r="C44">
        <v>84.159480000000002</v>
      </c>
      <c r="D44" t="s">
        <v>352</v>
      </c>
      <c r="E44" t="s">
        <v>480</v>
      </c>
      <c r="F44" t="s">
        <v>517</v>
      </c>
      <c r="G44" s="201"/>
      <c r="H44" s="201" t="s">
        <v>819</v>
      </c>
      <c r="I44" s="201"/>
    </row>
    <row r="45" spans="1:9" x14ac:dyDescent="0.25">
      <c r="A45">
        <f>IF(F45="",0,IF(C45&lt;44.1,0,MAX($A$4:A44)+1))</f>
        <v>34</v>
      </c>
      <c r="B45">
        <v>551</v>
      </c>
      <c r="C45">
        <v>84.159480000000002</v>
      </c>
      <c r="D45" t="s">
        <v>352</v>
      </c>
      <c r="E45" t="s">
        <v>649</v>
      </c>
      <c r="F45" t="s">
        <v>650</v>
      </c>
      <c r="G45" s="201"/>
      <c r="H45" s="201" t="s">
        <v>819</v>
      </c>
      <c r="I45" s="201"/>
    </row>
    <row r="46" spans="1:9" x14ac:dyDescent="0.25">
      <c r="A46">
        <f>IF(F46="",0,IF(C46&lt;44.1,0,MAX($A$4:A45)+1))</f>
        <v>35</v>
      </c>
      <c r="B46">
        <v>592</v>
      </c>
      <c r="C46">
        <v>58.122199999999999</v>
      </c>
      <c r="D46" t="s">
        <v>274</v>
      </c>
      <c r="E46" t="s">
        <v>481</v>
      </c>
      <c r="F46" t="s">
        <v>519</v>
      </c>
      <c r="G46" s="201"/>
      <c r="H46" s="201" t="s">
        <v>819</v>
      </c>
      <c r="I46" s="201"/>
    </row>
    <row r="47" spans="1:9" x14ac:dyDescent="0.25">
      <c r="A47">
        <f>IF(F47="",0,IF(C47&lt;44.1,0,MAX($A$4:A46)+1))</f>
        <v>36</v>
      </c>
      <c r="B47">
        <v>598</v>
      </c>
      <c r="C47">
        <v>142.28167999999999</v>
      </c>
      <c r="D47" t="s">
        <v>415</v>
      </c>
      <c r="E47" t="s">
        <v>482</v>
      </c>
      <c r="F47" t="s">
        <v>520</v>
      </c>
      <c r="G47" s="201"/>
      <c r="H47" s="201" t="s">
        <v>819</v>
      </c>
      <c r="I47" s="201"/>
    </row>
    <row r="48" spans="1:9" x14ac:dyDescent="0.25">
      <c r="A48">
        <f>IF(F48="",0,IF(C48&lt;44.1,0,MAX($A$4:A47)+1))</f>
        <v>37</v>
      </c>
      <c r="B48">
        <v>600</v>
      </c>
      <c r="C48">
        <v>100.20193999999999</v>
      </c>
      <c r="D48" t="s">
        <v>277</v>
      </c>
      <c r="E48" t="s">
        <v>483</v>
      </c>
      <c r="F48" t="s">
        <v>653</v>
      </c>
      <c r="G48" s="201"/>
      <c r="H48" s="201" t="s">
        <v>819</v>
      </c>
      <c r="I48" s="201"/>
    </row>
    <row r="49" spans="1:9" x14ac:dyDescent="0.25">
      <c r="A49">
        <f>IF(F49="",0,IF(C49&lt;44.1,0,MAX($A$4:A48)+1))</f>
        <v>38</v>
      </c>
      <c r="B49">
        <v>601</v>
      </c>
      <c r="C49">
        <v>86.175359999999998</v>
      </c>
      <c r="D49" t="s">
        <v>280</v>
      </c>
      <c r="E49" t="s">
        <v>484</v>
      </c>
      <c r="F49" t="s">
        <v>652</v>
      </c>
      <c r="G49" s="201"/>
      <c r="H49" s="201" t="s">
        <v>819</v>
      </c>
      <c r="I49" s="201"/>
    </row>
    <row r="50" spans="1:9" x14ac:dyDescent="0.25">
      <c r="A50">
        <f>IF(F50="",0,IF(C50&lt;44.1,0,MAX($A$4:A49)+1))</f>
        <v>39</v>
      </c>
      <c r="B50">
        <v>603</v>
      </c>
      <c r="C50">
        <v>128.2551</v>
      </c>
      <c r="D50" t="s">
        <v>418</v>
      </c>
      <c r="E50" t="s">
        <v>485</v>
      </c>
      <c r="F50" t="s">
        <v>521</v>
      </c>
      <c r="G50" s="201"/>
      <c r="H50" s="201" t="s">
        <v>819</v>
      </c>
      <c r="I50" s="201"/>
    </row>
    <row r="51" spans="1:9" x14ac:dyDescent="0.25">
      <c r="A51">
        <f>IF(F51="",0,IF(C51&lt;44.1,0,MAX($A$4:A50)+1))</f>
        <v>40</v>
      </c>
      <c r="B51">
        <v>604</v>
      </c>
      <c r="C51">
        <v>114.22852</v>
      </c>
      <c r="D51" s="192" t="s">
        <v>283</v>
      </c>
      <c r="E51" t="s">
        <v>486</v>
      </c>
      <c r="F51" t="s">
        <v>785</v>
      </c>
      <c r="G51" s="201"/>
      <c r="H51" s="201" t="s">
        <v>819</v>
      </c>
      <c r="I51" s="201"/>
    </row>
    <row r="52" spans="1:9" x14ac:dyDescent="0.25">
      <c r="A52">
        <f>IF(F52="",0,IF(C52&lt;44.1,0,MAX($A$4:A51)+1))</f>
        <v>41</v>
      </c>
      <c r="B52">
        <v>605</v>
      </c>
      <c r="C52">
        <v>72.148780000000002</v>
      </c>
      <c r="D52" t="s">
        <v>286</v>
      </c>
      <c r="E52" t="s">
        <v>487</v>
      </c>
      <c r="F52" t="s">
        <v>522</v>
      </c>
      <c r="G52" s="201"/>
      <c r="H52" s="201" t="s">
        <v>819</v>
      </c>
      <c r="I52" s="201"/>
    </row>
    <row r="53" spans="1:9" x14ac:dyDescent="0.25">
      <c r="A53">
        <f>IF(F53="",0,IF(C53&lt;44.1,0,MAX($A$4:A52)+1))</f>
        <v>42</v>
      </c>
      <c r="B53">
        <v>608</v>
      </c>
      <c r="C53">
        <v>120.19158</v>
      </c>
      <c r="D53" t="s">
        <v>421</v>
      </c>
      <c r="E53" t="s">
        <v>569</v>
      </c>
      <c r="F53" t="s">
        <v>599</v>
      </c>
      <c r="G53" s="201"/>
      <c r="H53" s="201" t="s">
        <v>819</v>
      </c>
      <c r="I53" s="201"/>
    </row>
    <row r="54" spans="1:9" x14ac:dyDescent="0.25">
      <c r="A54">
        <f>IF(F54="",0,IF(C54&lt;44.1,0,MAX($A$4:A53)+1))</f>
        <v>43</v>
      </c>
      <c r="B54">
        <v>610</v>
      </c>
      <c r="C54">
        <v>156.30826000000002</v>
      </c>
      <c r="D54" s="192" t="s">
        <v>431</v>
      </c>
      <c r="E54" t="s">
        <v>666</v>
      </c>
      <c r="F54" t="s">
        <v>784</v>
      </c>
      <c r="G54" s="201"/>
      <c r="H54" s="201" t="s">
        <v>819</v>
      </c>
      <c r="I54" s="201"/>
    </row>
    <row r="55" spans="1:9" x14ac:dyDescent="0.25">
      <c r="A55">
        <f>IF(F55="",0,IF(C55&lt;44.1,0,MAX($A$4:A54)+1))</f>
        <v>44</v>
      </c>
      <c r="B55">
        <v>620</v>
      </c>
      <c r="C55">
        <v>106.16500000000001</v>
      </c>
      <c r="D55" t="s">
        <v>355</v>
      </c>
      <c r="E55" t="s">
        <v>488</v>
      </c>
      <c r="F55" t="s">
        <v>523</v>
      </c>
      <c r="G55" s="201" t="s">
        <v>820</v>
      </c>
      <c r="H55" s="201" t="s">
        <v>819</v>
      </c>
      <c r="I55" s="201"/>
    </row>
    <row r="56" spans="1:9" x14ac:dyDescent="0.25">
      <c r="A56">
        <f>IF(F56="",0,IF(C56&lt;44.1,0,MAX($A$4:A55)+1))</f>
        <v>45</v>
      </c>
      <c r="B56">
        <v>648</v>
      </c>
      <c r="C56">
        <v>106.16500000000001</v>
      </c>
      <c r="D56" t="s">
        <v>434</v>
      </c>
      <c r="E56" t="s">
        <v>604</v>
      </c>
      <c r="F56" t="s">
        <v>600</v>
      </c>
      <c r="G56" s="201" t="s">
        <v>820</v>
      </c>
      <c r="H56" s="201" t="s">
        <v>819</v>
      </c>
      <c r="I56" s="201"/>
    </row>
    <row r="57" spans="1:9" x14ac:dyDescent="0.25">
      <c r="A57">
        <f>IF(F57="",0,IF(C57&lt;44.1,0,MAX($A$4:A56)+1))</f>
        <v>0</v>
      </c>
      <c r="B57">
        <v>671</v>
      </c>
      <c r="C57">
        <v>44.095619999999997</v>
      </c>
      <c r="D57" t="s">
        <v>289</v>
      </c>
      <c r="E57" t="s">
        <v>371</v>
      </c>
      <c r="F57" t="s">
        <v>524</v>
      </c>
      <c r="G57" s="201"/>
      <c r="H57" s="201" t="s">
        <v>819</v>
      </c>
      <c r="I57" s="201"/>
    </row>
    <row r="58" spans="1:9" x14ac:dyDescent="0.25">
      <c r="A58">
        <f>IF(F58="",0,IF(C58&lt;44.1,0,MAX($A$4:A57)+1))</f>
        <v>46</v>
      </c>
      <c r="B58">
        <v>678</v>
      </c>
      <c r="C58">
        <v>106.16500000000001</v>
      </c>
      <c r="D58" t="s">
        <v>365</v>
      </c>
      <c r="E58" t="s">
        <v>560</v>
      </c>
      <c r="F58" t="s">
        <v>601</v>
      </c>
      <c r="G58" s="201"/>
      <c r="H58" s="201" t="s">
        <v>819</v>
      </c>
      <c r="I58" s="201"/>
    </row>
    <row r="59" spans="1:9" x14ac:dyDescent="0.25">
      <c r="A59">
        <f>IF(F59="",0,IF(C59&lt;44.1,0,MAX($A$4:A58)+1))</f>
        <v>0</v>
      </c>
      <c r="B59">
        <v>703</v>
      </c>
      <c r="C59">
        <v>134.21816000000001</v>
      </c>
      <c r="D59" s="276" t="s">
        <v>424</v>
      </c>
      <c r="E59" t="s">
        <v>570</v>
      </c>
      <c r="G59" s="201"/>
      <c r="H59" s="201" t="s">
        <v>819</v>
      </c>
      <c r="I59" s="201"/>
    </row>
    <row r="60" spans="1:9" x14ac:dyDescent="0.25">
      <c r="A60">
        <f>IF(F60="",0,IF(C60&lt;44.1,0,MAX($A$4:A59)+1))</f>
        <v>47</v>
      </c>
      <c r="B60">
        <v>717</v>
      </c>
      <c r="C60">
        <v>92.138419999999996</v>
      </c>
      <c r="D60" t="s">
        <v>295</v>
      </c>
      <c r="E60" t="s">
        <v>372</v>
      </c>
      <c r="F60" t="s">
        <v>525</v>
      </c>
      <c r="G60" s="201"/>
      <c r="H60" s="201" t="s">
        <v>819</v>
      </c>
      <c r="I60" s="201"/>
    </row>
    <row r="61" spans="1:9" x14ac:dyDescent="0.25">
      <c r="A61">
        <f>IF(F61="",0,IF(C61&lt;44.1,0,MAX($A$4:A60)+1))</f>
        <v>48</v>
      </c>
      <c r="B61">
        <v>981</v>
      </c>
      <c r="C61">
        <v>134.21816000000001</v>
      </c>
      <c r="D61" t="s">
        <v>646</v>
      </c>
      <c r="E61" t="s">
        <v>665</v>
      </c>
      <c r="F61" t="s">
        <v>781</v>
      </c>
      <c r="G61" s="201"/>
      <c r="H61" s="201" t="s">
        <v>819</v>
      </c>
      <c r="I61" s="201"/>
    </row>
    <row r="62" spans="1:9" x14ac:dyDescent="0.25">
      <c r="A62">
        <f>IF(F62="",0,IF(C62&lt;44.1,0,MAX($A$4:A61)+1))</f>
        <v>0</v>
      </c>
      <c r="B62">
        <v>1924</v>
      </c>
      <c r="C62">
        <v>142.28167999999999</v>
      </c>
      <c r="D62" t="s">
        <v>535</v>
      </c>
      <c r="E62" t="s">
        <v>571</v>
      </c>
      <c r="G62" s="201"/>
      <c r="H62" s="201" t="s">
        <v>819</v>
      </c>
      <c r="I62" s="201"/>
    </row>
    <row r="63" spans="1:9" x14ac:dyDescent="0.25">
      <c r="A63">
        <f>IF(F63="",0,IF(C63&lt;44.1,0,MAX($A$4:A62)+1))</f>
        <v>0</v>
      </c>
      <c r="B63">
        <v>1929</v>
      </c>
      <c r="C63">
        <v>156.30826000000002</v>
      </c>
      <c r="D63" t="s">
        <v>468</v>
      </c>
      <c r="E63" t="s">
        <v>476</v>
      </c>
      <c r="G63" s="201"/>
      <c r="H63" s="201" t="s">
        <v>819</v>
      </c>
      <c r="I63" s="201"/>
    </row>
    <row r="64" spans="1:9" x14ac:dyDescent="0.25">
      <c r="A64">
        <f>IF(F64="",0,IF(C64&lt;44.1,0,MAX($A$4:A63)+1))</f>
        <v>0</v>
      </c>
      <c r="B64">
        <v>1976</v>
      </c>
      <c r="C64">
        <v>56.106319999999997</v>
      </c>
      <c r="D64" t="s">
        <v>551</v>
      </c>
      <c r="E64" t="s">
        <v>667</v>
      </c>
      <c r="G64" s="201"/>
      <c r="H64" s="201" t="s">
        <v>819</v>
      </c>
      <c r="I64" s="201"/>
    </row>
    <row r="65" spans="1:9" x14ac:dyDescent="0.25">
      <c r="A65">
        <f>IF(F65="",0,IF(C65&lt;44.1,0,MAX($A$4:A64)+1))</f>
        <v>0</v>
      </c>
      <c r="B65">
        <v>1986</v>
      </c>
      <c r="C65">
        <v>72.148780000000002</v>
      </c>
      <c r="D65" t="s">
        <v>538</v>
      </c>
      <c r="E65" t="s">
        <v>572</v>
      </c>
      <c r="G65" s="201"/>
      <c r="H65" s="201" t="s">
        <v>819</v>
      </c>
      <c r="I65" s="201"/>
    </row>
    <row r="66" spans="1:9" x14ac:dyDescent="0.25">
      <c r="A66">
        <f>IF(F66="",0,IF(C66&lt;44.1,0,MAX($A$4:A65)+1))</f>
        <v>0</v>
      </c>
      <c r="B66">
        <v>1999</v>
      </c>
      <c r="C66">
        <v>86.175359999999998</v>
      </c>
      <c r="D66" t="s">
        <v>541</v>
      </c>
      <c r="E66" t="s">
        <v>573</v>
      </c>
      <c r="G66" s="201"/>
      <c r="H66" s="201" t="s">
        <v>819</v>
      </c>
      <c r="I66" s="201"/>
    </row>
    <row r="67" spans="1:9" x14ac:dyDescent="0.25">
      <c r="A67">
        <f>IF(F67="",0,IF(C67&lt;44.1,0,MAX($A$4:A66)+1))</f>
        <v>0</v>
      </c>
      <c r="B67">
        <v>2005</v>
      </c>
      <c r="C67">
        <v>100.20194000000001</v>
      </c>
      <c r="D67" t="s">
        <v>544</v>
      </c>
      <c r="E67" t="s">
        <v>574</v>
      </c>
      <c r="G67" s="201"/>
      <c r="H67" s="201" t="s">
        <v>819</v>
      </c>
      <c r="I67" s="201"/>
    </row>
    <row r="68" spans="1:9" x14ac:dyDescent="0.25">
      <c r="A68">
        <f>IF(F68="",0,IF(C68&lt;44.1,0,MAX($A$4:A67)+1))</f>
        <v>0</v>
      </c>
      <c r="B68">
        <v>2006</v>
      </c>
      <c r="C68">
        <v>78.111840000000001</v>
      </c>
      <c r="D68" t="s">
        <v>291</v>
      </c>
      <c r="E68" t="s">
        <v>669</v>
      </c>
      <c r="G68" s="201"/>
      <c r="H68" s="201" t="s">
        <v>819</v>
      </c>
      <c r="I68" s="201"/>
    </row>
    <row r="69" spans="1:9" x14ac:dyDescent="0.25">
      <c r="A69">
        <f>IF(F69="",0,IF(C69&lt;44.1,0,MAX($A$4:A68)+1))</f>
        <v>0</v>
      </c>
      <c r="B69">
        <v>2011</v>
      </c>
      <c r="C69">
        <v>113.21160686946486</v>
      </c>
      <c r="D69" t="s">
        <v>547</v>
      </c>
      <c r="E69" t="s">
        <v>575</v>
      </c>
      <c r="G69" s="201"/>
      <c r="H69" s="201" t="s">
        <v>819</v>
      </c>
      <c r="I69" s="201"/>
    </row>
    <row r="70" spans="1:9" x14ac:dyDescent="0.25">
      <c r="A70">
        <f>IF(F70="",0,IF(C70&lt;44.1,0,MAX($A$4:A69)+1))</f>
        <v>0</v>
      </c>
      <c r="B70">
        <v>2012</v>
      </c>
      <c r="C70">
        <v>78.111840000000001</v>
      </c>
      <c r="D70" t="s">
        <v>292</v>
      </c>
      <c r="E70" t="s">
        <v>668</v>
      </c>
      <c r="G70" s="201"/>
      <c r="H70" s="201" t="s">
        <v>819</v>
      </c>
      <c r="I70" s="201"/>
    </row>
    <row r="71" spans="1:9" x14ac:dyDescent="0.25">
      <c r="A71">
        <f>IF(F71="",0,IF(C71&lt;44.1,0,MAX($A$4:A70)+1))</f>
        <v>0</v>
      </c>
      <c r="B71">
        <v>2018</v>
      </c>
      <c r="C71">
        <v>127.23917598649743</v>
      </c>
      <c r="D71" t="s">
        <v>549</v>
      </c>
      <c r="E71" t="s">
        <v>576</v>
      </c>
      <c r="G71" s="201"/>
      <c r="H71" s="201" t="s">
        <v>819</v>
      </c>
      <c r="I71" s="201"/>
    </row>
    <row r="72" spans="1:9" x14ac:dyDescent="0.25">
      <c r="A72">
        <f>IF(F72="",0,IF(C72&lt;44.1,0,MAX($A$4:A71)+1))</f>
        <v>49</v>
      </c>
      <c r="B72">
        <v>2132</v>
      </c>
      <c r="C72">
        <v>58.122199999999999</v>
      </c>
      <c r="D72" t="s">
        <v>293</v>
      </c>
      <c r="E72" t="s">
        <v>497</v>
      </c>
      <c r="F72" t="s">
        <v>514</v>
      </c>
      <c r="G72" s="201"/>
      <c r="H72" s="201" t="s">
        <v>819</v>
      </c>
      <c r="I72" s="201"/>
    </row>
    <row r="73" spans="1:9" x14ac:dyDescent="0.25">
      <c r="A73">
        <f>IF(F73="",0,IF(C73&lt;44.1,0,MAX($A$4:A72)+1))</f>
        <v>50</v>
      </c>
      <c r="B73">
        <v>2283</v>
      </c>
      <c r="C73">
        <v>137.19212445472201</v>
      </c>
      <c r="D73" t="s">
        <v>357</v>
      </c>
      <c r="E73" t="s">
        <v>561</v>
      </c>
      <c r="F73" t="s">
        <v>602</v>
      </c>
      <c r="G73" s="201"/>
      <c r="H73" s="201" t="s">
        <v>819</v>
      </c>
      <c r="I73" s="201"/>
    </row>
    <row r="74" spans="1:9" x14ac:dyDescent="0.25">
      <c r="A74">
        <v>0</v>
      </c>
      <c r="B74" t="s">
        <v>777</v>
      </c>
      <c r="C74">
        <v>86.175359999999998</v>
      </c>
      <c r="D74" t="s">
        <v>577</v>
      </c>
      <c r="E74" t="s">
        <v>580</v>
      </c>
      <c r="G74" s="201"/>
      <c r="H74" s="201" t="s">
        <v>819</v>
      </c>
      <c r="I74" s="201"/>
    </row>
    <row r="75" spans="1:9" x14ac:dyDescent="0.25">
      <c r="A75">
        <v>0</v>
      </c>
      <c r="B75">
        <v>1166</v>
      </c>
      <c r="C75">
        <v>78.111840000000001</v>
      </c>
      <c r="D75" t="s">
        <v>578</v>
      </c>
      <c r="E75" t="s">
        <v>579</v>
      </c>
      <c r="G75" s="201"/>
      <c r="H75" s="201" t="s">
        <v>819</v>
      </c>
      <c r="I75" s="201"/>
    </row>
    <row r="76" spans="1:9" x14ac:dyDescent="0.25">
      <c r="A76">
        <f>IF(F76="",0,IF(C76&lt;44.1,0,MAX($A$4:A75)+1))</f>
        <v>51</v>
      </c>
      <c r="B76">
        <v>2127</v>
      </c>
      <c r="C76">
        <v>86.175359999999998</v>
      </c>
      <c r="D76" t="s">
        <v>771</v>
      </c>
      <c r="E76" t="s">
        <v>581</v>
      </c>
      <c r="F76" t="s">
        <v>652</v>
      </c>
      <c r="G76" s="201"/>
      <c r="H76" s="201" t="s">
        <v>819</v>
      </c>
      <c r="I76" s="201"/>
    </row>
    <row r="77" spans="1:9" x14ac:dyDescent="0.25">
      <c r="A77">
        <f>IF(F77="",0,IF(C77&lt;44.1,0,MAX($A$4:A76)+1))</f>
        <v>52</v>
      </c>
      <c r="B77">
        <v>2126</v>
      </c>
      <c r="C77">
        <v>112.21263999999999</v>
      </c>
      <c r="D77" t="s">
        <v>772</v>
      </c>
      <c r="E77" t="s">
        <v>582</v>
      </c>
      <c r="F77" t="s">
        <v>653</v>
      </c>
      <c r="G77" s="201"/>
      <c r="H77" s="201" t="s">
        <v>819</v>
      </c>
      <c r="I77" s="201"/>
    </row>
    <row r="78" spans="1:9" x14ac:dyDescent="0.25">
      <c r="A78">
        <f>IF(F78="",0,IF(C78&lt;44.1,0,MAX($A$4:A77)+1))</f>
        <v>0</v>
      </c>
      <c r="B78">
        <v>2130</v>
      </c>
      <c r="C78">
        <v>114.22852</v>
      </c>
      <c r="D78" s="277" t="s">
        <v>773</v>
      </c>
      <c r="E78" t="s">
        <v>583</v>
      </c>
      <c r="G78" s="201"/>
      <c r="H78" s="201" t="s">
        <v>819</v>
      </c>
      <c r="I78" s="201"/>
    </row>
    <row r="79" spans="1:9" x14ac:dyDescent="0.25">
      <c r="A79">
        <f>IF(F79="",0,IF(C79&lt;44.1,0,MAX($A$4:A78)+1))</f>
        <v>0</v>
      </c>
      <c r="B79">
        <v>2128</v>
      </c>
      <c r="C79">
        <v>112.21263999999999</v>
      </c>
      <c r="D79" s="276" t="s">
        <v>775</v>
      </c>
      <c r="E79" t="s">
        <v>584</v>
      </c>
      <c r="G79" s="201"/>
      <c r="H79" s="201" t="s">
        <v>819</v>
      </c>
      <c r="I79" s="201"/>
    </row>
    <row r="80" spans="1:9" x14ac:dyDescent="0.25">
      <c r="A80">
        <f>IF(F80="",0,IF(C80&lt;44.1,0,MAX($A$4:A79)+1))</f>
        <v>0</v>
      </c>
      <c r="B80">
        <v>500</v>
      </c>
      <c r="C80">
        <v>142.28167999999999</v>
      </c>
      <c r="D80" s="276" t="s">
        <v>776</v>
      </c>
      <c r="E80" t="s">
        <v>585</v>
      </c>
      <c r="G80" s="201"/>
      <c r="H80" s="201" t="s">
        <v>819</v>
      </c>
      <c r="I80" s="201"/>
    </row>
    <row r="81" spans="1:9" x14ac:dyDescent="0.25">
      <c r="A81">
        <f>IF(F81="",0,IF(C81&lt;44.1,0,MAX($A$4:A80)+1))</f>
        <v>0</v>
      </c>
      <c r="B81">
        <v>505</v>
      </c>
      <c r="C81">
        <v>156.30825999999999</v>
      </c>
      <c r="D81" s="276" t="s">
        <v>774</v>
      </c>
      <c r="E81" t="s">
        <v>586</v>
      </c>
      <c r="G81" s="201"/>
      <c r="H81" s="201" t="s">
        <v>819</v>
      </c>
      <c r="I81" s="201"/>
    </row>
    <row r="82" spans="1:9" x14ac:dyDescent="0.25">
      <c r="G82" s="201"/>
      <c r="H82" s="201"/>
    </row>
  </sheetData>
  <sortState ref="B9:J85">
    <sortCondition ref="B9:B85"/>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U1274"/>
  <sheetViews>
    <sheetView workbookViewId="0"/>
  </sheetViews>
  <sheetFormatPr defaultRowHeight="15" x14ac:dyDescent="0.25"/>
  <cols>
    <col min="2" max="2" width="44.28515625" style="185" customWidth="1"/>
    <col min="3" max="3" width="13.7109375" style="185" customWidth="1"/>
    <col min="4" max="4" width="13.5703125" style="185" customWidth="1"/>
    <col min="5" max="5" width="12.85546875" style="185" customWidth="1"/>
    <col min="6" max="6" width="51" style="185" customWidth="1"/>
    <col min="7" max="10" width="17.5703125" style="185" customWidth="1"/>
    <col min="11" max="11" width="17.5703125" style="194" customWidth="1"/>
    <col min="12" max="12" width="48.7109375" style="185" customWidth="1"/>
    <col min="13" max="13" width="8.140625" style="184" customWidth="1"/>
    <col min="14" max="14" width="12" bestFit="1" customWidth="1"/>
    <col min="15" max="15" width="12" customWidth="1"/>
    <col min="16" max="16" width="21.5703125" customWidth="1"/>
    <col min="17" max="17" width="6.7109375" customWidth="1"/>
    <col min="18" max="19" width="3.28515625" customWidth="1"/>
    <col min="20" max="20" width="2.85546875" customWidth="1"/>
    <col min="21" max="21" width="3.7109375" customWidth="1"/>
    <col min="22" max="22" width="10.28515625" customWidth="1"/>
    <col min="23" max="23" width="3.140625" customWidth="1"/>
    <col min="24" max="28" width="2.7109375" customWidth="1"/>
    <col min="29" max="29" width="4.7109375" customWidth="1"/>
    <col min="30" max="30" width="10.28515625" customWidth="1"/>
    <col min="31" max="31" width="11.7109375" customWidth="1"/>
    <col min="32" max="32" width="12.7109375" customWidth="1"/>
    <col min="33" max="33" width="12.85546875" customWidth="1"/>
    <col min="34" max="34" width="4.42578125" customWidth="1"/>
    <col min="35" max="35" width="2.85546875" customWidth="1"/>
    <col min="37" max="37" width="2" customWidth="1"/>
    <col min="38" max="38" width="7.85546875" customWidth="1"/>
    <col min="39" max="39" width="9" customWidth="1"/>
    <col min="41" max="41" width="30" customWidth="1"/>
    <col min="42" max="42" width="10.42578125" customWidth="1"/>
    <col min="43" max="43" width="13.7109375" customWidth="1"/>
    <col min="44" max="44" width="14" customWidth="1"/>
    <col min="45" max="45" width="13.85546875" customWidth="1"/>
    <col min="46" max="46" width="12.5703125" customWidth="1"/>
    <col min="47" max="47" width="12.140625" customWidth="1"/>
    <col min="261" max="261" width="25.85546875" customWidth="1"/>
    <col min="262" max="263" width="11" customWidth="1"/>
    <col min="264" max="264" width="22.85546875" customWidth="1"/>
    <col min="265" max="266" width="11" customWidth="1"/>
    <col min="267" max="268" width="9.140625" customWidth="1"/>
    <col min="269" max="269" width="19" customWidth="1"/>
    <col min="517" max="517" width="25.85546875" customWidth="1"/>
    <col min="518" max="519" width="11" customWidth="1"/>
    <col min="520" max="520" width="22.85546875" customWidth="1"/>
    <col min="521" max="522" width="11" customWidth="1"/>
    <col min="523" max="524" width="9.140625" customWidth="1"/>
    <col min="525" max="525" width="19" customWidth="1"/>
    <col min="773" max="773" width="25.85546875" customWidth="1"/>
    <col min="774" max="775" width="11" customWidth="1"/>
    <col min="776" max="776" width="22.85546875" customWidth="1"/>
    <col min="777" max="778" width="11" customWidth="1"/>
    <col min="779" max="780" width="9.140625" customWidth="1"/>
    <col min="781" max="781" width="19" customWidth="1"/>
    <col min="1029" max="1029" width="25.85546875" customWidth="1"/>
    <col min="1030" max="1031" width="11" customWidth="1"/>
    <col min="1032" max="1032" width="22.85546875" customWidth="1"/>
    <col min="1033" max="1034" width="11" customWidth="1"/>
    <col min="1035" max="1036" width="9.140625" customWidth="1"/>
    <col min="1037" max="1037" width="19" customWidth="1"/>
    <col min="1285" max="1285" width="25.85546875" customWidth="1"/>
    <col min="1286" max="1287" width="11" customWidth="1"/>
    <col min="1288" max="1288" width="22.85546875" customWidth="1"/>
    <col min="1289" max="1290" width="11" customWidth="1"/>
    <col min="1291" max="1292" width="9.140625" customWidth="1"/>
    <col min="1293" max="1293" width="19" customWidth="1"/>
    <col min="1541" max="1541" width="25.85546875" customWidth="1"/>
    <col min="1542" max="1543" width="11" customWidth="1"/>
    <col min="1544" max="1544" width="22.85546875" customWidth="1"/>
    <col min="1545" max="1546" width="11" customWidth="1"/>
    <col min="1547" max="1548" width="9.140625" customWidth="1"/>
    <col min="1549" max="1549" width="19" customWidth="1"/>
    <col min="1797" max="1797" width="25.85546875" customWidth="1"/>
    <col min="1798" max="1799" width="11" customWidth="1"/>
    <col min="1800" max="1800" width="22.85546875" customWidth="1"/>
    <col min="1801" max="1802" width="11" customWidth="1"/>
    <col min="1803" max="1804" width="9.140625" customWidth="1"/>
    <col min="1805" max="1805" width="19" customWidth="1"/>
    <col min="2053" max="2053" width="25.85546875" customWidth="1"/>
    <col min="2054" max="2055" width="11" customWidth="1"/>
    <col min="2056" max="2056" width="22.85546875" customWidth="1"/>
    <col min="2057" max="2058" width="11" customWidth="1"/>
    <col min="2059" max="2060" width="9.140625" customWidth="1"/>
    <col min="2061" max="2061" width="19" customWidth="1"/>
    <col min="2309" max="2309" width="25.85546875" customWidth="1"/>
    <col min="2310" max="2311" width="11" customWidth="1"/>
    <col min="2312" max="2312" width="22.85546875" customWidth="1"/>
    <col min="2313" max="2314" width="11" customWidth="1"/>
    <col min="2315" max="2316" width="9.140625" customWidth="1"/>
    <col min="2317" max="2317" width="19" customWidth="1"/>
    <col min="2565" max="2565" width="25.85546875" customWidth="1"/>
    <col min="2566" max="2567" width="11" customWidth="1"/>
    <col min="2568" max="2568" width="22.85546875" customWidth="1"/>
    <col min="2569" max="2570" width="11" customWidth="1"/>
    <col min="2571" max="2572" width="9.140625" customWidth="1"/>
    <col min="2573" max="2573" width="19" customWidth="1"/>
    <col min="2821" max="2821" width="25.85546875" customWidth="1"/>
    <col min="2822" max="2823" width="11" customWidth="1"/>
    <col min="2824" max="2824" width="22.85546875" customWidth="1"/>
    <col min="2825" max="2826" width="11" customWidth="1"/>
    <col min="2827" max="2828" width="9.140625" customWidth="1"/>
    <col min="2829" max="2829" width="19" customWidth="1"/>
    <col min="3077" max="3077" width="25.85546875" customWidth="1"/>
    <col min="3078" max="3079" width="11" customWidth="1"/>
    <col min="3080" max="3080" width="22.85546875" customWidth="1"/>
    <col min="3081" max="3082" width="11" customWidth="1"/>
    <col min="3083" max="3084" width="9.140625" customWidth="1"/>
    <col min="3085" max="3085" width="19" customWidth="1"/>
    <col min="3333" max="3333" width="25.85546875" customWidth="1"/>
    <col min="3334" max="3335" width="11" customWidth="1"/>
    <col min="3336" max="3336" width="22.85546875" customWidth="1"/>
    <col min="3337" max="3338" width="11" customWidth="1"/>
    <col min="3339" max="3340" width="9.140625" customWidth="1"/>
    <col min="3341" max="3341" width="19" customWidth="1"/>
    <col min="3589" max="3589" width="25.85546875" customWidth="1"/>
    <col min="3590" max="3591" width="11" customWidth="1"/>
    <col min="3592" max="3592" width="22.85546875" customWidth="1"/>
    <col min="3593" max="3594" width="11" customWidth="1"/>
    <col min="3595" max="3596" width="9.140625" customWidth="1"/>
    <col min="3597" max="3597" width="19" customWidth="1"/>
    <col min="3845" max="3845" width="25.85546875" customWidth="1"/>
    <col min="3846" max="3847" width="11" customWidth="1"/>
    <col min="3848" max="3848" width="22.85546875" customWidth="1"/>
    <col min="3849" max="3850" width="11" customWidth="1"/>
    <col min="3851" max="3852" width="9.140625" customWidth="1"/>
    <col min="3853" max="3853" width="19" customWidth="1"/>
    <col min="4101" max="4101" width="25.85546875" customWidth="1"/>
    <col min="4102" max="4103" width="11" customWidth="1"/>
    <col min="4104" max="4104" width="22.85546875" customWidth="1"/>
    <col min="4105" max="4106" width="11" customWidth="1"/>
    <col min="4107" max="4108" width="9.140625" customWidth="1"/>
    <col min="4109" max="4109" width="19" customWidth="1"/>
    <col min="4357" max="4357" width="25.85546875" customWidth="1"/>
    <col min="4358" max="4359" width="11" customWidth="1"/>
    <col min="4360" max="4360" width="22.85546875" customWidth="1"/>
    <col min="4361" max="4362" width="11" customWidth="1"/>
    <col min="4363" max="4364" width="9.140625" customWidth="1"/>
    <col min="4365" max="4365" width="19" customWidth="1"/>
    <col min="4613" max="4613" width="25.85546875" customWidth="1"/>
    <col min="4614" max="4615" width="11" customWidth="1"/>
    <col min="4616" max="4616" width="22.85546875" customWidth="1"/>
    <col min="4617" max="4618" width="11" customWidth="1"/>
    <col min="4619" max="4620" width="9.140625" customWidth="1"/>
    <col min="4621" max="4621" width="19" customWidth="1"/>
    <col min="4869" max="4869" width="25.85546875" customWidth="1"/>
    <col min="4870" max="4871" width="11" customWidth="1"/>
    <col min="4872" max="4872" width="22.85546875" customWidth="1"/>
    <col min="4873" max="4874" width="11" customWidth="1"/>
    <col min="4875" max="4876" width="9.140625" customWidth="1"/>
    <col min="4877" max="4877" width="19" customWidth="1"/>
    <col min="5125" max="5125" width="25.85546875" customWidth="1"/>
    <col min="5126" max="5127" width="11" customWidth="1"/>
    <col min="5128" max="5128" width="22.85546875" customWidth="1"/>
    <col min="5129" max="5130" width="11" customWidth="1"/>
    <col min="5131" max="5132" width="9.140625" customWidth="1"/>
    <col min="5133" max="5133" width="19" customWidth="1"/>
    <col min="5381" max="5381" width="25.85546875" customWidth="1"/>
    <col min="5382" max="5383" width="11" customWidth="1"/>
    <col min="5384" max="5384" width="22.85546875" customWidth="1"/>
    <col min="5385" max="5386" width="11" customWidth="1"/>
    <col min="5387" max="5388" width="9.140625" customWidth="1"/>
    <col min="5389" max="5389" width="19" customWidth="1"/>
    <col min="5637" max="5637" width="25.85546875" customWidth="1"/>
    <col min="5638" max="5639" width="11" customWidth="1"/>
    <col min="5640" max="5640" width="22.85546875" customWidth="1"/>
    <col min="5641" max="5642" width="11" customWidth="1"/>
    <col min="5643" max="5644" width="9.140625" customWidth="1"/>
    <col min="5645" max="5645" width="19" customWidth="1"/>
    <col min="5893" max="5893" width="25.85546875" customWidth="1"/>
    <col min="5894" max="5895" width="11" customWidth="1"/>
    <col min="5896" max="5896" width="22.85546875" customWidth="1"/>
    <col min="5897" max="5898" width="11" customWidth="1"/>
    <col min="5899" max="5900" width="9.140625" customWidth="1"/>
    <col min="5901" max="5901" width="19" customWidth="1"/>
    <col min="6149" max="6149" width="25.85546875" customWidth="1"/>
    <col min="6150" max="6151" width="11" customWidth="1"/>
    <col min="6152" max="6152" width="22.85546875" customWidth="1"/>
    <col min="6153" max="6154" width="11" customWidth="1"/>
    <col min="6155" max="6156" width="9.140625" customWidth="1"/>
    <col min="6157" max="6157" width="19" customWidth="1"/>
    <col min="6405" max="6405" width="25.85546875" customWidth="1"/>
    <col min="6406" max="6407" width="11" customWidth="1"/>
    <col min="6408" max="6408" width="22.85546875" customWidth="1"/>
    <col min="6409" max="6410" width="11" customWidth="1"/>
    <col min="6411" max="6412" width="9.140625" customWidth="1"/>
    <col min="6413" max="6413" width="19" customWidth="1"/>
    <col min="6661" max="6661" width="25.85546875" customWidth="1"/>
    <col min="6662" max="6663" width="11" customWidth="1"/>
    <col min="6664" max="6664" width="22.85546875" customWidth="1"/>
    <col min="6665" max="6666" width="11" customWidth="1"/>
    <col min="6667" max="6668" width="9.140625" customWidth="1"/>
    <col min="6669" max="6669" width="19" customWidth="1"/>
    <col min="6917" max="6917" width="25.85546875" customWidth="1"/>
    <col min="6918" max="6919" width="11" customWidth="1"/>
    <col min="6920" max="6920" width="22.85546875" customWidth="1"/>
    <col min="6921" max="6922" width="11" customWidth="1"/>
    <col min="6923" max="6924" width="9.140625" customWidth="1"/>
    <col min="6925" max="6925" width="19" customWidth="1"/>
    <col min="7173" max="7173" width="25.85546875" customWidth="1"/>
    <col min="7174" max="7175" width="11" customWidth="1"/>
    <col min="7176" max="7176" width="22.85546875" customWidth="1"/>
    <col min="7177" max="7178" width="11" customWidth="1"/>
    <col min="7179" max="7180" width="9.140625" customWidth="1"/>
    <col min="7181" max="7181" width="19" customWidth="1"/>
    <col min="7429" max="7429" width="25.85546875" customWidth="1"/>
    <col min="7430" max="7431" width="11" customWidth="1"/>
    <col min="7432" max="7432" width="22.85546875" customWidth="1"/>
    <col min="7433" max="7434" width="11" customWidth="1"/>
    <col min="7435" max="7436" width="9.140625" customWidth="1"/>
    <col min="7437" max="7437" width="19" customWidth="1"/>
    <col min="7685" max="7685" width="25.85546875" customWidth="1"/>
    <col min="7686" max="7687" width="11" customWidth="1"/>
    <col min="7688" max="7688" width="22.85546875" customWidth="1"/>
    <col min="7689" max="7690" width="11" customWidth="1"/>
    <col min="7691" max="7692" width="9.140625" customWidth="1"/>
    <col min="7693" max="7693" width="19" customWidth="1"/>
    <col min="7941" max="7941" width="25.85546875" customWidth="1"/>
    <col min="7942" max="7943" width="11" customWidth="1"/>
    <col min="7944" max="7944" width="22.85546875" customWidth="1"/>
    <col min="7945" max="7946" width="11" customWidth="1"/>
    <col min="7947" max="7948" width="9.140625" customWidth="1"/>
    <col min="7949" max="7949" width="19" customWidth="1"/>
    <col min="8197" max="8197" width="25.85546875" customWidth="1"/>
    <col min="8198" max="8199" width="11" customWidth="1"/>
    <col min="8200" max="8200" width="22.85546875" customWidth="1"/>
    <col min="8201" max="8202" width="11" customWidth="1"/>
    <col min="8203" max="8204" width="9.140625" customWidth="1"/>
    <col min="8205" max="8205" width="19" customWidth="1"/>
    <col min="8453" max="8453" width="25.85546875" customWidth="1"/>
    <col min="8454" max="8455" width="11" customWidth="1"/>
    <col min="8456" max="8456" width="22.85546875" customWidth="1"/>
    <col min="8457" max="8458" width="11" customWidth="1"/>
    <col min="8459" max="8460" width="9.140625" customWidth="1"/>
    <col min="8461" max="8461" width="19" customWidth="1"/>
    <col min="8709" max="8709" width="25.85546875" customWidth="1"/>
    <col min="8710" max="8711" width="11" customWidth="1"/>
    <col min="8712" max="8712" width="22.85546875" customWidth="1"/>
    <col min="8713" max="8714" width="11" customWidth="1"/>
    <col min="8715" max="8716" width="9.140625" customWidth="1"/>
    <col min="8717" max="8717" width="19" customWidth="1"/>
    <col min="8965" max="8965" width="25.85546875" customWidth="1"/>
    <col min="8966" max="8967" width="11" customWidth="1"/>
    <col min="8968" max="8968" width="22.85546875" customWidth="1"/>
    <col min="8969" max="8970" width="11" customWidth="1"/>
    <col min="8971" max="8972" width="9.140625" customWidth="1"/>
    <col min="8973" max="8973" width="19" customWidth="1"/>
    <col min="9221" max="9221" width="25.85546875" customWidth="1"/>
    <col min="9222" max="9223" width="11" customWidth="1"/>
    <col min="9224" max="9224" width="22.85546875" customWidth="1"/>
    <col min="9225" max="9226" width="11" customWidth="1"/>
    <col min="9227" max="9228" width="9.140625" customWidth="1"/>
    <col min="9229" max="9229" width="19" customWidth="1"/>
    <col min="9477" max="9477" width="25.85546875" customWidth="1"/>
    <col min="9478" max="9479" width="11" customWidth="1"/>
    <col min="9480" max="9480" width="22.85546875" customWidth="1"/>
    <col min="9481" max="9482" width="11" customWidth="1"/>
    <col min="9483" max="9484" width="9.140625" customWidth="1"/>
    <col min="9485" max="9485" width="19" customWidth="1"/>
    <col min="9733" max="9733" width="25.85546875" customWidth="1"/>
    <col min="9734" max="9735" width="11" customWidth="1"/>
    <col min="9736" max="9736" width="22.85546875" customWidth="1"/>
    <col min="9737" max="9738" width="11" customWidth="1"/>
    <col min="9739" max="9740" width="9.140625" customWidth="1"/>
    <col min="9741" max="9741" width="19" customWidth="1"/>
    <col min="9989" max="9989" width="25.85546875" customWidth="1"/>
    <col min="9990" max="9991" width="11" customWidth="1"/>
    <col min="9992" max="9992" width="22.85546875" customWidth="1"/>
    <col min="9993" max="9994" width="11" customWidth="1"/>
    <col min="9995" max="9996" width="9.140625" customWidth="1"/>
    <col min="9997" max="9997" width="19" customWidth="1"/>
    <col min="10245" max="10245" width="25.85546875" customWidth="1"/>
    <col min="10246" max="10247" width="11" customWidth="1"/>
    <col min="10248" max="10248" width="22.85546875" customWidth="1"/>
    <col min="10249" max="10250" width="11" customWidth="1"/>
    <col min="10251" max="10252" width="9.140625" customWidth="1"/>
    <col min="10253" max="10253" width="19" customWidth="1"/>
    <col min="10501" max="10501" width="25.85546875" customWidth="1"/>
    <col min="10502" max="10503" width="11" customWidth="1"/>
    <col min="10504" max="10504" width="22.85546875" customWidth="1"/>
    <col min="10505" max="10506" width="11" customWidth="1"/>
    <col min="10507" max="10508" width="9.140625" customWidth="1"/>
    <col min="10509" max="10509" width="19" customWidth="1"/>
    <col min="10757" max="10757" width="25.85546875" customWidth="1"/>
    <col min="10758" max="10759" width="11" customWidth="1"/>
    <col min="10760" max="10760" width="22.85546875" customWidth="1"/>
    <col min="10761" max="10762" width="11" customWidth="1"/>
    <col min="10763" max="10764" width="9.140625" customWidth="1"/>
    <col min="10765" max="10765" width="19" customWidth="1"/>
    <col min="11013" max="11013" width="25.85546875" customWidth="1"/>
    <col min="11014" max="11015" width="11" customWidth="1"/>
    <col min="11016" max="11016" width="22.85546875" customWidth="1"/>
    <col min="11017" max="11018" width="11" customWidth="1"/>
    <col min="11019" max="11020" width="9.140625" customWidth="1"/>
    <col min="11021" max="11021" width="19" customWidth="1"/>
    <col min="11269" max="11269" width="25.85546875" customWidth="1"/>
    <col min="11270" max="11271" width="11" customWidth="1"/>
    <col min="11272" max="11272" width="22.85546875" customWidth="1"/>
    <col min="11273" max="11274" width="11" customWidth="1"/>
    <col min="11275" max="11276" width="9.140625" customWidth="1"/>
    <col min="11277" max="11277" width="19" customWidth="1"/>
    <col min="11525" max="11525" width="25.85546875" customWidth="1"/>
    <col min="11526" max="11527" width="11" customWidth="1"/>
    <col min="11528" max="11528" width="22.85546875" customWidth="1"/>
    <col min="11529" max="11530" width="11" customWidth="1"/>
    <col min="11531" max="11532" width="9.140625" customWidth="1"/>
    <col min="11533" max="11533" width="19" customWidth="1"/>
    <col min="11781" max="11781" width="25.85546875" customWidth="1"/>
    <col min="11782" max="11783" width="11" customWidth="1"/>
    <col min="11784" max="11784" width="22.85546875" customWidth="1"/>
    <col min="11785" max="11786" width="11" customWidth="1"/>
    <col min="11787" max="11788" width="9.140625" customWidth="1"/>
    <col min="11789" max="11789" width="19" customWidth="1"/>
    <col min="12037" max="12037" width="25.85546875" customWidth="1"/>
    <col min="12038" max="12039" width="11" customWidth="1"/>
    <col min="12040" max="12040" width="22.85546875" customWidth="1"/>
    <col min="12041" max="12042" width="11" customWidth="1"/>
    <col min="12043" max="12044" width="9.140625" customWidth="1"/>
    <col min="12045" max="12045" width="19" customWidth="1"/>
    <col min="12293" max="12293" width="25.85546875" customWidth="1"/>
    <col min="12294" max="12295" width="11" customWidth="1"/>
    <col min="12296" max="12296" width="22.85546875" customWidth="1"/>
    <col min="12297" max="12298" width="11" customWidth="1"/>
    <col min="12299" max="12300" width="9.140625" customWidth="1"/>
    <col min="12301" max="12301" width="19" customWidth="1"/>
    <col min="12549" max="12549" width="25.85546875" customWidth="1"/>
    <col min="12550" max="12551" width="11" customWidth="1"/>
    <col min="12552" max="12552" width="22.85546875" customWidth="1"/>
    <col min="12553" max="12554" width="11" customWidth="1"/>
    <col min="12555" max="12556" width="9.140625" customWidth="1"/>
    <col min="12557" max="12557" width="19" customWidth="1"/>
    <col min="12805" max="12805" width="25.85546875" customWidth="1"/>
    <col min="12806" max="12807" width="11" customWidth="1"/>
    <col min="12808" max="12808" width="22.85546875" customWidth="1"/>
    <col min="12809" max="12810" width="11" customWidth="1"/>
    <col min="12811" max="12812" width="9.140625" customWidth="1"/>
    <col min="12813" max="12813" width="19" customWidth="1"/>
    <col min="13061" max="13061" width="25.85546875" customWidth="1"/>
    <col min="13062" max="13063" width="11" customWidth="1"/>
    <col min="13064" max="13064" width="22.85546875" customWidth="1"/>
    <col min="13065" max="13066" width="11" customWidth="1"/>
    <col min="13067" max="13068" width="9.140625" customWidth="1"/>
    <col min="13069" max="13069" width="19" customWidth="1"/>
    <col min="13317" max="13317" width="25.85546875" customWidth="1"/>
    <col min="13318" max="13319" width="11" customWidth="1"/>
    <col min="13320" max="13320" width="22.85546875" customWidth="1"/>
    <col min="13321" max="13322" width="11" customWidth="1"/>
    <col min="13323" max="13324" width="9.140625" customWidth="1"/>
    <col min="13325" max="13325" width="19" customWidth="1"/>
    <col min="13573" max="13573" width="25.85546875" customWidth="1"/>
    <col min="13574" max="13575" width="11" customWidth="1"/>
    <col min="13576" max="13576" width="22.85546875" customWidth="1"/>
    <col min="13577" max="13578" width="11" customWidth="1"/>
    <col min="13579" max="13580" width="9.140625" customWidth="1"/>
    <col min="13581" max="13581" width="19" customWidth="1"/>
    <col min="13829" max="13829" width="25.85546875" customWidth="1"/>
    <col min="13830" max="13831" width="11" customWidth="1"/>
    <col min="13832" max="13832" width="22.85546875" customWidth="1"/>
    <col min="13833" max="13834" width="11" customWidth="1"/>
    <col min="13835" max="13836" width="9.140625" customWidth="1"/>
    <col min="13837" max="13837" width="19" customWidth="1"/>
    <col min="14085" max="14085" width="25.85546875" customWidth="1"/>
    <col min="14086" max="14087" width="11" customWidth="1"/>
    <col min="14088" max="14088" width="22.85546875" customWidth="1"/>
    <col min="14089" max="14090" width="11" customWidth="1"/>
    <col min="14091" max="14092" width="9.140625" customWidth="1"/>
    <col min="14093" max="14093" width="19" customWidth="1"/>
    <col min="14341" max="14341" width="25.85546875" customWidth="1"/>
    <col min="14342" max="14343" width="11" customWidth="1"/>
    <col min="14344" max="14344" width="22.85546875" customWidth="1"/>
    <col min="14345" max="14346" width="11" customWidth="1"/>
    <col min="14347" max="14348" width="9.140625" customWidth="1"/>
    <col min="14349" max="14349" width="19" customWidth="1"/>
    <col min="14597" max="14597" width="25.85546875" customWidth="1"/>
    <col min="14598" max="14599" width="11" customWidth="1"/>
    <col min="14600" max="14600" width="22.85546875" customWidth="1"/>
    <col min="14601" max="14602" width="11" customWidth="1"/>
    <col min="14603" max="14604" width="9.140625" customWidth="1"/>
    <col min="14605" max="14605" width="19" customWidth="1"/>
    <col min="14853" max="14853" width="25.85546875" customWidth="1"/>
    <col min="14854" max="14855" width="11" customWidth="1"/>
    <col min="14856" max="14856" width="22.85546875" customWidth="1"/>
    <col min="14857" max="14858" width="11" customWidth="1"/>
    <col min="14859" max="14860" width="9.140625" customWidth="1"/>
    <col min="14861" max="14861" width="19" customWidth="1"/>
    <col min="15109" max="15109" width="25.85546875" customWidth="1"/>
    <col min="15110" max="15111" width="11" customWidth="1"/>
    <col min="15112" max="15112" width="22.85546875" customWidth="1"/>
    <col min="15113" max="15114" width="11" customWidth="1"/>
    <col min="15115" max="15116" width="9.140625" customWidth="1"/>
    <col min="15117" max="15117" width="19" customWidth="1"/>
    <col min="15365" max="15365" width="25.85546875" customWidth="1"/>
    <col min="15366" max="15367" width="11" customWidth="1"/>
    <col min="15368" max="15368" width="22.85546875" customWidth="1"/>
    <col min="15369" max="15370" width="11" customWidth="1"/>
    <col min="15371" max="15372" width="9.140625" customWidth="1"/>
    <col min="15373" max="15373" width="19" customWidth="1"/>
    <col min="15621" max="15621" width="25.85546875" customWidth="1"/>
    <col min="15622" max="15623" width="11" customWidth="1"/>
    <col min="15624" max="15624" width="22.85546875" customWidth="1"/>
    <col min="15625" max="15626" width="11" customWidth="1"/>
    <col min="15627" max="15628" width="9.140625" customWidth="1"/>
    <col min="15629" max="15629" width="19" customWidth="1"/>
    <col min="15877" max="15877" width="25.85546875" customWidth="1"/>
    <col min="15878" max="15879" width="11" customWidth="1"/>
    <col min="15880" max="15880" width="22.85546875" customWidth="1"/>
    <col min="15881" max="15882" width="11" customWidth="1"/>
    <col min="15883" max="15884" width="9.140625" customWidth="1"/>
    <col min="15885" max="15885" width="19" customWidth="1"/>
    <col min="16133" max="16133" width="25.85546875" customWidth="1"/>
    <col min="16134" max="16135" width="11" customWidth="1"/>
    <col min="16136" max="16136" width="22.85546875" customWidth="1"/>
    <col min="16137" max="16138" width="11" customWidth="1"/>
    <col min="16139" max="16140" width="9.140625" customWidth="1"/>
    <col min="16141" max="16141" width="19" customWidth="1"/>
  </cols>
  <sheetData>
    <row r="1" spans="1:47" s="11" customFormat="1" ht="20.25" x14ac:dyDescent="0.3">
      <c r="A1" s="298" t="s">
        <v>19</v>
      </c>
      <c r="J1" s="186"/>
      <c r="K1" s="220"/>
      <c r="L1" s="297" t="s">
        <v>19</v>
      </c>
      <c r="M1" s="178"/>
      <c r="N1" s="178"/>
    </row>
    <row r="2" spans="1:47" s="183" customFormat="1" ht="18" customHeight="1" x14ac:dyDescent="0.25">
      <c r="B2" s="180" t="s">
        <v>220</v>
      </c>
      <c r="C2" s="181"/>
      <c r="D2" s="182"/>
      <c r="E2" s="182"/>
      <c r="F2" s="182"/>
      <c r="G2" s="182"/>
      <c r="H2" s="182"/>
      <c r="I2" s="182"/>
      <c r="J2" s="202"/>
      <c r="K2" s="182"/>
      <c r="L2" s="182"/>
      <c r="M2" s="179" t="s">
        <v>62</v>
      </c>
      <c r="N2" s="202"/>
    </row>
    <row r="3" spans="1:47" s="183" customFormat="1" ht="12.75" x14ac:dyDescent="0.2">
      <c r="B3" s="202"/>
      <c r="C3" s="290"/>
      <c r="D3" s="202"/>
      <c r="E3" s="202"/>
      <c r="F3" s="202"/>
      <c r="G3" s="202"/>
      <c r="H3" s="202"/>
      <c r="I3" s="202"/>
      <c r="J3" s="202"/>
      <c r="K3" s="182"/>
      <c r="L3" s="202"/>
      <c r="M3" s="202"/>
      <c r="N3" s="202"/>
      <c r="O3" s="202"/>
    </row>
    <row r="4" spans="1:47" s="183" customFormat="1" ht="12.75" x14ac:dyDescent="0.2">
      <c r="B4" s="181"/>
      <c r="C4" s="181"/>
      <c r="D4" s="181"/>
      <c r="F4" s="202"/>
      <c r="G4" s="202"/>
      <c r="H4" s="202"/>
      <c r="I4" s="202"/>
      <c r="J4" s="202"/>
      <c r="K4" s="182"/>
      <c r="L4" s="202"/>
      <c r="M4" s="202"/>
      <c r="N4" s="202"/>
      <c r="O4" s="202"/>
    </row>
    <row r="5" spans="1:47" x14ac:dyDescent="0.25">
      <c r="B5" s="201"/>
      <c r="C5" s="201"/>
      <c r="D5" s="201"/>
      <c r="E5" s="201"/>
      <c r="F5" s="201"/>
      <c r="G5" s="201"/>
      <c r="H5" s="201"/>
      <c r="I5" s="201"/>
      <c r="J5" s="295"/>
      <c r="K5" s="293"/>
      <c r="L5" s="201"/>
      <c r="M5" s="200"/>
      <c r="N5" s="201"/>
      <c r="O5" s="201"/>
    </row>
    <row r="6" spans="1:47" x14ac:dyDescent="0.25">
      <c r="B6" s="296" t="s">
        <v>797</v>
      </c>
      <c r="C6" s="200"/>
      <c r="D6" s="200"/>
      <c r="E6" s="200"/>
      <c r="F6" s="200"/>
      <c r="G6" s="200"/>
      <c r="H6" s="200"/>
      <c r="I6" s="200"/>
      <c r="J6" s="200"/>
      <c r="K6" s="296"/>
      <c r="L6" s="200"/>
      <c r="M6" s="200"/>
      <c r="N6" s="201"/>
      <c r="O6" s="201"/>
    </row>
    <row r="7" spans="1:47" x14ac:dyDescent="0.25">
      <c r="B7" s="200"/>
      <c r="C7" s="200"/>
      <c r="D7" s="200"/>
      <c r="E7" s="200"/>
      <c r="F7" s="200"/>
      <c r="G7" s="200"/>
      <c r="H7" s="200"/>
      <c r="I7" s="200"/>
      <c r="J7" s="200"/>
      <c r="K7" s="296"/>
      <c r="L7" s="200"/>
      <c r="M7" s="200"/>
      <c r="N7" s="201"/>
      <c r="O7" s="201"/>
    </row>
    <row r="8" spans="1:47" ht="15.75" thickBot="1" x14ac:dyDescent="0.3">
      <c r="H8" s="218"/>
      <c r="I8" s="218"/>
      <c r="J8" s="218"/>
      <c r="K8" s="221"/>
      <c r="L8"/>
      <c r="M8"/>
    </row>
    <row r="9" spans="1:47" ht="15.75" thickBot="1" x14ac:dyDescent="0.3">
      <c r="A9" s="219"/>
      <c r="B9" s="229" t="str">
        <f>IF(PS!C5=2,L$75,IF(PS!C5=1,L$12,L$107))</f>
        <v>Oil Field - Well</v>
      </c>
      <c r="D9" s="226" t="s">
        <v>71</v>
      </c>
      <c r="E9" s="227">
        <f ca="1">SUM(E10:E500)</f>
        <v>899.99889999999994</v>
      </c>
      <c r="F9" s="227" t="s">
        <v>677</v>
      </c>
      <c r="G9" s="259">
        <f ca="1">SUMPRODUCT(K10:K450,G10:G450)/100</f>
        <v>94.596747495598393</v>
      </c>
      <c r="H9" s="227" t="s">
        <v>71</v>
      </c>
      <c r="I9" s="227">
        <f ca="1">SUM(I12:I500)</f>
        <v>881.14683251279632</v>
      </c>
      <c r="J9" s="227">
        <f ca="1">SUM(J10:J500)</f>
        <v>47.597602619292097</v>
      </c>
      <c r="K9" s="228">
        <f ca="1">SUM(K10:K500)</f>
        <v>99.999999999999957</v>
      </c>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row>
    <row r="10" spans="1:47" ht="15.75" thickBot="1" x14ac:dyDescent="0.3">
      <c r="A10" s="229" t="s">
        <v>672</v>
      </c>
      <c r="B10" s="231">
        <f>COUNTIF(L:L,$B$9)</f>
        <v>438</v>
      </c>
      <c r="C10" s="185" t="s">
        <v>561</v>
      </c>
      <c r="D10" s="232">
        <v>2283</v>
      </c>
      <c r="E10" s="233"/>
      <c r="F10" s="233" t="s">
        <v>357</v>
      </c>
      <c r="G10" s="268">
        <f ca="1">(SUMPRODUCT(--(J12:J500="X"),I12:I500,G12:G500)+SUMPRODUCT(--(F12:F500=$F$10),J12:J500,G12:G500))/$J$10</f>
        <v>114.04867354246143</v>
      </c>
      <c r="H10" s="233"/>
      <c r="I10" s="233"/>
      <c r="J10" s="233">
        <f ca="1">IFERROR(VLOOKUP($F$10,F12:J500,5,FALSE),0)+SUMIF(J12:J500,"X",I12:I500)</f>
        <v>21.303314926273803</v>
      </c>
      <c r="K10" s="234">
        <f ca="1">IF(J10="","",J10/$J$9*100)</f>
        <v>44.757117489020793</v>
      </c>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91" t="s">
        <v>20</v>
      </c>
      <c r="AU10" s="182" t="s">
        <v>62</v>
      </c>
    </row>
    <row r="11" spans="1:47" s="195" customFormat="1" ht="13.5" customHeight="1" thickBot="1" x14ac:dyDescent="0.3">
      <c r="A11" s="235" t="s">
        <v>656</v>
      </c>
      <c r="B11" s="236" t="s">
        <v>226</v>
      </c>
      <c r="C11" s="236" t="s">
        <v>671</v>
      </c>
      <c r="D11" s="236" t="s">
        <v>245</v>
      </c>
      <c r="E11" s="236" t="s">
        <v>246</v>
      </c>
      <c r="F11" s="236" t="s">
        <v>255</v>
      </c>
      <c r="G11" s="236" t="s">
        <v>257</v>
      </c>
      <c r="H11" s="236" t="s">
        <v>674</v>
      </c>
      <c r="I11" s="236" t="s">
        <v>657</v>
      </c>
      <c r="J11" s="236" t="s">
        <v>658</v>
      </c>
      <c r="K11" s="237" t="s">
        <v>659</v>
      </c>
      <c r="L11" s="230" t="s">
        <v>226</v>
      </c>
      <c r="M11" s="224" t="s">
        <v>227</v>
      </c>
      <c r="N11" s="224" t="s">
        <v>228</v>
      </c>
      <c r="O11" s="224" t="s">
        <v>229</v>
      </c>
      <c r="P11" s="224" t="s">
        <v>230</v>
      </c>
      <c r="Q11" s="224" t="s">
        <v>231</v>
      </c>
      <c r="R11" s="224" t="s">
        <v>232</v>
      </c>
      <c r="S11" s="224" t="s">
        <v>233</v>
      </c>
      <c r="T11" s="224" t="s">
        <v>234</v>
      </c>
      <c r="U11" s="224" t="s">
        <v>235</v>
      </c>
      <c r="V11" s="224" t="s">
        <v>236</v>
      </c>
      <c r="W11" s="224" t="s">
        <v>237</v>
      </c>
      <c r="X11" s="224" t="s">
        <v>238</v>
      </c>
      <c r="Y11" s="224" t="s">
        <v>239</v>
      </c>
      <c r="Z11" s="224" t="s">
        <v>240</v>
      </c>
      <c r="AA11" s="224" t="s">
        <v>241</v>
      </c>
      <c r="AB11" s="224" t="s">
        <v>242</v>
      </c>
      <c r="AC11" s="224" t="s">
        <v>243</v>
      </c>
      <c r="AD11" s="224" t="s">
        <v>244</v>
      </c>
      <c r="AE11" s="224" t="s">
        <v>245</v>
      </c>
      <c r="AF11" s="224" t="s">
        <v>246</v>
      </c>
      <c r="AG11" s="224" t="s">
        <v>247</v>
      </c>
      <c r="AH11" s="224" t="s">
        <v>248</v>
      </c>
      <c r="AI11" s="224" t="s">
        <v>249</v>
      </c>
      <c r="AJ11" s="224" t="s">
        <v>250</v>
      </c>
      <c r="AK11" s="224" t="s">
        <v>251</v>
      </c>
      <c r="AL11" s="224" t="s">
        <v>252</v>
      </c>
      <c r="AM11" s="224" t="s">
        <v>253</v>
      </c>
      <c r="AN11" s="224" t="s">
        <v>254</v>
      </c>
      <c r="AO11" s="224" t="s">
        <v>255</v>
      </c>
      <c r="AP11" s="224" t="s">
        <v>256</v>
      </c>
      <c r="AQ11" s="224" t="s">
        <v>257</v>
      </c>
      <c r="AR11" s="224" t="s">
        <v>258</v>
      </c>
      <c r="AS11" s="224" t="s">
        <v>259</v>
      </c>
    </row>
    <row r="12" spans="1:47" s="219" customFormat="1" x14ac:dyDescent="0.25">
      <c r="A12" s="240">
        <f>MATCH($B$9,L:L,0)</f>
        <v>107</v>
      </c>
      <c r="B12" s="241" t="str">
        <f t="shared" ref="B12:B75" si="0">IF(ROW(A12)-(ROW($A$12))&lt;$B$10,$B$9,"")</f>
        <v>Oil Field - Well</v>
      </c>
      <c r="C12" s="241" t="str">
        <f ca="1">IF(B12="","",VLOOKUP(D12,'Species Data'!B:E,4,FALSE))</f>
        <v>trimethben123</v>
      </c>
      <c r="D12" s="241">
        <f ca="1">IF(B12="","",INDIRECT("AE"&amp;$A12))</f>
        <v>25</v>
      </c>
      <c r="E12" s="241">
        <f ca="1">IF(D12="","",INDIRECT("AF"&amp;$A12))</f>
        <v>0.1167</v>
      </c>
      <c r="F12" s="241" t="str">
        <f ca="1">IF(E12="","",INDIRECT("AO"&amp;$A12))</f>
        <v>1,2,3-trimethylbenzene</v>
      </c>
      <c r="G12" s="241">
        <f ca="1">IF(F12="","",INDIRECT("AQ"&amp;$A12))</f>
        <v>120.19158</v>
      </c>
      <c r="H12" s="242">
        <f ca="1">IF(G12="","",IF(VLOOKUP(Well_Head!F12,'Species Data'!D:F,3,FALSE)=0,"X",IF(G12&lt;44.1,2,1)))</f>
        <v>1</v>
      </c>
      <c r="I12" s="242">
        <f ca="1">IF(H12="","",SUMIF(D:D,D12,E:E)/($E$9/100))</f>
        <v>0.15947797269529998</v>
      </c>
      <c r="J12" s="243">
        <f ca="1">IF(I12="","",IF(COUNTIF($D$12:D12,D12)=1,IF(H12=1,I12*H12,IF(H12="X","X",0)),0))</f>
        <v>0.15947797269529998</v>
      </c>
      <c r="K12" s="244">
        <f ca="1">IF(J12="","",IF(J12="X",0,J12/$J$9*100))</f>
        <v>0.33505463283703474</v>
      </c>
      <c r="L12" s="238" t="s">
        <v>615</v>
      </c>
      <c r="M12" s="212" t="s">
        <v>616</v>
      </c>
      <c r="N12" s="212" t="s">
        <v>260</v>
      </c>
      <c r="O12" s="213">
        <v>32589</v>
      </c>
      <c r="P12" s="212" t="s">
        <v>617</v>
      </c>
      <c r="Q12" s="214">
        <v>100</v>
      </c>
      <c r="R12" s="212" t="s">
        <v>531</v>
      </c>
      <c r="S12" s="212" t="s">
        <v>531</v>
      </c>
      <c r="T12" s="212" t="s">
        <v>531</v>
      </c>
      <c r="U12" s="212" t="s">
        <v>531</v>
      </c>
      <c r="V12" s="214" t="b">
        <v>1</v>
      </c>
      <c r="W12" s="225"/>
      <c r="X12" s="225"/>
      <c r="Y12" s="225"/>
      <c r="Z12" s="225"/>
      <c r="AA12" s="212" t="s">
        <v>531</v>
      </c>
      <c r="AB12" s="212" t="s">
        <v>531</v>
      </c>
      <c r="AC12" s="212" t="s">
        <v>618</v>
      </c>
      <c r="AD12" s="214">
        <v>1.066894</v>
      </c>
      <c r="AE12" s="214">
        <v>118</v>
      </c>
      <c r="AF12" s="214">
        <v>0.75</v>
      </c>
      <c r="AG12" s="214">
        <v>-99</v>
      </c>
      <c r="AH12" s="212" t="s">
        <v>224</v>
      </c>
      <c r="AI12" s="212" t="s">
        <v>261</v>
      </c>
      <c r="AJ12" s="212" t="s">
        <v>297</v>
      </c>
      <c r="AK12" s="212" t="s">
        <v>531</v>
      </c>
      <c r="AL12" s="212" t="s">
        <v>619</v>
      </c>
      <c r="AM12" s="214" t="b">
        <v>1</v>
      </c>
      <c r="AN12" s="214" t="b">
        <v>1</v>
      </c>
      <c r="AO12" s="212" t="s">
        <v>298</v>
      </c>
      <c r="AP12" s="212" t="s">
        <v>299</v>
      </c>
      <c r="AQ12" s="214">
        <v>114.22852</v>
      </c>
      <c r="AR12" s="214" t="b">
        <v>0</v>
      </c>
      <c r="AS12" s="212" t="s">
        <v>300</v>
      </c>
      <c r="AU12" s="222" t="s">
        <v>819</v>
      </c>
    </row>
    <row r="13" spans="1:47" s="219" customFormat="1" x14ac:dyDescent="0.25">
      <c r="A13" s="245">
        <f>IF(B13="","",A12+1)</f>
        <v>108</v>
      </c>
      <c r="B13" s="246" t="str">
        <f t="shared" si="0"/>
        <v>Oil Field - Well</v>
      </c>
      <c r="C13" s="246" t="str">
        <f ca="1">IF(B13="","",VLOOKUP(D13,'Species Data'!B:E,4,FALSE))</f>
        <v>trimetben124</v>
      </c>
      <c r="D13" s="246">
        <f t="shared" ref="D13:D76" ca="1" si="1">IF(B13="","",INDIRECT("AE"&amp;$A13))</f>
        <v>30</v>
      </c>
      <c r="E13" s="246">
        <f t="shared" ref="E13:E76" ca="1" si="2">IF(D13="","",INDIRECT("AF"&amp;$A13))</f>
        <v>0.1777</v>
      </c>
      <c r="F13" s="246" t="str">
        <f t="shared" ref="F13:F76" ca="1" si="3">IF(E13="","",INDIRECT("AO"&amp;$A13))</f>
        <v>1,2,4-trimethylbenzene  (1,3,4-trimethylbenzene)</v>
      </c>
      <c r="G13" s="246">
        <f t="shared" ref="G13:G76" ca="1" si="4">IF(F13="","",INDIRECT("AQ"&amp;$A13))</f>
        <v>120.19158</v>
      </c>
      <c r="H13" s="204">
        <f ca="1">IF(G13="","",IF(VLOOKUP(Well_Head!F13,'Species Data'!D:F,3,FALSE)=0,"X",IF(G13&lt;44.1,2,1)))</f>
        <v>1</v>
      </c>
      <c r="I13" s="204">
        <f t="shared" ref="I13:I76" ca="1" si="5">IF(H13="","",SUMIF(D:D,D13,E:E)/($E$9/100))</f>
        <v>0.18081133210273925</v>
      </c>
      <c r="J13" s="247">
        <f ca="1">IF(I13="","",IF(COUNTIF($D$12:D13,D13)=1,IF(H13=1,I13*H13,IF(H13="X","X",0)),0))</f>
        <v>0.18081133210273925</v>
      </c>
      <c r="K13" s="248">
        <f t="shared" ref="K13:K76" ca="1" si="6">IF(J13="","",IF(J13="X",0,J13/$J$9*100))</f>
        <v>0.37987487216310639</v>
      </c>
      <c r="L13" s="238" t="s">
        <v>615</v>
      </c>
      <c r="M13" s="212" t="s">
        <v>616</v>
      </c>
      <c r="N13" s="212" t="s">
        <v>260</v>
      </c>
      <c r="O13" s="213">
        <v>32589</v>
      </c>
      <c r="P13" s="212" t="s">
        <v>617</v>
      </c>
      <c r="Q13" s="214">
        <v>100</v>
      </c>
      <c r="R13" s="212" t="s">
        <v>531</v>
      </c>
      <c r="S13" s="212" t="s">
        <v>531</v>
      </c>
      <c r="T13" s="212" t="s">
        <v>531</v>
      </c>
      <c r="U13" s="212" t="s">
        <v>531</v>
      </c>
      <c r="V13" s="214" t="b">
        <v>1</v>
      </c>
      <c r="W13" s="225"/>
      <c r="X13" s="225"/>
      <c r="Y13" s="225"/>
      <c r="Z13" s="225"/>
      <c r="AA13" s="212" t="s">
        <v>531</v>
      </c>
      <c r="AB13" s="212" t="s">
        <v>531</v>
      </c>
      <c r="AC13" s="212" t="s">
        <v>618</v>
      </c>
      <c r="AD13" s="214">
        <v>1.066894</v>
      </c>
      <c r="AE13" s="214">
        <v>122</v>
      </c>
      <c r="AF13" s="214">
        <v>4.9999999999999996E-2</v>
      </c>
      <c r="AG13" s="214">
        <v>-99</v>
      </c>
      <c r="AH13" s="212" t="s">
        <v>224</v>
      </c>
      <c r="AI13" s="212" t="s">
        <v>261</v>
      </c>
      <c r="AJ13" s="212" t="s">
        <v>301</v>
      </c>
      <c r="AK13" s="212" t="s">
        <v>531</v>
      </c>
      <c r="AL13" s="212" t="s">
        <v>384</v>
      </c>
      <c r="AM13" s="214" t="b">
        <v>1</v>
      </c>
      <c r="AN13" s="214" t="b">
        <v>0</v>
      </c>
      <c r="AO13" s="212" t="s">
        <v>302</v>
      </c>
      <c r="AP13" s="212" t="s">
        <v>303</v>
      </c>
      <c r="AQ13" s="214">
        <v>86.175359999999998</v>
      </c>
      <c r="AR13" s="214" t="b">
        <v>0</v>
      </c>
      <c r="AS13" s="212" t="s">
        <v>300</v>
      </c>
      <c r="AU13" s="222" t="s">
        <v>819</v>
      </c>
    </row>
    <row r="14" spans="1:47" s="219" customFormat="1" x14ac:dyDescent="0.25">
      <c r="A14" s="245">
        <f t="shared" ref="A14:A77" si="7">IF(B14="","",A13+1)</f>
        <v>109</v>
      </c>
      <c r="B14" s="246" t="str">
        <f t="shared" si="0"/>
        <v>Oil Field - Well</v>
      </c>
      <c r="C14" s="246" t="str">
        <f ca="1">IF(B14="","",VLOOKUP(D14,'Species Data'!B:E,4,FALSE))</f>
        <v>dietben12</v>
      </c>
      <c r="D14" s="246">
        <f t="shared" ca="1" si="1"/>
        <v>36</v>
      </c>
      <c r="E14" s="246">
        <f t="shared" ca="1" si="2"/>
        <v>7.2900000000000006E-2</v>
      </c>
      <c r="F14" s="246" t="str">
        <f t="shared" ca="1" si="3"/>
        <v>1,2-diethylbenzene (ortho)</v>
      </c>
      <c r="G14" s="246">
        <f t="shared" ca="1" si="4"/>
        <v>134.21816000000001</v>
      </c>
      <c r="H14" s="204" t="str">
        <f ca="1">IF(G14="","",IF(VLOOKUP(Well_Head!F14,'Species Data'!D:F,3,FALSE)=0,"X",IF(G14&lt;44.1,2,1)))</f>
        <v>X</v>
      </c>
      <c r="I14" s="204">
        <f t="shared" ca="1" si="5"/>
        <v>8.0366764892712661E-2</v>
      </c>
      <c r="J14" s="247" t="str">
        <f ca="1">IF(I14="","",IF(COUNTIF($D$12:D14,D14)=1,IF(H14=1,I14*H14,IF(H14="X","X",0)),0))</f>
        <v>X</v>
      </c>
      <c r="K14" s="248">
        <f t="shared" ca="1" si="6"/>
        <v>0</v>
      </c>
      <c r="L14" s="238" t="s">
        <v>615</v>
      </c>
      <c r="M14" s="212" t="s">
        <v>616</v>
      </c>
      <c r="N14" s="212" t="s">
        <v>260</v>
      </c>
      <c r="O14" s="213">
        <v>32589</v>
      </c>
      <c r="P14" s="212" t="s">
        <v>617</v>
      </c>
      <c r="Q14" s="214">
        <v>100</v>
      </c>
      <c r="R14" s="212" t="s">
        <v>531</v>
      </c>
      <c r="S14" s="212" t="s">
        <v>531</v>
      </c>
      <c r="T14" s="212" t="s">
        <v>531</v>
      </c>
      <c r="U14" s="212" t="s">
        <v>531</v>
      </c>
      <c r="V14" s="214" t="b">
        <v>1</v>
      </c>
      <c r="W14" s="225"/>
      <c r="X14" s="225"/>
      <c r="Y14" s="225"/>
      <c r="Z14" s="225"/>
      <c r="AA14" s="212" t="s">
        <v>531</v>
      </c>
      <c r="AB14" s="212" t="s">
        <v>531</v>
      </c>
      <c r="AC14" s="212" t="s">
        <v>618</v>
      </c>
      <c r="AD14" s="214">
        <v>1.066894</v>
      </c>
      <c r="AE14" s="214">
        <v>136</v>
      </c>
      <c r="AF14" s="214">
        <v>0.15999999999999998</v>
      </c>
      <c r="AG14" s="214">
        <v>-99</v>
      </c>
      <c r="AH14" s="212" t="s">
        <v>224</v>
      </c>
      <c r="AI14" s="212" t="s">
        <v>261</v>
      </c>
      <c r="AJ14" s="212" t="s">
        <v>304</v>
      </c>
      <c r="AK14" s="212" t="s">
        <v>531</v>
      </c>
      <c r="AL14" s="212" t="s">
        <v>620</v>
      </c>
      <c r="AM14" s="214" t="b">
        <v>1</v>
      </c>
      <c r="AN14" s="214" t="b">
        <v>0</v>
      </c>
      <c r="AO14" s="212" t="s">
        <v>305</v>
      </c>
      <c r="AP14" s="212" t="s">
        <v>306</v>
      </c>
      <c r="AQ14" s="214">
        <v>86.175359999999998</v>
      </c>
      <c r="AR14" s="214" t="b">
        <v>0</v>
      </c>
      <c r="AS14" s="212" t="s">
        <v>300</v>
      </c>
      <c r="AU14" s="222" t="s">
        <v>819</v>
      </c>
    </row>
    <row r="15" spans="1:47" s="219" customFormat="1" x14ac:dyDescent="0.25">
      <c r="A15" s="245">
        <f t="shared" si="7"/>
        <v>110</v>
      </c>
      <c r="B15" s="246" t="str">
        <f t="shared" si="0"/>
        <v>Oil Field - Well</v>
      </c>
      <c r="C15" s="246" t="str">
        <f ca="1">IF(B15="","",VLOOKUP(D15,'Species Data'!B:E,4,FALSE))</f>
        <v>trimethben135</v>
      </c>
      <c r="D15" s="246">
        <f t="shared" ca="1" si="1"/>
        <v>44</v>
      </c>
      <c r="E15" s="246">
        <f t="shared" ca="1" si="2"/>
        <v>0.10589999999999999</v>
      </c>
      <c r="F15" s="246" t="str">
        <f t="shared" ca="1" si="3"/>
        <v>1,3,5-trimethylbenzene</v>
      </c>
      <c r="G15" s="246">
        <f t="shared" ca="1" si="4"/>
        <v>120.19158</v>
      </c>
      <c r="H15" s="204">
        <f ca="1">IF(G15="","",IF(VLOOKUP(Well_Head!F15,'Species Data'!D:F,3,FALSE)=0,"X",IF(G15&lt;44.1,2,1)))</f>
        <v>1</v>
      </c>
      <c r="I15" s="204">
        <f t="shared" ca="1" si="5"/>
        <v>0.11778903285326239</v>
      </c>
      <c r="J15" s="247">
        <f ca="1">IF(I15="","",IF(COUNTIF($D$12:D15,D15)=1,IF(H15=1,I15*H15,IF(H15="X","X",0)),0))</f>
        <v>0.11778903285326239</v>
      </c>
      <c r="K15" s="248">
        <f t="shared" ca="1" si="6"/>
        <v>0.24746841515400306</v>
      </c>
      <c r="L15" s="238" t="s">
        <v>615</v>
      </c>
      <c r="M15" s="212" t="s">
        <v>616</v>
      </c>
      <c r="N15" s="212" t="s">
        <v>260</v>
      </c>
      <c r="O15" s="213">
        <v>32589</v>
      </c>
      <c r="P15" s="212" t="s">
        <v>617</v>
      </c>
      <c r="Q15" s="214">
        <v>100</v>
      </c>
      <c r="R15" s="212" t="s">
        <v>531</v>
      </c>
      <c r="S15" s="212" t="s">
        <v>531</v>
      </c>
      <c r="T15" s="212" t="s">
        <v>531</v>
      </c>
      <c r="U15" s="212" t="s">
        <v>531</v>
      </c>
      <c r="V15" s="214" t="b">
        <v>1</v>
      </c>
      <c r="W15" s="225"/>
      <c r="X15" s="225"/>
      <c r="Y15" s="225"/>
      <c r="Z15" s="225"/>
      <c r="AA15" s="212" t="s">
        <v>531</v>
      </c>
      <c r="AB15" s="212" t="s">
        <v>531</v>
      </c>
      <c r="AC15" s="212" t="s">
        <v>618</v>
      </c>
      <c r="AD15" s="214">
        <v>1.066894</v>
      </c>
      <c r="AE15" s="214">
        <v>140</v>
      </c>
      <c r="AF15" s="214">
        <v>0.15999999999999998</v>
      </c>
      <c r="AG15" s="214">
        <v>-99</v>
      </c>
      <c r="AH15" s="212" t="s">
        <v>224</v>
      </c>
      <c r="AI15" s="212" t="s">
        <v>261</v>
      </c>
      <c r="AJ15" s="212" t="s">
        <v>307</v>
      </c>
      <c r="AK15" s="212" t="s">
        <v>531</v>
      </c>
      <c r="AL15" s="212" t="s">
        <v>385</v>
      </c>
      <c r="AM15" s="214" t="b">
        <v>1</v>
      </c>
      <c r="AN15" s="214" t="b">
        <v>0</v>
      </c>
      <c r="AO15" s="212" t="s">
        <v>308</v>
      </c>
      <c r="AP15" s="212" t="s">
        <v>309</v>
      </c>
      <c r="AQ15" s="214">
        <v>100.20194000000001</v>
      </c>
      <c r="AR15" s="214" t="b">
        <v>0</v>
      </c>
      <c r="AS15" s="212" t="s">
        <v>300</v>
      </c>
      <c r="AU15" s="222" t="s">
        <v>819</v>
      </c>
    </row>
    <row r="16" spans="1:47" s="219" customFormat="1" ht="15" customHeight="1" x14ac:dyDescent="0.25">
      <c r="A16" s="245">
        <f t="shared" si="7"/>
        <v>111</v>
      </c>
      <c r="B16" s="246" t="str">
        <f t="shared" si="0"/>
        <v>Oil Field - Well</v>
      </c>
      <c r="C16" s="246" t="str">
        <f ca="1">IF(B16="","",VLOOKUP(D16,'Species Data'!B:E,4,FALSE))</f>
        <v>dietben13</v>
      </c>
      <c r="D16" s="246">
        <f t="shared" ca="1" si="1"/>
        <v>51</v>
      </c>
      <c r="E16" s="246">
        <f t="shared" ca="1" si="2"/>
        <v>8.8300000000000003E-2</v>
      </c>
      <c r="F16" s="246" t="str">
        <f t="shared" ca="1" si="3"/>
        <v>1,3-diethylbenzene (meta)</v>
      </c>
      <c r="G16" s="246">
        <f t="shared" ca="1" si="4"/>
        <v>134.21816000000001</v>
      </c>
      <c r="H16" s="204" t="str">
        <f ca="1">IF(G16="","",IF(VLOOKUP(Well_Head!F16,'Species Data'!D:F,3,FALSE)=0,"X",IF(G16&lt;44.1,2,1)))</f>
        <v>X</v>
      </c>
      <c r="I16" s="204">
        <f t="shared" ca="1" si="5"/>
        <v>0.1341112750248917</v>
      </c>
      <c r="J16" s="247" t="str">
        <f ca="1">IF(I16="","",IF(COUNTIF($D$12:D16,D16)=1,IF(H16=1,I16*H16,IF(H16="X","X",0)),0))</f>
        <v>X</v>
      </c>
      <c r="K16" s="248">
        <f t="shared" ca="1" si="6"/>
        <v>0</v>
      </c>
      <c r="L16" s="238" t="s">
        <v>615</v>
      </c>
      <c r="M16" s="212" t="s">
        <v>616</v>
      </c>
      <c r="N16" s="212" t="s">
        <v>260</v>
      </c>
      <c r="O16" s="213">
        <v>32589</v>
      </c>
      <c r="P16" s="212" t="s">
        <v>617</v>
      </c>
      <c r="Q16" s="214">
        <v>100</v>
      </c>
      <c r="R16" s="212" t="s">
        <v>531</v>
      </c>
      <c r="S16" s="212" t="s">
        <v>531</v>
      </c>
      <c r="T16" s="212" t="s">
        <v>531</v>
      </c>
      <c r="U16" s="212" t="s">
        <v>531</v>
      </c>
      <c r="V16" s="214" t="b">
        <v>1</v>
      </c>
      <c r="W16" s="225"/>
      <c r="X16" s="225"/>
      <c r="Y16" s="225"/>
      <c r="Z16" s="225"/>
      <c r="AA16" s="212" t="s">
        <v>531</v>
      </c>
      <c r="AB16" s="212" t="s">
        <v>531</v>
      </c>
      <c r="AC16" s="212" t="s">
        <v>618</v>
      </c>
      <c r="AD16" s="214">
        <v>1.066894</v>
      </c>
      <c r="AE16" s="214">
        <v>152</v>
      </c>
      <c r="AF16" s="214">
        <v>0.21999999999999997</v>
      </c>
      <c r="AG16" s="214">
        <v>-99</v>
      </c>
      <c r="AH16" s="212" t="s">
        <v>224</v>
      </c>
      <c r="AI16" s="212" t="s">
        <v>261</v>
      </c>
      <c r="AJ16" s="212" t="s">
        <v>310</v>
      </c>
      <c r="AK16" s="212" t="s">
        <v>531</v>
      </c>
      <c r="AL16" s="212" t="s">
        <v>386</v>
      </c>
      <c r="AM16" s="214" t="b">
        <v>1</v>
      </c>
      <c r="AN16" s="214" t="b">
        <v>0</v>
      </c>
      <c r="AO16" s="212" t="s">
        <v>311</v>
      </c>
      <c r="AP16" s="212" t="s">
        <v>312</v>
      </c>
      <c r="AQ16" s="214">
        <v>100.20194000000001</v>
      </c>
      <c r="AR16" s="214" t="b">
        <v>0</v>
      </c>
      <c r="AS16" s="212" t="s">
        <v>300</v>
      </c>
      <c r="AU16" s="222" t="s">
        <v>819</v>
      </c>
    </row>
    <row r="17" spans="1:47" s="219" customFormat="1" x14ac:dyDescent="0.25">
      <c r="A17" s="245">
        <f t="shared" si="7"/>
        <v>112</v>
      </c>
      <c r="B17" s="246" t="str">
        <f t="shared" si="0"/>
        <v>Oil Field - Well</v>
      </c>
      <c r="C17" s="246" t="str">
        <f ca="1">IF(B17="","",VLOOKUP(D17,'Species Data'!B:E,4,FALSE))</f>
        <v>dietben14</v>
      </c>
      <c r="D17" s="246">
        <f t="shared" ca="1" si="1"/>
        <v>59</v>
      </c>
      <c r="E17" s="246">
        <f t="shared" ca="1" si="2"/>
        <v>8.7400000000000005E-2</v>
      </c>
      <c r="F17" s="246" t="str">
        <f t="shared" ca="1" si="3"/>
        <v>1,4-diethylbenzene (para)</v>
      </c>
      <c r="G17" s="246">
        <f t="shared" ca="1" si="4"/>
        <v>134.21816000000001</v>
      </c>
      <c r="H17" s="204" t="str">
        <f ca="1">IF(G17="","",IF(VLOOKUP(Well_Head!F17,'Species Data'!D:F,3,FALSE)=0,"X",IF(G17&lt;44.1,2,1)))</f>
        <v>X</v>
      </c>
      <c r="I17" s="204">
        <f t="shared" ca="1" si="5"/>
        <v>7.9233430174192432E-2</v>
      </c>
      <c r="J17" s="247" t="str">
        <f ca="1">IF(I17="","",IF(COUNTIF($D$12:D17,D17)=1,IF(H17=1,I17*H17,IF(H17="X","X",0)),0))</f>
        <v>X</v>
      </c>
      <c r="K17" s="248">
        <f t="shared" ca="1" si="6"/>
        <v>0</v>
      </c>
      <c r="L17" s="238" t="s">
        <v>615</v>
      </c>
      <c r="M17" s="212" t="s">
        <v>616</v>
      </c>
      <c r="N17" s="212" t="s">
        <v>260</v>
      </c>
      <c r="O17" s="213">
        <v>32589</v>
      </c>
      <c r="P17" s="212" t="s">
        <v>617</v>
      </c>
      <c r="Q17" s="214">
        <v>100</v>
      </c>
      <c r="R17" s="212" t="s">
        <v>531</v>
      </c>
      <c r="S17" s="212" t="s">
        <v>531</v>
      </c>
      <c r="T17" s="212" t="s">
        <v>531</v>
      </c>
      <c r="U17" s="212" t="s">
        <v>531</v>
      </c>
      <c r="V17" s="214" t="b">
        <v>1</v>
      </c>
      <c r="W17" s="225"/>
      <c r="X17" s="225"/>
      <c r="Y17" s="225"/>
      <c r="Z17" s="225"/>
      <c r="AA17" s="212" t="s">
        <v>531</v>
      </c>
      <c r="AB17" s="212" t="s">
        <v>531</v>
      </c>
      <c r="AC17" s="212" t="s">
        <v>618</v>
      </c>
      <c r="AD17" s="214">
        <v>1.066894</v>
      </c>
      <c r="AE17" s="214">
        <v>193</v>
      </c>
      <c r="AF17" s="214">
        <v>0.65999999999999992</v>
      </c>
      <c r="AG17" s="214">
        <v>-99</v>
      </c>
      <c r="AH17" s="212" t="s">
        <v>224</v>
      </c>
      <c r="AI17" s="212" t="s">
        <v>261</v>
      </c>
      <c r="AJ17" s="212" t="s">
        <v>313</v>
      </c>
      <c r="AK17" s="212" t="s">
        <v>531</v>
      </c>
      <c r="AL17" s="212" t="s">
        <v>387</v>
      </c>
      <c r="AM17" s="214" t="b">
        <v>1</v>
      </c>
      <c r="AN17" s="214" t="b">
        <v>0</v>
      </c>
      <c r="AO17" s="212" t="s">
        <v>314</v>
      </c>
      <c r="AP17" s="212" t="s">
        <v>315</v>
      </c>
      <c r="AQ17" s="214">
        <v>114.22852</v>
      </c>
      <c r="AR17" s="214" t="b">
        <v>0</v>
      </c>
      <c r="AS17" s="212" t="s">
        <v>300</v>
      </c>
      <c r="AU17" s="222" t="s">
        <v>819</v>
      </c>
    </row>
    <row r="18" spans="1:47" s="219" customFormat="1" x14ac:dyDescent="0.25">
      <c r="A18" s="245">
        <f t="shared" si="7"/>
        <v>113</v>
      </c>
      <c r="B18" s="246" t="str">
        <f t="shared" si="0"/>
        <v>Oil Field - Well</v>
      </c>
      <c r="C18" s="246" t="str">
        <f ca="1">IF(B18="","",VLOOKUP(D18,'Species Data'!B:E,4,FALSE))</f>
        <v>ethben12</v>
      </c>
      <c r="D18" s="246">
        <f t="shared" ca="1" si="1"/>
        <v>80</v>
      </c>
      <c r="E18" s="246">
        <f t="shared" ca="1" si="2"/>
        <v>0.1053</v>
      </c>
      <c r="F18" s="246" t="str">
        <f t="shared" ca="1" si="3"/>
        <v>1-Methyl-2-ethylbenzene</v>
      </c>
      <c r="G18" s="246">
        <f t="shared" ca="1" si="4"/>
        <v>120.19158</v>
      </c>
      <c r="H18" s="204">
        <f ca="1">IF(G18="","",IF(VLOOKUP(Well_Head!F18,'Species Data'!D:F,3,FALSE)=0,"X",IF(G18&lt;44.1,2,1)))</f>
        <v>1</v>
      </c>
      <c r="I18" s="204">
        <f t="shared" ca="1" si="5"/>
        <v>0.13882239189403453</v>
      </c>
      <c r="J18" s="247">
        <f ca="1">IF(I18="","",IF(COUNTIF($D$12:D18,D18)=1,IF(H18=1,I18*H18,IF(H18="X","X",0)),0))</f>
        <v>0.13882239189403453</v>
      </c>
      <c r="K18" s="248">
        <f t="shared" ca="1" si="6"/>
        <v>0.29165836986455179</v>
      </c>
      <c r="L18" s="238" t="s">
        <v>615</v>
      </c>
      <c r="M18" s="212" t="s">
        <v>616</v>
      </c>
      <c r="N18" s="212" t="s">
        <v>260</v>
      </c>
      <c r="O18" s="213">
        <v>32589</v>
      </c>
      <c r="P18" s="212" t="s">
        <v>617</v>
      </c>
      <c r="Q18" s="214">
        <v>100</v>
      </c>
      <c r="R18" s="212" t="s">
        <v>531</v>
      </c>
      <c r="S18" s="212" t="s">
        <v>531</v>
      </c>
      <c r="T18" s="212" t="s">
        <v>531</v>
      </c>
      <c r="U18" s="212" t="s">
        <v>531</v>
      </c>
      <c r="V18" s="214" t="b">
        <v>1</v>
      </c>
      <c r="W18" s="225"/>
      <c r="X18" s="225"/>
      <c r="Y18" s="225"/>
      <c r="Z18" s="225"/>
      <c r="AA18" s="212" t="s">
        <v>531</v>
      </c>
      <c r="AB18" s="212" t="s">
        <v>531</v>
      </c>
      <c r="AC18" s="212" t="s">
        <v>618</v>
      </c>
      <c r="AD18" s="214">
        <v>1.066894</v>
      </c>
      <c r="AE18" s="214">
        <v>194</v>
      </c>
      <c r="AF18" s="214">
        <v>0.38999999999999996</v>
      </c>
      <c r="AG18" s="214">
        <v>-99</v>
      </c>
      <c r="AH18" s="212" t="s">
        <v>224</v>
      </c>
      <c r="AI18" s="212" t="s">
        <v>261</v>
      </c>
      <c r="AJ18" s="212" t="s">
        <v>316</v>
      </c>
      <c r="AK18" s="212" t="s">
        <v>531</v>
      </c>
      <c r="AL18" s="212" t="s">
        <v>388</v>
      </c>
      <c r="AM18" s="214" t="b">
        <v>1</v>
      </c>
      <c r="AN18" s="214" t="b">
        <v>0</v>
      </c>
      <c r="AO18" s="212" t="s">
        <v>317</v>
      </c>
      <c r="AP18" s="212" t="s">
        <v>318</v>
      </c>
      <c r="AQ18" s="214">
        <v>100.20194000000001</v>
      </c>
      <c r="AR18" s="214" t="b">
        <v>0</v>
      </c>
      <c r="AS18" s="212" t="s">
        <v>300</v>
      </c>
      <c r="AU18" s="222" t="s">
        <v>819</v>
      </c>
    </row>
    <row r="19" spans="1:47" s="219" customFormat="1" x14ac:dyDescent="0.25">
      <c r="A19" s="245">
        <f t="shared" si="7"/>
        <v>114</v>
      </c>
      <c r="B19" s="246" t="str">
        <f t="shared" si="0"/>
        <v>Oil Field - Well</v>
      </c>
      <c r="C19" s="246" t="str">
        <f ca="1">IF(B19="","",VLOOKUP(D19,'Species Data'!B:E,4,FALSE))</f>
        <v>ethben13</v>
      </c>
      <c r="D19" s="246">
        <f t="shared" ca="1" si="1"/>
        <v>89</v>
      </c>
      <c r="E19" s="246">
        <f t="shared" ca="1" si="2"/>
        <v>7.5399999999999995E-2</v>
      </c>
      <c r="F19" s="246" t="str">
        <f t="shared" ca="1" si="3"/>
        <v>1-Methyl-3-ethylbenzene (3-Ethyltoluene)</v>
      </c>
      <c r="G19" s="246">
        <f t="shared" ca="1" si="4"/>
        <v>120.19158</v>
      </c>
      <c r="H19" s="204">
        <f ca="1">IF(G19="","",IF(VLOOKUP(Well_Head!F19,'Species Data'!D:F,3,FALSE)=0,"X",IF(G19&lt;44.1,2,1)))</f>
        <v>1</v>
      </c>
      <c r="I19" s="204">
        <f t="shared" ca="1" si="5"/>
        <v>0.1338446080322987</v>
      </c>
      <c r="J19" s="247">
        <f ca="1">IF(I19="","",IF(COUNTIF($D$12:D19,D19)=1,IF(H19=1,I19*H19,IF(H19="X","X",0)),0))</f>
        <v>0.1338446080322987</v>
      </c>
      <c r="K19" s="248">
        <f t="shared" ca="1" si="6"/>
        <v>0.28120031402180173</v>
      </c>
      <c r="L19" s="238" t="s">
        <v>615</v>
      </c>
      <c r="M19" s="212" t="s">
        <v>616</v>
      </c>
      <c r="N19" s="212" t="s">
        <v>260</v>
      </c>
      <c r="O19" s="213">
        <v>32589</v>
      </c>
      <c r="P19" s="212" t="s">
        <v>617</v>
      </c>
      <c r="Q19" s="214">
        <v>100</v>
      </c>
      <c r="R19" s="212" t="s">
        <v>531</v>
      </c>
      <c r="S19" s="212" t="s">
        <v>531</v>
      </c>
      <c r="T19" s="212" t="s">
        <v>531</v>
      </c>
      <c r="U19" s="212" t="s">
        <v>531</v>
      </c>
      <c r="V19" s="214" t="b">
        <v>1</v>
      </c>
      <c r="W19" s="225"/>
      <c r="X19" s="225"/>
      <c r="Y19" s="225"/>
      <c r="Z19" s="225"/>
      <c r="AA19" s="212" t="s">
        <v>531</v>
      </c>
      <c r="AB19" s="212" t="s">
        <v>531</v>
      </c>
      <c r="AC19" s="212" t="s">
        <v>618</v>
      </c>
      <c r="AD19" s="214">
        <v>1.066894</v>
      </c>
      <c r="AE19" s="214">
        <v>199</v>
      </c>
      <c r="AF19" s="214">
        <v>1.49</v>
      </c>
      <c r="AG19" s="214">
        <v>-99</v>
      </c>
      <c r="AH19" s="212" t="s">
        <v>224</v>
      </c>
      <c r="AI19" s="212" t="s">
        <v>261</v>
      </c>
      <c r="AJ19" s="212" t="s">
        <v>319</v>
      </c>
      <c r="AK19" s="212" t="s">
        <v>531</v>
      </c>
      <c r="AL19" s="212" t="s">
        <v>389</v>
      </c>
      <c r="AM19" s="214" t="b">
        <v>1</v>
      </c>
      <c r="AN19" s="214" t="b">
        <v>0</v>
      </c>
      <c r="AO19" s="212" t="s">
        <v>320</v>
      </c>
      <c r="AP19" s="212" t="s">
        <v>321</v>
      </c>
      <c r="AQ19" s="214">
        <v>86.175359999999998</v>
      </c>
      <c r="AR19" s="214" t="b">
        <v>0</v>
      </c>
      <c r="AS19" s="212" t="s">
        <v>300</v>
      </c>
      <c r="AU19" s="222" t="s">
        <v>819</v>
      </c>
    </row>
    <row r="20" spans="1:47" s="219" customFormat="1" x14ac:dyDescent="0.25">
      <c r="A20" s="245">
        <f t="shared" si="7"/>
        <v>115</v>
      </c>
      <c r="B20" s="246" t="str">
        <f t="shared" si="0"/>
        <v>Oil Field - Well</v>
      </c>
      <c r="C20" s="246" t="str">
        <f ca="1">IF(B20="","",VLOOKUP(D20,'Species Data'!B:E,4,FALSE))</f>
        <v>dimetbut22</v>
      </c>
      <c r="D20" s="246">
        <f t="shared" ca="1" si="1"/>
        <v>122</v>
      </c>
      <c r="E20" s="246">
        <f t="shared" ca="1" si="2"/>
        <v>0.37940000000000002</v>
      </c>
      <c r="F20" s="246" t="str">
        <f t="shared" ca="1" si="3"/>
        <v>2,2-dimethylbutane</v>
      </c>
      <c r="G20" s="246">
        <f t="shared" ca="1" si="4"/>
        <v>86.175359999999998</v>
      </c>
      <c r="H20" s="204">
        <f ca="1">IF(G20="","",IF(VLOOKUP(Well_Head!F20,'Species Data'!D:F,3,FALSE)=0,"X",IF(G20&lt;44.1,2,1)))</f>
        <v>1</v>
      </c>
      <c r="I20" s="204">
        <f t="shared" ca="1" si="5"/>
        <v>0.21534470764353159</v>
      </c>
      <c r="J20" s="247">
        <f ca="1">IF(I20="","",IF(COUNTIF($D$12:D20,D20)=1,IF(H20=1,I20*H20,IF(H20="X","X",0)),0))</f>
        <v>0.21534470764353159</v>
      </c>
      <c r="K20" s="248">
        <f t="shared" ca="1" si="6"/>
        <v>0.45242763457218493</v>
      </c>
      <c r="L20" s="238" t="s">
        <v>615</v>
      </c>
      <c r="M20" s="212" t="s">
        <v>616</v>
      </c>
      <c r="N20" s="212" t="s">
        <v>260</v>
      </c>
      <c r="O20" s="213">
        <v>32589</v>
      </c>
      <c r="P20" s="212" t="s">
        <v>617</v>
      </c>
      <c r="Q20" s="214">
        <v>100</v>
      </c>
      <c r="R20" s="212" t="s">
        <v>531</v>
      </c>
      <c r="S20" s="212" t="s">
        <v>531</v>
      </c>
      <c r="T20" s="212" t="s">
        <v>531</v>
      </c>
      <c r="U20" s="212" t="s">
        <v>531</v>
      </c>
      <c r="V20" s="214" t="b">
        <v>1</v>
      </c>
      <c r="W20" s="225"/>
      <c r="X20" s="225"/>
      <c r="Y20" s="225"/>
      <c r="Z20" s="225"/>
      <c r="AA20" s="212" t="s">
        <v>531</v>
      </c>
      <c r="AB20" s="212" t="s">
        <v>531</v>
      </c>
      <c r="AC20" s="212" t="s">
        <v>618</v>
      </c>
      <c r="AD20" s="214">
        <v>1.066894</v>
      </c>
      <c r="AE20" s="214">
        <v>244</v>
      </c>
      <c r="AF20" s="214">
        <v>0.35</v>
      </c>
      <c r="AG20" s="214">
        <v>-99</v>
      </c>
      <c r="AH20" s="212" t="s">
        <v>224</v>
      </c>
      <c r="AI20" s="212" t="s">
        <v>261</v>
      </c>
      <c r="AJ20" s="212" t="s">
        <v>322</v>
      </c>
      <c r="AK20" s="212" t="s">
        <v>531</v>
      </c>
      <c r="AL20" s="212" t="s">
        <v>531</v>
      </c>
      <c r="AM20" s="214" t="b">
        <v>1</v>
      </c>
      <c r="AN20" s="214" t="b">
        <v>0</v>
      </c>
      <c r="AO20" s="212" t="s">
        <v>323</v>
      </c>
      <c r="AP20" s="212" t="s">
        <v>324</v>
      </c>
      <c r="AQ20" s="214">
        <v>114.22852</v>
      </c>
      <c r="AR20" s="214" t="b">
        <v>0</v>
      </c>
      <c r="AS20" s="212" t="s">
        <v>300</v>
      </c>
      <c r="AU20" s="222" t="s">
        <v>819</v>
      </c>
    </row>
    <row r="21" spans="1:47" s="219" customFormat="1" x14ac:dyDescent="0.25">
      <c r="A21" s="245">
        <f t="shared" si="7"/>
        <v>116</v>
      </c>
      <c r="B21" s="246" t="str">
        <f t="shared" si="0"/>
        <v>Oil Field - Well</v>
      </c>
      <c r="C21" s="246" t="str">
        <f ca="1">IF(B21="","",VLOOKUP(D21,'Species Data'!B:E,4,FALSE))</f>
        <v>dimethpro</v>
      </c>
      <c r="D21" s="246">
        <f t="shared" ca="1" si="1"/>
        <v>127</v>
      </c>
      <c r="E21" s="246">
        <f t="shared" ca="1" si="2"/>
        <v>0.30830000000000002</v>
      </c>
      <c r="F21" s="246" t="str">
        <f t="shared" ca="1" si="3"/>
        <v>2,2-dimethylpropane</v>
      </c>
      <c r="G21" s="246">
        <f t="shared" ca="1" si="4"/>
        <v>72.148780000000002</v>
      </c>
      <c r="H21" s="204">
        <f ca="1">IF(G21="","",IF(VLOOKUP(Well_Head!F21,'Species Data'!D:F,3,FALSE)=0,"X",IF(G21&lt;44.1,2,1)))</f>
        <v>1</v>
      </c>
      <c r="I21" s="204">
        <f t="shared" ca="1" si="5"/>
        <v>0.12532237539401436</v>
      </c>
      <c r="J21" s="247">
        <f ca="1">IF(I21="","",IF(COUNTIF($D$12:D21,D21)=1,IF(H21=1,I21*H21,IF(H21="X","X",0)),0))</f>
        <v>0.12532237539401436</v>
      </c>
      <c r="K21" s="248">
        <f t="shared" ca="1" si="6"/>
        <v>0.26329556216602207</v>
      </c>
      <c r="L21" s="238" t="s">
        <v>615</v>
      </c>
      <c r="M21" s="212" t="s">
        <v>616</v>
      </c>
      <c r="N21" s="212" t="s">
        <v>260</v>
      </c>
      <c r="O21" s="213">
        <v>32589</v>
      </c>
      <c r="P21" s="212" t="s">
        <v>617</v>
      </c>
      <c r="Q21" s="214">
        <v>100</v>
      </c>
      <c r="R21" s="212" t="s">
        <v>531</v>
      </c>
      <c r="S21" s="212" t="s">
        <v>531</v>
      </c>
      <c r="T21" s="212" t="s">
        <v>531</v>
      </c>
      <c r="U21" s="212" t="s">
        <v>531</v>
      </c>
      <c r="V21" s="214" t="b">
        <v>1</v>
      </c>
      <c r="W21" s="225"/>
      <c r="X21" s="225"/>
      <c r="Y21" s="225"/>
      <c r="Z21" s="225"/>
      <c r="AA21" s="212" t="s">
        <v>531</v>
      </c>
      <c r="AB21" s="212" t="s">
        <v>531</v>
      </c>
      <c r="AC21" s="212" t="s">
        <v>618</v>
      </c>
      <c r="AD21" s="214">
        <v>1.066894</v>
      </c>
      <c r="AE21" s="214">
        <v>245</v>
      </c>
      <c r="AF21" s="214">
        <v>0.52999999999999992</v>
      </c>
      <c r="AG21" s="214">
        <v>-99</v>
      </c>
      <c r="AH21" s="212" t="s">
        <v>224</v>
      </c>
      <c r="AI21" s="212" t="s">
        <v>261</v>
      </c>
      <c r="AJ21" s="212" t="s">
        <v>325</v>
      </c>
      <c r="AK21" s="212" t="s">
        <v>531</v>
      </c>
      <c r="AL21" s="212" t="s">
        <v>390</v>
      </c>
      <c r="AM21" s="214" t="b">
        <v>1</v>
      </c>
      <c r="AN21" s="214" t="b">
        <v>0</v>
      </c>
      <c r="AO21" s="212" t="s">
        <v>326</v>
      </c>
      <c r="AP21" s="212" t="s">
        <v>327</v>
      </c>
      <c r="AQ21" s="214">
        <v>100.20194000000001</v>
      </c>
      <c r="AR21" s="214" t="b">
        <v>0</v>
      </c>
      <c r="AS21" s="212" t="s">
        <v>300</v>
      </c>
      <c r="AU21" s="222" t="s">
        <v>819</v>
      </c>
    </row>
    <row r="22" spans="1:47" s="219" customFormat="1" x14ac:dyDescent="0.25">
      <c r="A22" s="245">
        <f t="shared" si="7"/>
        <v>117</v>
      </c>
      <c r="B22" s="246" t="str">
        <f t="shared" si="0"/>
        <v>Oil Field - Well</v>
      </c>
      <c r="C22" s="246" t="str">
        <f ca="1">IF(B22="","",VLOOKUP(D22,'Species Data'!B:E,4,FALSE))</f>
        <v>trimentpen3</v>
      </c>
      <c r="D22" s="246">
        <f t="shared" ca="1" si="1"/>
        <v>130</v>
      </c>
      <c r="E22" s="246">
        <f t="shared" ca="1" si="2"/>
        <v>0.19850000000000001</v>
      </c>
      <c r="F22" s="246" t="str">
        <f t="shared" ca="1" si="3"/>
        <v>2,3,4-trimethylpentane</v>
      </c>
      <c r="G22" s="246">
        <f t="shared" ca="1" si="4"/>
        <v>114.22852</v>
      </c>
      <c r="H22" s="204">
        <f ca="1">IF(G22="","",IF(VLOOKUP(Well_Head!F22,'Species Data'!D:F,3,FALSE)=0,"X",IF(G22&lt;44.1,2,1)))</f>
        <v>1</v>
      </c>
      <c r="I22" s="204">
        <f t="shared" ca="1" si="5"/>
        <v>0.18992245434966645</v>
      </c>
      <c r="J22" s="247">
        <f ca="1">IF(I22="","",IF(COUNTIF($D$12:D22,D22)=1,IF(H22=1,I22*H22,IF(H22="X","X",0)),0))</f>
        <v>0.18992245434966645</v>
      </c>
      <c r="K22" s="248">
        <f t="shared" ca="1" si="6"/>
        <v>0.39901684937528292</v>
      </c>
      <c r="L22" s="238" t="s">
        <v>615</v>
      </c>
      <c r="M22" s="212" t="s">
        <v>616</v>
      </c>
      <c r="N22" s="212" t="s">
        <v>260</v>
      </c>
      <c r="O22" s="213">
        <v>32589</v>
      </c>
      <c r="P22" s="212" t="s">
        <v>617</v>
      </c>
      <c r="Q22" s="214">
        <v>100</v>
      </c>
      <c r="R22" s="212" t="s">
        <v>531</v>
      </c>
      <c r="S22" s="212" t="s">
        <v>531</v>
      </c>
      <c r="T22" s="212" t="s">
        <v>531</v>
      </c>
      <c r="U22" s="212" t="s">
        <v>531</v>
      </c>
      <c r="V22" s="214" t="b">
        <v>1</v>
      </c>
      <c r="W22" s="225"/>
      <c r="X22" s="225"/>
      <c r="Y22" s="225"/>
      <c r="Z22" s="225"/>
      <c r="AA22" s="212" t="s">
        <v>531</v>
      </c>
      <c r="AB22" s="212" t="s">
        <v>531</v>
      </c>
      <c r="AC22" s="212" t="s">
        <v>618</v>
      </c>
      <c r="AD22" s="214">
        <v>1.066894</v>
      </c>
      <c r="AE22" s="214">
        <v>248</v>
      </c>
      <c r="AF22" s="214">
        <v>0.8899999999999999</v>
      </c>
      <c r="AG22" s="214">
        <v>-99</v>
      </c>
      <c r="AH22" s="212" t="s">
        <v>224</v>
      </c>
      <c r="AI22" s="212" t="s">
        <v>261</v>
      </c>
      <c r="AJ22" s="212" t="s">
        <v>328</v>
      </c>
      <c r="AK22" s="212" t="s">
        <v>531</v>
      </c>
      <c r="AL22" s="212" t="s">
        <v>391</v>
      </c>
      <c r="AM22" s="214" t="b">
        <v>1</v>
      </c>
      <c r="AN22" s="214" t="b">
        <v>0</v>
      </c>
      <c r="AO22" s="212" t="s">
        <v>329</v>
      </c>
      <c r="AP22" s="212" t="s">
        <v>330</v>
      </c>
      <c r="AQ22" s="214">
        <v>86.175359999999998</v>
      </c>
      <c r="AR22" s="214" t="b">
        <v>0</v>
      </c>
      <c r="AS22" s="212" t="s">
        <v>300</v>
      </c>
      <c r="AU22" s="222" t="s">
        <v>819</v>
      </c>
    </row>
    <row r="23" spans="1:47" s="219" customFormat="1" x14ac:dyDescent="0.25">
      <c r="A23" s="245">
        <f t="shared" si="7"/>
        <v>118</v>
      </c>
      <c r="B23" s="246" t="str">
        <f t="shared" si="0"/>
        <v>Oil Field - Well</v>
      </c>
      <c r="C23" s="246" t="str">
        <f ca="1">IF(B23="","",VLOOKUP(D23,'Species Data'!B:E,4,FALSE))</f>
        <v>dimetbut</v>
      </c>
      <c r="D23" s="246">
        <f t="shared" ca="1" si="1"/>
        <v>136</v>
      </c>
      <c r="E23" s="246">
        <f t="shared" ca="1" si="2"/>
        <v>1.3302</v>
      </c>
      <c r="F23" s="246" t="str">
        <f t="shared" ca="1" si="3"/>
        <v>2,3-dimethylbutane</v>
      </c>
      <c r="G23" s="246">
        <f t="shared" ca="1" si="4"/>
        <v>86.175359999999998</v>
      </c>
      <c r="H23" s="204">
        <f ca="1">IF(G23="","",IF(VLOOKUP(Well_Head!F23,'Species Data'!D:F,3,FALSE)=0,"X",IF(G23&lt;44.1,2,1)))</f>
        <v>1</v>
      </c>
      <c r="I23" s="204">
        <f t="shared" ca="1" si="5"/>
        <v>0.77192316568386921</v>
      </c>
      <c r="J23" s="247">
        <f ca="1">IF(I23="","",IF(COUNTIF($D$12:D23,D23)=1,IF(H23=1,I23*H23,IF(H23="X","X",0)),0))</f>
        <v>0.77192316568386921</v>
      </c>
      <c r="K23" s="248">
        <f t="shared" ca="1" si="6"/>
        <v>1.6217690034896755</v>
      </c>
      <c r="L23" s="238" t="s">
        <v>615</v>
      </c>
      <c r="M23" s="212" t="s">
        <v>616</v>
      </c>
      <c r="N23" s="212" t="s">
        <v>260</v>
      </c>
      <c r="O23" s="213">
        <v>32589</v>
      </c>
      <c r="P23" s="212" t="s">
        <v>617</v>
      </c>
      <c r="Q23" s="214">
        <v>100</v>
      </c>
      <c r="R23" s="212" t="s">
        <v>531</v>
      </c>
      <c r="S23" s="212" t="s">
        <v>531</v>
      </c>
      <c r="T23" s="212" t="s">
        <v>531</v>
      </c>
      <c r="U23" s="212" t="s">
        <v>531</v>
      </c>
      <c r="V23" s="214" t="b">
        <v>1</v>
      </c>
      <c r="W23" s="225"/>
      <c r="X23" s="225"/>
      <c r="Y23" s="225"/>
      <c r="Z23" s="225"/>
      <c r="AA23" s="212" t="s">
        <v>531</v>
      </c>
      <c r="AB23" s="212" t="s">
        <v>531</v>
      </c>
      <c r="AC23" s="212" t="s">
        <v>618</v>
      </c>
      <c r="AD23" s="214">
        <v>1.066894</v>
      </c>
      <c r="AE23" s="214">
        <v>302</v>
      </c>
      <c r="AF23" s="214">
        <v>0.37999999999999995</v>
      </c>
      <c r="AG23" s="214">
        <v>-99</v>
      </c>
      <c r="AH23" s="212" t="s">
        <v>224</v>
      </c>
      <c r="AI23" s="212" t="s">
        <v>261</v>
      </c>
      <c r="AJ23" s="212" t="s">
        <v>262</v>
      </c>
      <c r="AK23" s="212" t="s">
        <v>531</v>
      </c>
      <c r="AL23" s="212" t="s">
        <v>373</v>
      </c>
      <c r="AM23" s="214" t="b">
        <v>1</v>
      </c>
      <c r="AN23" s="214" t="b">
        <v>1</v>
      </c>
      <c r="AO23" s="212" t="s">
        <v>263</v>
      </c>
      <c r="AP23" s="212" t="s">
        <v>264</v>
      </c>
      <c r="AQ23" s="214">
        <v>78.111840000000001</v>
      </c>
      <c r="AR23" s="214" t="b">
        <v>0</v>
      </c>
      <c r="AS23" s="212" t="s">
        <v>300</v>
      </c>
      <c r="AU23" s="222" t="s">
        <v>819</v>
      </c>
    </row>
    <row r="24" spans="1:47" s="219" customFormat="1" x14ac:dyDescent="0.25">
      <c r="A24" s="245">
        <f t="shared" si="7"/>
        <v>119</v>
      </c>
      <c r="B24" s="246" t="str">
        <f t="shared" si="0"/>
        <v>Oil Field - Well</v>
      </c>
      <c r="C24" s="246" t="str">
        <f ca="1">IF(B24="","",VLOOKUP(D24,'Species Data'!B:E,4,FALSE))</f>
        <v>dimethhex23</v>
      </c>
      <c r="D24" s="246">
        <f t="shared" ca="1" si="1"/>
        <v>138</v>
      </c>
      <c r="E24" s="246">
        <f t="shared" ca="1" si="2"/>
        <v>4.6600000000000003E-2</v>
      </c>
      <c r="F24" s="246" t="str">
        <f t="shared" ca="1" si="3"/>
        <v>2,3-dimethylhexane</v>
      </c>
      <c r="G24" s="246">
        <f t="shared" ca="1" si="4"/>
        <v>114.22852</v>
      </c>
      <c r="H24" s="204">
        <f ca="1">IF(G24="","",IF(VLOOKUP(Well_Head!F24,'Species Data'!D:F,3,FALSE)=0,"X",IF(G24&lt;44.1,2,1)))</f>
        <v>1</v>
      </c>
      <c r="I24" s="204">
        <f t="shared" ca="1" si="5"/>
        <v>5.9266739103792238E-2</v>
      </c>
      <c r="J24" s="247">
        <f ca="1">IF(I24="","",IF(COUNTIF($D$12:D24,D24)=1,IF(H24=1,I24*H24,IF(H24="X","X",0)),0))</f>
        <v>5.9266739103792238E-2</v>
      </c>
      <c r="K24" s="248">
        <f t="shared" ca="1" si="6"/>
        <v>0.12451622737774286</v>
      </c>
      <c r="L24" s="238" t="s">
        <v>615</v>
      </c>
      <c r="M24" s="212" t="s">
        <v>616</v>
      </c>
      <c r="N24" s="212" t="s">
        <v>260</v>
      </c>
      <c r="O24" s="213">
        <v>32589</v>
      </c>
      <c r="P24" s="212" t="s">
        <v>617</v>
      </c>
      <c r="Q24" s="214">
        <v>100</v>
      </c>
      <c r="R24" s="212" t="s">
        <v>531</v>
      </c>
      <c r="S24" s="212" t="s">
        <v>531</v>
      </c>
      <c r="T24" s="212" t="s">
        <v>531</v>
      </c>
      <c r="U24" s="212" t="s">
        <v>531</v>
      </c>
      <c r="V24" s="214" t="b">
        <v>1</v>
      </c>
      <c r="W24" s="225"/>
      <c r="X24" s="225"/>
      <c r="Y24" s="225"/>
      <c r="Z24" s="225"/>
      <c r="AA24" s="212" t="s">
        <v>531</v>
      </c>
      <c r="AB24" s="212" t="s">
        <v>531</v>
      </c>
      <c r="AC24" s="212" t="s">
        <v>618</v>
      </c>
      <c r="AD24" s="214">
        <v>1.066894</v>
      </c>
      <c r="AE24" s="214">
        <v>385</v>
      </c>
      <c r="AF24" s="214">
        <v>0.76999999999999991</v>
      </c>
      <c r="AG24" s="214">
        <v>-99</v>
      </c>
      <c r="AH24" s="212" t="s">
        <v>224</v>
      </c>
      <c r="AI24" s="212" t="s">
        <v>261</v>
      </c>
      <c r="AJ24" s="212" t="s">
        <v>331</v>
      </c>
      <c r="AK24" s="212" t="s">
        <v>531</v>
      </c>
      <c r="AL24" s="212" t="s">
        <v>392</v>
      </c>
      <c r="AM24" s="214" t="b">
        <v>1</v>
      </c>
      <c r="AN24" s="214" t="b">
        <v>0</v>
      </c>
      <c r="AO24" s="212" t="s">
        <v>332</v>
      </c>
      <c r="AP24" s="212" t="s">
        <v>333</v>
      </c>
      <c r="AQ24" s="214">
        <v>84.159480000000002</v>
      </c>
      <c r="AR24" s="214" t="b">
        <v>0</v>
      </c>
      <c r="AS24" s="212" t="s">
        <v>300</v>
      </c>
      <c r="AU24" s="222" t="s">
        <v>819</v>
      </c>
    </row>
    <row r="25" spans="1:47" s="219" customFormat="1" ht="15" customHeight="1" x14ac:dyDescent="0.25">
      <c r="A25" s="245">
        <f t="shared" si="7"/>
        <v>120</v>
      </c>
      <c r="B25" s="246" t="str">
        <f t="shared" si="0"/>
        <v>Oil Field - Well</v>
      </c>
      <c r="C25" s="246" t="str">
        <f ca="1">IF(B25="","",VLOOKUP(D25,'Species Data'!B:E,4,FALSE))</f>
        <v>dimethhex24</v>
      </c>
      <c r="D25" s="246">
        <f t="shared" ca="1" si="1"/>
        <v>149</v>
      </c>
      <c r="E25" s="246">
        <f t="shared" ca="1" si="2"/>
        <v>0.17799999999999999</v>
      </c>
      <c r="F25" s="246" t="str">
        <f t="shared" ca="1" si="3"/>
        <v>2,4-dimethylhexane</v>
      </c>
      <c r="G25" s="246">
        <f t="shared" ca="1" si="4"/>
        <v>114.22852</v>
      </c>
      <c r="H25" s="204">
        <f ca="1">IF(G25="","",IF(VLOOKUP(Well_Head!F25,'Species Data'!D:F,3,FALSE)=0,"X",IF(G25&lt;44.1,2,1)))</f>
        <v>1</v>
      </c>
      <c r="I25" s="204">
        <f t="shared" ca="1" si="5"/>
        <v>0.16547798002864228</v>
      </c>
      <c r="J25" s="247">
        <f ca="1">IF(I25="","",IF(COUNTIF($D$12:D25,D25)=1,IF(H25=1,I25*H25,IF(H25="X","X",0)),0))</f>
        <v>0.16547798002864228</v>
      </c>
      <c r="K25" s="248">
        <f t="shared" ca="1" si="6"/>
        <v>0.3476603251474924</v>
      </c>
      <c r="L25" s="238" t="s">
        <v>615</v>
      </c>
      <c r="M25" s="212" t="s">
        <v>616</v>
      </c>
      <c r="N25" s="212" t="s">
        <v>260</v>
      </c>
      <c r="O25" s="213">
        <v>32589</v>
      </c>
      <c r="P25" s="212" t="s">
        <v>617</v>
      </c>
      <c r="Q25" s="214">
        <v>100</v>
      </c>
      <c r="R25" s="212" t="s">
        <v>531</v>
      </c>
      <c r="S25" s="212" t="s">
        <v>531</v>
      </c>
      <c r="T25" s="212" t="s">
        <v>531</v>
      </c>
      <c r="U25" s="212" t="s">
        <v>531</v>
      </c>
      <c r="V25" s="214" t="b">
        <v>1</v>
      </c>
      <c r="W25" s="225"/>
      <c r="X25" s="225"/>
      <c r="Y25" s="225"/>
      <c r="Z25" s="225"/>
      <c r="AA25" s="212" t="s">
        <v>531</v>
      </c>
      <c r="AB25" s="212" t="s">
        <v>531</v>
      </c>
      <c r="AC25" s="212" t="s">
        <v>618</v>
      </c>
      <c r="AD25" s="214">
        <v>1.066894</v>
      </c>
      <c r="AE25" s="214">
        <v>390</v>
      </c>
      <c r="AF25" s="214">
        <v>0.49</v>
      </c>
      <c r="AG25" s="214">
        <v>-99</v>
      </c>
      <c r="AH25" s="212" t="s">
        <v>224</v>
      </c>
      <c r="AI25" s="212" t="s">
        <v>261</v>
      </c>
      <c r="AJ25" s="212" t="s">
        <v>334</v>
      </c>
      <c r="AK25" s="212" t="s">
        <v>531</v>
      </c>
      <c r="AL25" s="212" t="s">
        <v>393</v>
      </c>
      <c r="AM25" s="214" t="b">
        <v>1</v>
      </c>
      <c r="AN25" s="214" t="b">
        <v>0</v>
      </c>
      <c r="AO25" s="212" t="s">
        <v>335</v>
      </c>
      <c r="AP25" s="212" t="s">
        <v>336</v>
      </c>
      <c r="AQ25" s="214">
        <v>70.132900000000006</v>
      </c>
      <c r="AR25" s="214" t="b">
        <v>0</v>
      </c>
      <c r="AS25" s="212" t="s">
        <v>300</v>
      </c>
      <c r="AU25" s="222" t="s">
        <v>819</v>
      </c>
    </row>
    <row r="26" spans="1:47" s="219" customFormat="1" x14ac:dyDescent="0.25">
      <c r="A26" s="245">
        <f t="shared" si="7"/>
        <v>121</v>
      </c>
      <c r="B26" s="246" t="str">
        <f t="shared" si="0"/>
        <v>Oil Field - Well</v>
      </c>
      <c r="C26" s="246" t="str">
        <f ca="1">IF(B26="","",VLOOKUP(D26,'Species Data'!B:E,4,FALSE))</f>
        <v>dimetpen4</v>
      </c>
      <c r="D26" s="246">
        <f t="shared" ca="1" si="1"/>
        <v>152</v>
      </c>
      <c r="E26" s="246">
        <f t="shared" ca="1" si="2"/>
        <v>0.23169999999999999</v>
      </c>
      <c r="F26" s="246" t="str">
        <f t="shared" ca="1" si="3"/>
        <v>2,4-dimethylpentane</v>
      </c>
      <c r="G26" s="246">
        <f t="shared" ca="1" si="4"/>
        <v>100.20194000000001</v>
      </c>
      <c r="H26" s="204">
        <f ca="1">IF(G26="","",IF(VLOOKUP(Well_Head!F26,'Species Data'!D:F,3,FALSE)=0,"X",IF(G26&lt;44.1,2,1)))</f>
        <v>1</v>
      </c>
      <c r="I26" s="204">
        <f t="shared" ca="1" si="5"/>
        <v>0.15698908076443205</v>
      </c>
      <c r="J26" s="247">
        <f ca="1">IF(I26="","",IF(COUNTIF($D$12:D26,D26)=1,IF(H26=1,I26*H26,IF(H26="X","X",0)),0))</f>
        <v>0.15698908076443205</v>
      </c>
      <c r="K26" s="248">
        <f t="shared" ca="1" si="6"/>
        <v>0.32982560491565971</v>
      </c>
      <c r="L26" s="238" t="s">
        <v>615</v>
      </c>
      <c r="M26" s="212" t="s">
        <v>616</v>
      </c>
      <c r="N26" s="212" t="s">
        <v>260</v>
      </c>
      <c r="O26" s="213">
        <v>32589</v>
      </c>
      <c r="P26" s="212" t="s">
        <v>617</v>
      </c>
      <c r="Q26" s="214">
        <v>100</v>
      </c>
      <c r="R26" s="212" t="s">
        <v>531</v>
      </c>
      <c r="S26" s="212" t="s">
        <v>531</v>
      </c>
      <c r="T26" s="212" t="s">
        <v>531</v>
      </c>
      <c r="U26" s="212" t="s">
        <v>531</v>
      </c>
      <c r="V26" s="214" t="b">
        <v>1</v>
      </c>
      <c r="W26" s="225"/>
      <c r="X26" s="225"/>
      <c r="Y26" s="225"/>
      <c r="Z26" s="225"/>
      <c r="AA26" s="212" t="s">
        <v>531</v>
      </c>
      <c r="AB26" s="212" t="s">
        <v>531</v>
      </c>
      <c r="AC26" s="212" t="s">
        <v>618</v>
      </c>
      <c r="AD26" s="214">
        <v>1.066894</v>
      </c>
      <c r="AE26" s="214">
        <v>438</v>
      </c>
      <c r="AF26" s="214">
        <v>6.27</v>
      </c>
      <c r="AG26" s="214">
        <v>-99</v>
      </c>
      <c r="AH26" s="212" t="s">
        <v>224</v>
      </c>
      <c r="AI26" s="212" t="s">
        <v>261</v>
      </c>
      <c r="AJ26" s="212" t="s">
        <v>265</v>
      </c>
      <c r="AK26" s="212" t="s">
        <v>531</v>
      </c>
      <c r="AL26" s="212" t="s">
        <v>374</v>
      </c>
      <c r="AM26" s="214" t="b">
        <v>1</v>
      </c>
      <c r="AN26" s="214" t="b">
        <v>0</v>
      </c>
      <c r="AO26" s="212" t="s">
        <v>266</v>
      </c>
      <c r="AP26" s="212" t="s">
        <v>267</v>
      </c>
      <c r="AQ26" s="214">
        <v>30.069040000000005</v>
      </c>
      <c r="AR26" s="214" t="b">
        <v>1</v>
      </c>
      <c r="AS26" s="212" t="s">
        <v>300</v>
      </c>
      <c r="AU26" s="222" t="s">
        <v>819</v>
      </c>
    </row>
    <row r="27" spans="1:47" s="219" customFormat="1" x14ac:dyDescent="0.25">
      <c r="A27" s="245">
        <f t="shared" si="7"/>
        <v>122</v>
      </c>
      <c r="B27" s="246" t="str">
        <f t="shared" si="0"/>
        <v>Oil Field - Well</v>
      </c>
      <c r="C27" s="246" t="str">
        <f ca="1">IF(B27="","",VLOOKUP(D27,'Species Data'!B:E,4,FALSE))</f>
        <v>methep2</v>
      </c>
      <c r="D27" s="246">
        <f t="shared" ca="1" si="1"/>
        <v>193</v>
      </c>
      <c r="E27" s="246">
        <f t="shared" ca="1" si="2"/>
        <v>2.98E-2</v>
      </c>
      <c r="F27" s="246" t="str">
        <f t="shared" ca="1" si="3"/>
        <v>2-methylheptane</v>
      </c>
      <c r="G27" s="246">
        <f t="shared" ca="1" si="4"/>
        <v>114.22852</v>
      </c>
      <c r="H27" s="204">
        <f ca="1">IF(G27="","",IF(VLOOKUP(Well_Head!F27,'Species Data'!D:F,3,FALSE)=0,"X",IF(G27&lt;44.1,2,1)))</f>
        <v>1</v>
      </c>
      <c r="I27" s="204">
        <f t="shared" ca="1" si="5"/>
        <v>0.21534470764353159</v>
      </c>
      <c r="J27" s="247">
        <f ca="1">IF(I27="","",IF(COUNTIF($D$12:D27,D27)=1,IF(H27=1,I27*H27,IF(H27="X","X",0)),0))</f>
        <v>0.21534470764353159</v>
      </c>
      <c r="K27" s="248">
        <f t="shared" ca="1" si="6"/>
        <v>0.45242763457218493</v>
      </c>
      <c r="L27" s="238" t="s">
        <v>615</v>
      </c>
      <c r="M27" s="212" t="s">
        <v>616</v>
      </c>
      <c r="N27" s="212" t="s">
        <v>260</v>
      </c>
      <c r="O27" s="213">
        <v>32589</v>
      </c>
      <c r="P27" s="212" t="s">
        <v>617</v>
      </c>
      <c r="Q27" s="214">
        <v>100</v>
      </c>
      <c r="R27" s="212" t="s">
        <v>531</v>
      </c>
      <c r="S27" s="212" t="s">
        <v>531</v>
      </c>
      <c r="T27" s="212" t="s">
        <v>531</v>
      </c>
      <c r="U27" s="212" t="s">
        <v>531</v>
      </c>
      <c r="V27" s="214" t="b">
        <v>1</v>
      </c>
      <c r="W27" s="225"/>
      <c r="X27" s="225"/>
      <c r="Y27" s="225"/>
      <c r="Z27" s="225"/>
      <c r="AA27" s="212" t="s">
        <v>531</v>
      </c>
      <c r="AB27" s="212" t="s">
        <v>531</v>
      </c>
      <c r="AC27" s="212" t="s">
        <v>618</v>
      </c>
      <c r="AD27" s="214">
        <v>1.066894</v>
      </c>
      <c r="AE27" s="214">
        <v>449</v>
      </c>
      <c r="AF27" s="214">
        <v>0.95</v>
      </c>
      <c r="AG27" s="214">
        <v>-99</v>
      </c>
      <c r="AH27" s="212" t="s">
        <v>224</v>
      </c>
      <c r="AI27" s="212" t="s">
        <v>261</v>
      </c>
      <c r="AJ27" s="212" t="s">
        <v>337</v>
      </c>
      <c r="AK27" s="212" t="s">
        <v>531</v>
      </c>
      <c r="AL27" s="212" t="s">
        <v>394</v>
      </c>
      <c r="AM27" s="214" t="b">
        <v>1</v>
      </c>
      <c r="AN27" s="214" t="b">
        <v>1</v>
      </c>
      <c r="AO27" s="212" t="s">
        <v>338</v>
      </c>
      <c r="AP27" s="212" t="s">
        <v>339</v>
      </c>
      <c r="AQ27" s="214">
        <v>106.16500000000001</v>
      </c>
      <c r="AR27" s="214" t="b">
        <v>0</v>
      </c>
      <c r="AS27" s="212" t="s">
        <v>300</v>
      </c>
      <c r="AU27" s="222" t="s">
        <v>819</v>
      </c>
    </row>
    <row r="28" spans="1:47" s="219" customFormat="1" x14ac:dyDescent="0.25">
      <c r="A28" s="245">
        <f t="shared" si="7"/>
        <v>123</v>
      </c>
      <c r="B28" s="246" t="str">
        <f t="shared" si="0"/>
        <v>Oil Field - Well</v>
      </c>
      <c r="C28" s="246" t="str">
        <f ca="1">IF(B28="","",VLOOKUP(D28,'Species Data'!B:E,4,FALSE))</f>
        <v>twomethex</v>
      </c>
      <c r="D28" s="246">
        <f t="shared" ca="1" si="1"/>
        <v>194</v>
      </c>
      <c r="E28" s="246">
        <f t="shared" ca="1" si="2"/>
        <v>0.63990000000000002</v>
      </c>
      <c r="F28" s="246" t="str">
        <f t="shared" ca="1" si="3"/>
        <v>2-methylhexane</v>
      </c>
      <c r="G28" s="246">
        <f t="shared" ca="1" si="4"/>
        <v>100.20194000000001</v>
      </c>
      <c r="H28" s="204">
        <f ca="1">IF(G28="","",IF(VLOOKUP(Well_Head!F28,'Species Data'!D:F,3,FALSE)=0,"X",IF(G28&lt;44.1,2,1)))</f>
        <v>1</v>
      </c>
      <c r="I28" s="204">
        <f t="shared" ca="1" si="5"/>
        <v>0.3337892968535851</v>
      </c>
      <c r="J28" s="247">
        <f ca="1">IF(I28="","",IF(COUNTIF($D$12:D28,D28)=1,IF(H28=1,I28*H28,IF(H28="X","X",0)),0))</f>
        <v>0.3337892968535851</v>
      </c>
      <c r="K28" s="248">
        <f t="shared" ca="1" si="6"/>
        <v>0.70127333833047878</v>
      </c>
      <c r="L28" s="238" t="s">
        <v>615</v>
      </c>
      <c r="M28" s="212" t="s">
        <v>616</v>
      </c>
      <c r="N28" s="212" t="s">
        <v>260</v>
      </c>
      <c r="O28" s="213">
        <v>32589</v>
      </c>
      <c r="P28" s="212" t="s">
        <v>617</v>
      </c>
      <c r="Q28" s="214">
        <v>100</v>
      </c>
      <c r="R28" s="212" t="s">
        <v>531</v>
      </c>
      <c r="S28" s="212" t="s">
        <v>531</v>
      </c>
      <c r="T28" s="212" t="s">
        <v>531</v>
      </c>
      <c r="U28" s="212" t="s">
        <v>531</v>
      </c>
      <c r="V28" s="214" t="b">
        <v>1</v>
      </c>
      <c r="W28" s="225"/>
      <c r="X28" s="225"/>
      <c r="Y28" s="225"/>
      <c r="Z28" s="225"/>
      <c r="AA28" s="212" t="s">
        <v>531</v>
      </c>
      <c r="AB28" s="212" t="s">
        <v>531</v>
      </c>
      <c r="AC28" s="212" t="s">
        <v>618</v>
      </c>
      <c r="AD28" s="214">
        <v>1.066894</v>
      </c>
      <c r="AE28" s="214">
        <v>450</v>
      </c>
      <c r="AF28" s="214">
        <v>0.47</v>
      </c>
      <c r="AG28" s="214">
        <v>-99</v>
      </c>
      <c r="AH28" s="212" t="s">
        <v>224</v>
      </c>
      <c r="AI28" s="212" t="s">
        <v>261</v>
      </c>
      <c r="AJ28" s="212" t="s">
        <v>340</v>
      </c>
      <c r="AK28" s="212" t="s">
        <v>531</v>
      </c>
      <c r="AL28" s="212" t="s">
        <v>621</v>
      </c>
      <c r="AM28" s="214" t="b">
        <v>0</v>
      </c>
      <c r="AN28" s="214" t="b">
        <v>0</v>
      </c>
      <c r="AO28" s="212" t="s">
        <v>341</v>
      </c>
      <c r="AP28" s="212" t="s">
        <v>531</v>
      </c>
      <c r="AQ28" s="214">
        <v>112.21263999999999</v>
      </c>
      <c r="AR28" s="214" t="b">
        <v>0</v>
      </c>
      <c r="AS28" s="212" t="s">
        <v>300</v>
      </c>
      <c r="AU28" s="222" t="s">
        <v>819</v>
      </c>
    </row>
    <row r="29" spans="1:47" s="219" customFormat="1" ht="15" customHeight="1" x14ac:dyDescent="0.25">
      <c r="A29" s="245">
        <f t="shared" si="7"/>
        <v>124</v>
      </c>
      <c r="B29" s="246" t="str">
        <f t="shared" si="0"/>
        <v>Oil Field - Well</v>
      </c>
      <c r="C29" s="246" t="str">
        <f ca="1">IF(B29="","",VLOOKUP(D29,'Species Data'!B:E,4,FALSE))</f>
        <v>twometpen</v>
      </c>
      <c r="D29" s="246">
        <f t="shared" ca="1" si="1"/>
        <v>199</v>
      </c>
      <c r="E29" s="246">
        <f t="shared" ca="1" si="2"/>
        <v>2.0299999999999999E-2</v>
      </c>
      <c r="F29" s="246" t="str">
        <f t="shared" ca="1" si="3"/>
        <v>2-methylpentane (isohexane)</v>
      </c>
      <c r="G29" s="246">
        <f t="shared" ca="1" si="4"/>
        <v>86.175359999999998</v>
      </c>
      <c r="H29" s="204">
        <f ca="1">IF(G29="","",IF(VLOOKUP(Well_Head!F29,'Species Data'!D:F,3,FALSE)=0,"X",IF(G29&lt;44.1,2,1)))</f>
        <v>1</v>
      </c>
      <c r="I29" s="204">
        <f t="shared" ca="1" si="5"/>
        <v>0.797867641838229</v>
      </c>
      <c r="J29" s="247">
        <f ca="1">IF(I29="","",IF(COUNTIF($D$12:D29,D29)=1,IF(H29=1,I29*H29,IF(H29="X","X",0)),0))</f>
        <v>0.797867641838229</v>
      </c>
      <c r="K29" s="248">
        <f t="shared" ca="1" si="6"/>
        <v>1.6762769507950808</v>
      </c>
      <c r="L29" s="238" t="s">
        <v>615</v>
      </c>
      <c r="M29" s="212" t="s">
        <v>616</v>
      </c>
      <c r="N29" s="212" t="s">
        <v>260</v>
      </c>
      <c r="O29" s="213">
        <v>32589</v>
      </c>
      <c r="P29" s="212" t="s">
        <v>617</v>
      </c>
      <c r="Q29" s="214">
        <v>100</v>
      </c>
      <c r="R29" s="212" t="s">
        <v>531</v>
      </c>
      <c r="S29" s="212" t="s">
        <v>531</v>
      </c>
      <c r="T29" s="212" t="s">
        <v>531</v>
      </c>
      <c r="U29" s="212" t="s">
        <v>531</v>
      </c>
      <c r="V29" s="214" t="b">
        <v>1</v>
      </c>
      <c r="W29" s="225"/>
      <c r="X29" s="225"/>
      <c r="Y29" s="225"/>
      <c r="Z29" s="225"/>
      <c r="AA29" s="212" t="s">
        <v>531</v>
      </c>
      <c r="AB29" s="212" t="s">
        <v>531</v>
      </c>
      <c r="AC29" s="212" t="s">
        <v>618</v>
      </c>
      <c r="AD29" s="214">
        <v>1.066894</v>
      </c>
      <c r="AE29" s="214">
        <v>491</v>
      </c>
      <c r="AF29" s="214">
        <v>5.3599999999999994</v>
      </c>
      <c r="AG29" s="214">
        <v>-99</v>
      </c>
      <c r="AH29" s="212" t="s">
        <v>224</v>
      </c>
      <c r="AI29" s="212" t="s">
        <v>261</v>
      </c>
      <c r="AJ29" s="212" t="s">
        <v>268</v>
      </c>
      <c r="AK29" s="212" t="s">
        <v>531</v>
      </c>
      <c r="AL29" s="212" t="s">
        <v>375</v>
      </c>
      <c r="AM29" s="214" t="b">
        <v>1</v>
      </c>
      <c r="AN29" s="214" t="b">
        <v>0</v>
      </c>
      <c r="AO29" s="212" t="s">
        <v>269</v>
      </c>
      <c r="AP29" s="212" t="s">
        <v>270</v>
      </c>
      <c r="AQ29" s="214">
        <v>58.122199999999992</v>
      </c>
      <c r="AR29" s="214" t="b">
        <v>0</v>
      </c>
      <c r="AS29" s="212" t="s">
        <v>300</v>
      </c>
      <c r="AU29" s="222" t="s">
        <v>819</v>
      </c>
    </row>
    <row r="30" spans="1:47" s="219" customFormat="1" ht="15" customHeight="1" x14ac:dyDescent="0.25">
      <c r="A30" s="245">
        <f t="shared" si="7"/>
        <v>125</v>
      </c>
      <c r="B30" s="246" t="str">
        <f t="shared" si="0"/>
        <v>Oil Field - Well</v>
      </c>
      <c r="C30" s="246" t="str">
        <f ca="1">IF(B30="","",VLOOKUP(D30,'Species Data'!B:E,4,FALSE))</f>
        <v>ethylhexane</v>
      </c>
      <c r="D30" s="246">
        <f t="shared" ca="1" si="1"/>
        <v>226</v>
      </c>
      <c r="E30" s="246">
        <f t="shared" ca="1" si="2"/>
        <v>0.1108</v>
      </c>
      <c r="F30" s="246" t="str">
        <f t="shared" ca="1" si="3"/>
        <v>3-ethylhexane</v>
      </c>
      <c r="G30" s="246">
        <f t="shared" ca="1" si="4"/>
        <v>114.22852</v>
      </c>
      <c r="H30" s="204" t="str">
        <f ca="1">IF(G30="","",IF(VLOOKUP(Well_Head!F30,'Species Data'!D:F,3,FALSE)=0,"X",IF(G30&lt;44.1,2,1)))</f>
        <v>X</v>
      </c>
      <c r="I30" s="204">
        <f t="shared" ca="1" si="5"/>
        <v>0.19565579469041575</v>
      </c>
      <c r="J30" s="247" t="str">
        <f ca="1">IF(I30="","",IF(COUNTIF($D$12:D30,D30)=1,IF(H30=1,I30*H30,IF(H30="X","X",0)),0))</f>
        <v>X</v>
      </c>
      <c r="K30" s="248">
        <f t="shared" ca="1" si="6"/>
        <v>0</v>
      </c>
      <c r="L30" s="238" t="s">
        <v>615</v>
      </c>
      <c r="M30" s="212" t="s">
        <v>616</v>
      </c>
      <c r="N30" s="212" t="s">
        <v>260</v>
      </c>
      <c r="O30" s="213">
        <v>32589</v>
      </c>
      <c r="P30" s="212" t="s">
        <v>617</v>
      </c>
      <c r="Q30" s="214">
        <v>100</v>
      </c>
      <c r="R30" s="212" t="s">
        <v>531</v>
      </c>
      <c r="S30" s="212" t="s">
        <v>531</v>
      </c>
      <c r="T30" s="212" t="s">
        <v>531</v>
      </c>
      <c r="U30" s="212" t="s">
        <v>531</v>
      </c>
      <c r="V30" s="214" t="b">
        <v>1</v>
      </c>
      <c r="W30" s="225"/>
      <c r="X30" s="225"/>
      <c r="Y30" s="225"/>
      <c r="Z30" s="225"/>
      <c r="AA30" s="212" t="s">
        <v>531</v>
      </c>
      <c r="AB30" s="212" t="s">
        <v>531</v>
      </c>
      <c r="AC30" s="212" t="s">
        <v>618</v>
      </c>
      <c r="AD30" s="214">
        <v>1.066894</v>
      </c>
      <c r="AE30" s="214">
        <v>508</v>
      </c>
      <c r="AF30" s="214">
        <v>4.6199999999999992</v>
      </c>
      <c r="AG30" s="214">
        <v>-99</v>
      </c>
      <c r="AH30" s="212" t="s">
        <v>224</v>
      </c>
      <c r="AI30" s="212" t="s">
        <v>261</v>
      </c>
      <c r="AJ30" s="212" t="s">
        <v>342</v>
      </c>
      <c r="AK30" s="212" t="s">
        <v>531</v>
      </c>
      <c r="AL30" s="212" t="s">
        <v>395</v>
      </c>
      <c r="AM30" s="214" t="b">
        <v>1</v>
      </c>
      <c r="AN30" s="214" t="b">
        <v>0</v>
      </c>
      <c r="AO30" s="212" t="s">
        <v>343</v>
      </c>
      <c r="AP30" s="212" t="s">
        <v>344</v>
      </c>
      <c r="AQ30" s="214">
        <v>72.148780000000002</v>
      </c>
      <c r="AR30" s="214" t="b">
        <v>0</v>
      </c>
      <c r="AS30" s="212" t="s">
        <v>300</v>
      </c>
      <c r="AU30" s="222" t="s">
        <v>819</v>
      </c>
    </row>
    <row r="31" spans="1:47" s="219" customFormat="1" ht="15" customHeight="1" x14ac:dyDescent="0.25">
      <c r="A31" s="245">
        <f t="shared" si="7"/>
        <v>126</v>
      </c>
      <c r="B31" s="246" t="str">
        <f t="shared" si="0"/>
        <v>Oil Field - Well</v>
      </c>
      <c r="C31" s="246" t="str">
        <f ca="1">IF(B31="","",VLOOKUP(D31,'Species Data'!B:E,4,FALSE))</f>
        <v>threemethex</v>
      </c>
      <c r="D31" s="246">
        <f t="shared" ca="1" si="1"/>
        <v>245</v>
      </c>
      <c r="E31" s="246">
        <f t="shared" ca="1" si="2"/>
        <v>2.23E-2</v>
      </c>
      <c r="F31" s="246" t="str">
        <f t="shared" ca="1" si="3"/>
        <v>3-methylhexane</v>
      </c>
      <c r="G31" s="246">
        <f t="shared" ca="1" si="4"/>
        <v>100.20194000000001</v>
      </c>
      <c r="H31" s="204">
        <f ca="1">IF(G31="","",IF(VLOOKUP(Well_Head!F31,'Species Data'!D:F,3,FALSE)=0,"X",IF(G31&lt;44.1,2,1)))</f>
        <v>1</v>
      </c>
      <c r="I31" s="204">
        <f t="shared" ca="1" si="5"/>
        <v>0.3128559379350353</v>
      </c>
      <c r="J31" s="247">
        <f ca="1">IF(I31="","",IF(COUNTIF($D$12:D31,D31)=1,IF(H31=1,I31*H31,IF(H31="X","X",0)),0))</f>
        <v>0.3128559379350353</v>
      </c>
      <c r="K31" s="248">
        <f t="shared" ca="1" si="6"/>
        <v>0.657293478491771</v>
      </c>
      <c r="L31" s="238" t="s">
        <v>615</v>
      </c>
      <c r="M31" s="212" t="s">
        <v>616</v>
      </c>
      <c r="N31" s="212" t="s">
        <v>260</v>
      </c>
      <c r="O31" s="213">
        <v>32589</v>
      </c>
      <c r="P31" s="212" t="s">
        <v>617</v>
      </c>
      <c r="Q31" s="214">
        <v>100</v>
      </c>
      <c r="R31" s="212" t="s">
        <v>531</v>
      </c>
      <c r="S31" s="212" t="s">
        <v>531</v>
      </c>
      <c r="T31" s="212" t="s">
        <v>531</v>
      </c>
      <c r="U31" s="212" t="s">
        <v>531</v>
      </c>
      <c r="V31" s="214" t="b">
        <v>1</v>
      </c>
      <c r="W31" s="225"/>
      <c r="X31" s="225"/>
      <c r="Y31" s="225"/>
      <c r="Z31" s="225"/>
      <c r="AA31" s="212" t="s">
        <v>531</v>
      </c>
      <c r="AB31" s="212" t="s">
        <v>531</v>
      </c>
      <c r="AC31" s="212" t="s">
        <v>618</v>
      </c>
      <c r="AD31" s="214">
        <v>1.066894</v>
      </c>
      <c r="AE31" s="214">
        <v>522</v>
      </c>
      <c r="AF31" s="214">
        <v>3.6199999999999997</v>
      </c>
      <c r="AG31" s="214">
        <v>-99</v>
      </c>
      <c r="AH31" s="212" t="s">
        <v>224</v>
      </c>
      <c r="AI31" s="212" t="s">
        <v>261</v>
      </c>
      <c r="AJ31" s="212" t="s">
        <v>345</v>
      </c>
      <c r="AK31" s="212" t="s">
        <v>531</v>
      </c>
      <c r="AL31" s="212" t="s">
        <v>622</v>
      </c>
      <c r="AM31" s="214" t="b">
        <v>1</v>
      </c>
      <c r="AN31" s="214" t="b">
        <v>1</v>
      </c>
      <c r="AO31" s="212" t="s">
        <v>346</v>
      </c>
      <c r="AP31" s="212" t="s">
        <v>347</v>
      </c>
      <c r="AQ31" s="214">
        <v>106.16500000000001</v>
      </c>
      <c r="AR31" s="214" t="b">
        <v>0</v>
      </c>
      <c r="AS31" s="212" t="s">
        <v>300</v>
      </c>
      <c r="AU31" s="222" t="s">
        <v>819</v>
      </c>
    </row>
    <row r="32" spans="1:47" s="219" customFormat="1" ht="15" customHeight="1" x14ac:dyDescent="0.25">
      <c r="A32" s="245">
        <f t="shared" si="7"/>
        <v>127</v>
      </c>
      <c r="B32" s="246" t="str">
        <f t="shared" si="0"/>
        <v>Oil Field - Well</v>
      </c>
      <c r="C32" s="246" t="str">
        <f ca="1">IF(B32="","",VLOOKUP(D32,'Species Data'!B:E,4,FALSE))</f>
        <v>threemetpen</v>
      </c>
      <c r="D32" s="246">
        <f t="shared" ca="1" si="1"/>
        <v>248</v>
      </c>
      <c r="E32" s="246">
        <f t="shared" ca="1" si="2"/>
        <v>7.3700000000000002E-2</v>
      </c>
      <c r="F32" s="246" t="str">
        <f t="shared" ca="1" si="3"/>
        <v>3-methylpentane</v>
      </c>
      <c r="G32" s="246">
        <f t="shared" ca="1" si="4"/>
        <v>86.175359999999998</v>
      </c>
      <c r="H32" s="204">
        <f ca="1">IF(G32="","",IF(VLOOKUP(Well_Head!F32,'Species Data'!D:F,3,FALSE)=0,"X",IF(G32&lt;44.1,2,1)))</f>
        <v>1</v>
      </c>
      <c r="I32" s="204">
        <f t="shared" ca="1" si="5"/>
        <v>0.69705640751338704</v>
      </c>
      <c r="J32" s="247">
        <f ca="1">IF(I32="","",IF(COUNTIF($D$12:D32,D32)=1,IF(H32=1,I32*H32,IF(H32="X","X",0)),0))</f>
        <v>0.69705640751338704</v>
      </c>
      <c r="K32" s="248">
        <f t="shared" ca="1" si="6"/>
        <v>1.4644779761047431</v>
      </c>
      <c r="L32" s="238" t="s">
        <v>615</v>
      </c>
      <c r="M32" s="212" t="s">
        <v>616</v>
      </c>
      <c r="N32" s="212" t="s">
        <v>260</v>
      </c>
      <c r="O32" s="213">
        <v>32589</v>
      </c>
      <c r="P32" s="212" t="s">
        <v>617</v>
      </c>
      <c r="Q32" s="214">
        <v>100</v>
      </c>
      <c r="R32" s="212" t="s">
        <v>531</v>
      </c>
      <c r="S32" s="212" t="s">
        <v>531</v>
      </c>
      <c r="T32" s="212" t="s">
        <v>531</v>
      </c>
      <c r="U32" s="212" t="s">
        <v>531</v>
      </c>
      <c r="V32" s="214" t="b">
        <v>1</v>
      </c>
      <c r="W32" s="225"/>
      <c r="X32" s="225"/>
      <c r="Y32" s="225"/>
      <c r="Z32" s="225"/>
      <c r="AA32" s="212" t="s">
        <v>531</v>
      </c>
      <c r="AB32" s="212" t="s">
        <v>531</v>
      </c>
      <c r="AC32" s="212" t="s">
        <v>618</v>
      </c>
      <c r="AD32" s="214">
        <v>1.066894</v>
      </c>
      <c r="AE32" s="214">
        <v>550</v>
      </c>
      <c r="AF32" s="214">
        <v>1.2699999999999998</v>
      </c>
      <c r="AG32" s="214">
        <v>-99</v>
      </c>
      <c r="AH32" s="212" t="s">
        <v>224</v>
      </c>
      <c r="AI32" s="212" t="s">
        <v>261</v>
      </c>
      <c r="AJ32" s="212" t="s">
        <v>348</v>
      </c>
      <c r="AK32" s="212" t="s">
        <v>531</v>
      </c>
      <c r="AL32" s="212" t="s">
        <v>396</v>
      </c>
      <c r="AM32" s="214" t="b">
        <v>1</v>
      </c>
      <c r="AN32" s="214" t="b">
        <v>0</v>
      </c>
      <c r="AO32" s="212" t="s">
        <v>349</v>
      </c>
      <c r="AP32" s="212" t="s">
        <v>350</v>
      </c>
      <c r="AQ32" s="214">
        <v>98.186059999999998</v>
      </c>
      <c r="AR32" s="214" t="b">
        <v>0</v>
      </c>
      <c r="AS32" s="212" t="s">
        <v>300</v>
      </c>
      <c r="AU32" s="222" t="s">
        <v>819</v>
      </c>
    </row>
    <row r="33" spans="1:47" s="219" customFormat="1" x14ac:dyDescent="0.25">
      <c r="A33" s="245">
        <f t="shared" si="7"/>
        <v>128</v>
      </c>
      <c r="B33" s="246" t="str">
        <f t="shared" si="0"/>
        <v>Oil Field - Well</v>
      </c>
      <c r="C33" s="246" t="str">
        <f ca="1">IF(B33="","",VLOOKUP(D33,'Species Data'!B:E,4,FALSE))</f>
        <v>benzene</v>
      </c>
      <c r="D33" s="246">
        <f t="shared" ca="1" si="1"/>
        <v>302</v>
      </c>
      <c r="E33" s="246">
        <f t="shared" ca="1" si="2"/>
        <v>1.37E-2</v>
      </c>
      <c r="F33" s="246" t="str">
        <f t="shared" ca="1" si="3"/>
        <v>Benzene</v>
      </c>
      <c r="G33" s="246">
        <f t="shared" ca="1" si="4"/>
        <v>78.111840000000001</v>
      </c>
      <c r="H33" s="204">
        <f ca="1">IF(G33="","",IF(VLOOKUP(Well_Head!F33,'Species Data'!D:F,3,FALSE)=0,"X",IF(G33&lt;44.1,2,1)))</f>
        <v>1</v>
      </c>
      <c r="I33" s="204">
        <f t="shared" ca="1" si="5"/>
        <v>0.3538559880462076</v>
      </c>
      <c r="J33" s="247">
        <f ca="1">IF(I33="","",IF(COUNTIF($D$12:D33,D33)=1,IF(H33=1,I33*H33,IF(H33="X","X",0)),0))</f>
        <v>0.3538559880462076</v>
      </c>
      <c r="K33" s="248">
        <f t="shared" ca="1" si="6"/>
        <v>0.74343237594656475</v>
      </c>
      <c r="L33" s="238" t="s">
        <v>615</v>
      </c>
      <c r="M33" s="212" t="s">
        <v>616</v>
      </c>
      <c r="N33" s="212" t="s">
        <v>260</v>
      </c>
      <c r="O33" s="213">
        <v>32589</v>
      </c>
      <c r="P33" s="212" t="s">
        <v>617</v>
      </c>
      <c r="Q33" s="214">
        <v>100</v>
      </c>
      <c r="R33" s="212" t="s">
        <v>531</v>
      </c>
      <c r="S33" s="212" t="s">
        <v>531</v>
      </c>
      <c r="T33" s="212" t="s">
        <v>531</v>
      </c>
      <c r="U33" s="212" t="s">
        <v>531</v>
      </c>
      <c r="V33" s="214" t="b">
        <v>1</v>
      </c>
      <c r="W33" s="225"/>
      <c r="X33" s="225"/>
      <c r="Y33" s="225"/>
      <c r="Z33" s="225"/>
      <c r="AA33" s="212" t="s">
        <v>531</v>
      </c>
      <c r="AB33" s="212" t="s">
        <v>531</v>
      </c>
      <c r="AC33" s="212" t="s">
        <v>618</v>
      </c>
      <c r="AD33" s="214">
        <v>1.066894</v>
      </c>
      <c r="AE33" s="214">
        <v>551</v>
      </c>
      <c r="AF33" s="214">
        <v>1.45</v>
      </c>
      <c r="AG33" s="214">
        <v>-99</v>
      </c>
      <c r="AH33" s="212" t="s">
        <v>224</v>
      </c>
      <c r="AI33" s="212" t="s">
        <v>261</v>
      </c>
      <c r="AJ33" s="212" t="s">
        <v>351</v>
      </c>
      <c r="AK33" s="212" t="s">
        <v>531</v>
      </c>
      <c r="AL33" s="212" t="s">
        <v>397</v>
      </c>
      <c r="AM33" s="214" t="b">
        <v>1</v>
      </c>
      <c r="AN33" s="214" t="b">
        <v>0</v>
      </c>
      <c r="AO33" s="212" t="s">
        <v>352</v>
      </c>
      <c r="AP33" s="212" t="s">
        <v>353</v>
      </c>
      <c r="AQ33" s="214">
        <v>84.159480000000002</v>
      </c>
      <c r="AR33" s="214" t="b">
        <v>0</v>
      </c>
      <c r="AS33" s="212" t="s">
        <v>300</v>
      </c>
      <c r="AU33" s="222" t="s">
        <v>819</v>
      </c>
    </row>
    <row r="34" spans="1:47" s="219" customFormat="1" ht="15" customHeight="1" x14ac:dyDescent="0.25">
      <c r="A34" s="245">
        <f t="shared" si="7"/>
        <v>129</v>
      </c>
      <c r="B34" s="246" t="str">
        <f t="shared" si="0"/>
        <v>Oil Field - Well</v>
      </c>
      <c r="C34" s="246" t="str">
        <f ca="1">IF(B34="","",VLOOKUP(D34,'Species Data'!B:E,4,FALSE))</f>
        <v>cyclohexane</v>
      </c>
      <c r="D34" s="246">
        <f t="shared" ca="1" si="1"/>
        <v>385</v>
      </c>
      <c r="E34" s="246">
        <f t="shared" ca="1" si="2"/>
        <v>0.13220000000000001</v>
      </c>
      <c r="F34" s="246" t="str">
        <f t="shared" ca="1" si="3"/>
        <v>Cyclohexane</v>
      </c>
      <c r="G34" s="246">
        <f t="shared" ca="1" si="4"/>
        <v>84.159480000000002</v>
      </c>
      <c r="H34" s="204">
        <f ca="1">IF(G34="","",IF(VLOOKUP(Well_Head!F34,'Species Data'!D:F,3,FALSE)=0,"X",IF(G34&lt;44.1,2,1)))</f>
        <v>1</v>
      </c>
      <c r="I34" s="204">
        <f t="shared" ca="1" si="5"/>
        <v>7.8433429196413454E-2</v>
      </c>
      <c r="J34" s="247">
        <f ca="1">IF(I34="","",IF(COUNTIF($D$12:D34,D34)=1,IF(H34=1,I34*H34,IF(H34="X","X",0)),0))</f>
        <v>7.8433429196413454E-2</v>
      </c>
      <c r="K34" s="248">
        <f t="shared" ca="1" si="6"/>
        <v>0.16478441114726036</v>
      </c>
      <c r="L34" s="238" t="s">
        <v>615</v>
      </c>
      <c r="M34" s="212" t="s">
        <v>616</v>
      </c>
      <c r="N34" s="212" t="s">
        <v>260</v>
      </c>
      <c r="O34" s="213">
        <v>32589</v>
      </c>
      <c r="P34" s="212" t="s">
        <v>617</v>
      </c>
      <c r="Q34" s="214">
        <v>100</v>
      </c>
      <c r="R34" s="212" t="s">
        <v>531</v>
      </c>
      <c r="S34" s="212" t="s">
        <v>531</v>
      </c>
      <c r="T34" s="212" t="s">
        <v>531</v>
      </c>
      <c r="U34" s="212" t="s">
        <v>531</v>
      </c>
      <c r="V34" s="214" t="b">
        <v>1</v>
      </c>
      <c r="W34" s="225"/>
      <c r="X34" s="225"/>
      <c r="Y34" s="225"/>
      <c r="Z34" s="225"/>
      <c r="AA34" s="212" t="s">
        <v>531</v>
      </c>
      <c r="AB34" s="212" t="s">
        <v>531</v>
      </c>
      <c r="AC34" s="212" t="s">
        <v>618</v>
      </c>
      <c r="AD34" s="214">
        <v>1.066894</v>
      </c>
      <c r="AE34" s="214">
        <v>592</v>
      </c>
      <c r="AF34" s="214">
        <v>14.739999999999998</v>
      </c>
      <c r="AG34" s="214">
        <v>-99</v>
      </c>
      <c r="AH34" s="212" t="s">
        <v>224</v>
      </c>
      <c r="AI34" s="212" t="s">
        <v>261</v>
      </c>
      <c r="AJ34" s="212" t="s">
        <v>273</v>
      </c>
      <c r="AK34" s="212" t="s">
        <v>531</v>
      </c>
      <c r="AL34" s="212" t="s">
        <v>377</v>
      </c>
      <c r="AM34" s="214" t="b">
        <v>1</v>
      </c>
      <c r="AN34" s="214" t="b">
        <v>0</v>
      </c>
      <c r="AO34" s="212" t="s">
        <v>274</v>
      </c>
      <c r="AP34" s="212" t="s">
        <v>275</v>
      </c>
      <c r="AQ34" s="214">
        <v>58.122199999999992</v>
      </c>
      <c r="AR34" s="214" t="b">
        <v>0</v>
      </c>
      <c r="AS34" s="212" t="s">
        <v>300</v>
      </c>
      <c r="AU34" s="222" t="s">
        <v>819</v>
      </c>
    </row>
    <row r="35" spans="1:47" s="219" customFormat="1" x14ac:dyDescent="0.25">
      <c r="A35" s="245">
        <f t="shared" si="7"/>
        <v>130</v>
      </c>
      <c r="B35" s="246" t="str">
        <f t="shared" si="0"/>
        <v>Oil Field - Well</v>
      </c>
      <c r="C35" s="246" t="str">
        <f ca="1">IF(B35="","",VLOOKUP(D35,'Species Data'!B:E,4,FALSE))</f>
        <v>ethane</v>
      </c>
      <c r="D35" s="246">
        <f t="shared" ca="1" si="1"/>
        <v>438</v>
      </c>
      <c r="E35" s="246">
        <f t="shared" ca="1" si="2"/>
        <v>0.1565</v>
      </c>
      <c r="F35" s="246" t="str">
        <f t="shared" ca="1" si="3"/>
        <v>Ethane</v>
      </c>
      <c r="G35" s="246">
        <f t="shared" ca="1" si="4"/>
        <v>30.069040000000005</v>
      </c>
      <c r="H35" s="204">
        <f ca="1">IF(G35="","",IF(VLOOKUP(Well_Head!F35,'Species Data'!D:F,3,FALSE)=0,"X",IF(G35&lt;44.1,2,1)))</f>
        <v>2</v>
      </c>
      <c r="I35" s="204">
        <f t="shared" ca="1" si="5"/>
        <v>7.2582977601417076</v>
      </c>
      <c r="J35" s="247">
        <f ca="1">IF(I35="","",IF(COUNTIF($D$12:D35,D35)=1,IF(H35=1,I35*H35,IF(H35="X","X",0)),0))</f>
        <v>0</v>
      </c>
      <c r="K35" s="248">
        <f t="shared" ca="1" si="6"/>
        <v>0</v>
      </c>
      <c r="L35" s="238" t="s">
        <v>615</v>
      </c>
      <c r="M35" s="212" t="s">
        <v>616</v>
      </c>
      <c r="N35" s="212" t="s">
        <v>260</v>
      </c>
      <c r="O35" s="213">
        <v>32589</v>
      </c>
      <c r="P35" s="212" t="s">
        <v>617</v>
      </c>
      <c r="Q35" s="214">
        <v>100</v>
      </c>
      <c r="R35" s="212" t="s">
        <v>531</v>
      </c>
      <c r="S35" s="212" t="s">
        <v>531</v>
      </c>
      <c r="T35" s="212" t="s">
        <v>531</v>
      </c>
      <c r="U35" s="212" t="s">
        <v>531</v>
      </c>
      <c r="V35" s="214" t="b">
        <v>1</v>
      </c>
      <c r="W35" s="225"/>
      <c r="X35" s="225"/>
      <c r="Y35" s="225"/>
      <c r="Z35" s="225"/>
      <c r="AA35" s="212" t="s">
        <v>531</v>
      </c>
      <c r="AB35" s="212" t="s">
        <v>531</v>
      </c>
      <c r="AC35" s="212" t="s">
        <v>618</v>
      </c>
      <c r="AD35" s="214">
        <v>1.066894</v>
      </c>
      <c r="AE35" s="214">
        <v>600</v>
      </c>
      <c r="AF35" s="214">
        <v>1.3199999999999998</v>
      </c>
      <c r="AG35" s="214">
        <v>-99</v>
      </c>
      <c r="AH35" s="212" t="s">
        <v>224</v>
      </c>
      <c r="AI35" s="212" t="s">
        <v>261</v>
      </c>
      <c r="AJ35" s="212" t="s">
        <v>276</v>
      </c>
      <c r="AK35" s="212" t="s">
        <v>531</v>
      </c>
      <c r="AL35" s="212" t="s">
        <v>378</v>
      </c>
      <c r="AM35" s="214" t="b">
        <v>1</v>
      </c>
      <c r="AN35" s="214" t="b">
        <v>0</v>
      </c>
      <c r="AO35" s="212" t="s">
        <v>277</v>
      </c>
      <c r="AP35" s="212" t="s">
        <v>278</v>
      </c>
      <c r="AQ35" s="214">
        <v>100.20194000000001</v>
      </c>
      <c r="AR35" s="214" t="b">
        <v>0</v>
      </c>
      <c r="AS35" s="212" t="s">
        <v>300</v>
      </c>
      <c r="AU35" s="222" t="s">
        <v>819</v>
      </c>
    </row>
    <row r="36" spans="1:47" s="219" customFormat="1" x14ac:dyDescent="0.25">
      <c r="A36" s="245">
        <f t="shared" si="7"/>
        <v>131</v>
      </c>
      <c r="B36" s="246" t="str">
        <f t="shared" si="0"/>
        <v>Oil Field - Well</v>
      </c>
      <c r="C36" s="246" t="str">
        <f ca="1">IF(B36="","",VLOOKUP(D36,'Species Data'!B:E,4,FALSE))</f>
        <v>ethyl_benz</v>
      </c>
      <c r="D36" s="246">
        <f t="shared" ca="1" si="1"/>
        <v>449</v>
      </c>
      <c r="E36" s="246">
        <f t="shared" ca="1" si="2"/>
        <v>0.4798</v>
      </c>
      <c r="F36" s="246" t="str">
        <f t="shared" ca="1" si="3"/>
        <v>Ethylbenzene</v>
      </c>
      <c r="G36" s="246">
        <f t="shared" ca="1" si="4"/>
        <v>106.16500000000001</v>
      </c>
      <c r="H36" s="204">
        <f ca="1">IF(G36="","",IF(VLOOKUP(Well_Head!F36,'Species Data'!D:F,3,FALSE)=0,"X",IF(G36&lt;44.1,2,1)))</f>
        <v>1</v>
      </c>
      <c r="I36" s="204">
        <f t="shared" ca="1" si="5"/>
        <v>0.43623386650805906</v>
      </c>
      <c r="J36" s="247">
        <f ca="1">IF(I36="","",IF(COUNTIF($D$12:D36,D36)=1,IF(H36=1,I36*H36,IF(H36="X","X",0)),0))</f>
        <v>0.43623386650805906</v>
      </c>
      <c r="K36" s="248">
        <f t="shared" ca="1" si="6"/>
        <v>0.91650386259421879</v>
      </c>
      <c r="L36" s="238" t="s">
        <v>615</v>
      </c>
      <c r="M36" s="212" t="s">
        <v>616</v>
      </c>
      <c r="N36" s="212" t="s">
        <v>260</v>
      </c>
      <c r="O36" s="213">
        <v>32589</v>
      </c>
      <c r="P36" s="212" t="s">
        <v>617</v>
      </c>
      <c r="Q36" s="214">
        <v>100</v>
      </c>
      <c r="R36" s="212" t="s">
        <v>531</v>
      </c>
      <c r="S36" s="212" t="s">
        <v>531</v>
      </c>
      <c r="T36" s="212" t="s">
        <v>531</v>
      </c>
      <c r="U36" s="212" t="s">
        <v>531</v>
      </c>
      <c r="V36" s="214" t="b">
        <v>1</v>
      </c>
      <c r="W36" s="225"/>
      <c r="X36" s="225"/>
      <c r="Y36" s="225"/>
      <c r="Z36" s="225"/>
      <c r="AA36" s="212" t="s">
        <v>531</v>
      </c>
      <c r="AB36" s="212" t="s">
        <v>531</v>
      </c>
      <c r="AC36" s="212" t="s">
        <v>618</v>
      </c>
      <c r="AD36" s="214">
        <v>1.066894</v>
      </c>
      <c r="AE36" s="214">
        <v>601</v>
      </c>
      <c r="AF36" s="214">
        <v>1.95</v>
      </c>
      <c r="AG36" s="214">
        <v>-99</v>
      </c>
      <c r="AH36" s="212" t="s">
        <v>224</v>
      </c>
      <c r="AI36" s="212" t="s">
        <v>261</v>
      </c>
      <c r="AJ36" s="212" t="s">
        <v>279</v>
      </c>
      <c r="AK36" s="212" t="s">
        <v>531</v>
      </c>
      <c r="AL36" s="212" t="s">
        <v>379</v>
      </c>
      <c r="AM36" s="214" t="b">
        <v>1</v>
      </c>
      <c r="AN36" s="214" t="b">
        <v>1</v>
      </c>
      <c r="AO36" s="212" t="s">
        <v>280</v>
      </c>
      <c r="AP36" s="212" t="s">
        <v>281</v>
      </c>
      <c r="AQ36" s="214">
        <v>86.175359999999998</v>
      </c>
      <c r="AR36" s="214" t="b">
        <v>0</v>
      </c>
      <c r="AS36" s="212" t="s">
        <v>300</v>
      </c>
      <c r="AU36" s="222" t="s">
        <v>819</v>
      </c>
    </row>
    <row r="37" spans="1:47" s="219" customFormat="1" x14ac:dyDescent="0.25">
      <c r="A37" s="245">
        <f t="shared" si="7"/>
        <v>132</v>
      </c>
      <c r="B37" s="246" t="str">
        <f t="shared" si="0"/>
        <v>Oil Field - Well</v>
      </c>
      <c r="C37" s="246" t="str">
        <f ca="1">IF(B37="","",VLOOKUP(D37,'Species Data'!B:E,4,FALSE))</f>
        <v>isobut</v>
      </c>
      <c r="D37" s="246">
        <f t="shared" ca="1" si="1"/>
        <v>491</v>
      </c>
      <c r="E37" s="246">
        <f t="shared" ca="1" si="2"/>
        <v>6.4699999999999994E-2</v>
      </c>
      <c r="F37" s="246" t="str">
        <f t="shared" ca="1" si="3"/>
        <v>Isobutane</v>
      </c>
      <c r="G37" s="246">
        <f t="shared" ca="1" si="4"/>
        <v>58.122199999999992</v>
      </c>
      <c r="H37" s="204">
        <f ca="1">IF(G37="","",IF(VLOOKUP(Well_Head!F37,'Species Data'!D:F,3,FALSE)=0,"X",IF(G37&lt;44.1,2,1)))</f>
        <v>1</v>
      </c>
      <c r="I37" s="204">
        <f t="shared" ca="1" si="5"/>
        <v>2.9024368807561878</v>
      </c>
      <c r="J37" s="247">
        <f ca="1">IF(I37="","",IF(COUNTIF($D$12:D37,D37)=1,IF(H37=1,I37*H37,IF(H37="X","X",0)),0))</f>
        <v>2.9024368807561878</v>
      </c>
      <c r="K37" s="248">
        <f t="shared" ca="1" si="6"/>
        <v>6.0978635919359983</v>
      </c>
      <c r="L37" s="238" t="s">
        <v>615</v>
      </c>
      <c r="M37" s="212" t="s">
        <v>616</v>
      </c>
      <c r="N37" s="212" t="s">
        <v>260</v>
      </c>
      <c r="O37" s="213">
        <v>32589</v>
      </c>
      <c r="P37" s="212" t="s">
        <v>617</v>
      </c>
      <c r="Q37" s="214">
        <v>100</v>
      </c>
      <c r="R37" s="212" t="s">
        <v>531</v>
      </c>
      <c r="S37" s="212" t="s">
        <v>531</v>
      </c>
      <c r="T37" s="212" t="s">
        <v>531</v>
      </c>
      <c r="U37" s="212" t="s">
        <v>531</v>
      </c>
      <c r="V37" s="214" t="b">
        <v>1</v>
      </c>
      <c r="W37" s="225"/>
      <c r="X37" s="225"/>
      <c r="Y37" s="225"/>
      <c r="Z37" s="225"/>
      <c r="AA37" s="212" t="s">
        <v>531</v>
      </c>
      <c r="AB37" s="212" t="s">
        <v>531</v>
      </c>
      <c r="AC37" s="212" t="s">
        <v>618</v>
      </c>
      <c r="AD37" s="214">
        <v>1.066894</v>
      </c>
      <c r="AE37" s="214">
        <v>604</v>
      </c>
      <c r="AF37" s="214">
        <v>1.0199999999999998</v>
      </c>
      <c r="AG37" s="214">
        <v>-99</v>
      </c>
      <c r="AH37" s="212" t="s">
        <v>224</v>
      </c>
      <c r="AI37" s="212" t="s">
        <v>261</v>
      </c>
      <c r="AJ37" s="212" t="s">
        <v>282</v>
      </c>
      <c r="AK37" s="212" t="s">
        <v>531</v>
      </c>
      <c r="AL37" s="212" t="s">
        <v>380</v>
      </c>
      <c r="AM37" s="214" t="b">
        <v>1</v>
      </c>
      <c r="AN37" s="214" t="b">
        <v>0</v>
      </c>
      <c r="AO37" s="212" t="s">
        <v>283</v>
      </c>
      <c r="AP37" s="212" t="s">
        <v>284</v>
      </c>
      <c r="AQ37" s="214">
        <v>114.22852</v>
      </c>
      <c r="AR37" s="214" t="b">
        <v>0</v>
      </c>
      <c r="AS37" s="212" t="s">
        <v>300</v>
      </c>
      <c r="AU37" s="222" t="s">
        <v>819</v>
      </c>
    </row>
    <row r="38" spans="1:47" s="219" customFormat="1" ht="15" customHeight="1" x14ac:dyDescent="0.25">
      <c r="A38" s="245">
        <f t="shared" si="7"/>
        <v>133</v>
      </c>
      <c r="B38" s="246" t="str">
        <f t="shared" si="0"/>
        <v>Oil Field - Well</v>
      </c>
      <c r="C38" s="246" t="str">
        <f ca="1">IF(B38="","",VLOOKUP(D38,'Species Data'!B:E,4,FALSE))</f>
        <v>i_but</v>
      </c>
      <c r="D38" s="246">
        <f t="shared" ca="1" si="1"/>
        <v>499</v>
      </c>
      <c r="E38" s="246">
        <f t="shared" ca="1" si="2"/>
        <v>0.1154</v>
      </c>
      <c r="F38" s="246" t="str">
        <f t="shared" ca="1" si="3"/>
        <v>Isomers of butylbenzene</v>
      </c>
      <c r="G38" s="246">
        <f t="shared" ca="1" si="4"/>
        <v>134.21816000000001</v>
      </c>
      <c r="H38" s="204">
        <f ca="1">IF(G38="","",IF(VLOOKUP(Well_Head!F38,'Species Data'!D:F,3,FALSE)=0,"X",IF(G38&lt;44.1,2,1)))</f>
        <v>1</v>
      </c>
      <c r="I38" s="204">
        <f t="shared" ca="1" si="5"/>
        <v>0.12713348871870844</v>
      </c>
      <c r="J38" s="247">
        <f ca="1">IF(I38="","",IF(COUNTIF($D$12:D38,D38)=1,IF(H38=1,I38*H38,IF(H38="X","X",0)),0))</f>
        <v>0.12713348871870844</v>
      </c>
      <c r="K38" s="248">
        <f t="shared" ca="1" si="6"/>
        <v>0.26710061373380839</v>
      </c>
      <c r="L38" s="238" t="s">
        <v>615</v>
      </c>
      <c r="M38" s="212" t="s">
        <v>616</v>
      </c>
      <c r="N38" s="212" t="s">
        <v>260</v>
      </c>
      <c r="O38" s="213">
        <v>32589</v>
      </c>
      <c r="P38" s="212" t="s">
        <v>617</v>
      </c>
      <c r="Q38" s="214">
        <v>100</v>
      </c>
      <c r="R38" s="212" t="s">
        <v>531</v>
      </c>
      <c r="S38" s="212" t="s">
        <v>531</v>
      </c>
      <c r="T38" s="212" t="s">
        <v>531</v>
      </c>
      <c r="U38" s="212" t="s">
        <v>531</v>
      </c>
      <c r="V38" s="214" t="b">
        <v>1</v>
      </c>
      <c r="W38" s="225"/>
      <c r="X38" s="225"/>
      <c r="Y38" s="225"/>
      <c r="Z38" s="225"/>
      <c r="AA38" s="212" t="s">
        <v>531</v>
      </c>
      <c r="AB38" s="212" t="s">
        <v>531</v>
      </c>
      <c r="AC38" s="212" t="s">
        <v>618</v>
      </c>
      <c r="AD38" s="214">
        <v>1.066894</v>
      </c>
      <c r="AE38" s="214">
        <v>605</v>
      </c>
      <c r="AF38" s="214">
        <v>5.68</v>
      </c>
      <c r="AG38" s="214">
        <v>-99</v>
      </c>
      <c r="AH38" s="212" t="s">
        <v>224</v>
      </c>
      <c r="AI38" s="212" t="s">
        <v>261</v>
      </c>
      <c r="AJ38" s="212" t="s">
        <v>285</v>
      </c>
      <c r="AK38" s="212" t="s">
        <v>531</v>
      </c>
      <c r="AL38" s="212" t="s">
        <v>381</v>
      </c>
      <c r="AM38" s="214" t="b">
        <v>1</v>
      </c>
      <c r="AN38" s="214" t="b">
        <v>0</v>
      </c>
      <c r="AO38" s="212" t="s">
        <v>286</v>
      </c>
      <c r="AP38" s="212" t="s">
        <v>287</v>
      </c>
      <c r="AQ38" s="214">
        <v>72.148780000000002</v>
      </c>
      <c r="AR38" s="214" t="b">
        <v>0</v>
      </c>
      <c r="AS38" s="212" t="s">
        <v>300</v>
      </c>
      <c r="AU38" s="222" t="s">
        <v>819</v>
      </c>
    </row>
    <row r="39" spans="1:47" s="219" customFormat="1" x14ac:dyDescent="0.25">
      <c r="A39" s="245">
        <f t="shared" si="7"/>
        <v>134</v>
      </c>
      <c r="B39" s="246" t="str">
        <f t="shared" si="0"/>
        <v>Oil Field - Well</v>
      </c>
      <c r="C39" s="246" t="str">
        <f ca="1">IF(B39="","",VLOOKUP(D39,'Species Data'!B:E,4,FALSE))</f>
        <v>isopentane</v>
      </c>
      <c r="D39" s="246">
        <f t="shared" ca="1" si="1"/>
        <v>508</v>
      </c>
      <c r="E39" s="246">
        <f t="shared" ca="1" si="2"/>
        <v>0.18029999999999999</v>
      </c>
      <c r="F39" s="246" t="str">
        <f t="shared" ca="1" si="3"/>
        <v>Isopentane (2-Methylbutane)</v>
      </c>
      <c r="G39" s="246">
        <f t="shared" ca="1" si="4"/>
        <v>72.148780000000002</v>
      </c>
      <c r="H39" s="204">
        <f ca="1">IF(G39="","",IF(VLOOKUP(Well_Head!F39,'Species Data'!D:F,3,FALSE)=0,"X",IF(G39&lt;44.1,2,1)))</f>
        <v>1</v>
      </c>
      <c r="I39" s="204">
        <f t="shared" ca="1" si="5"/>
        <v>2.9334258075204316</v>
      </c>
      <c r="J39" s="247">
        <f ca="1">IF(I39="","",IF(COUNTIF($D$12:D39,D39)=1,IF(H39=1,I39*H39,IF(H39="X","X",0)),0))</f>
        <v>2.9334258075204316</v>
      </c>
      <c r="K39" s="248">
        <f t="shared" ca="1" si="6"/>
        <v>6.162969658332047</v>
      </c>
      <c r="L39" s="238" t="s">
        <v>615</v>
      </c>
      <c r="M39" s="212" t="s">
        <v>616</v>
      </c>
      <c r="N39" s="212" t="s">
        <v>260</v>
      </c>
      <c r="O39" s="213">
        <v>32589</v>
      </c>
      <c r="P39" s="212" t="s">
        <v>617</v>
      </c>
      <c r="Q39" s="214">
        <v>100</v>
      </c>
      <c r="R39" s="212" t="s">
        <v>531</v>
      </c>
      <c r="S39" s="212" t="s">
        <v>531</v>
      </c>
      <c r="T39" s="212" t="s">
        <v>531</v>
      </c>
      <c r="U39" s="212" t="s">
        <v>531</v>
      </c>
      <c r="V39" s="214" t="b">
        <v>1</v>
      </c>
      <c r="W39" s="225"/>
      <c r="X39" s="225"/>
      <c r="Y39" s="225"/>
      <c r="Z39" s="225"/>
      <c r="AA39" s="212" t="s">
        <v>531</v>
      </c>
      <c r="AB39" s="212" t="s">
        <v>531</v>
      </c>
      <c r="AC39" s="212" t="s">
        <v>618</v>
      </c>
      <c r="AD39" s="214">
        <v>1.066894</v>
      </c>
      <c r="AE39" s="214">
        <v>620</v>
      </c>
      <c r="AF39" s="214">
        <v>1.3499999999999999</v>
      </c>
      <c r="AG39" s="214">
        <v>-99</v>
      </c>
      <c r="AH39" s="212" t="s">
        <v>224</v>
      </c>
      <c r="AI39" s="212" t="s">
        <v>261</v>
      </c>
      <c r="AJ39" s="212" t="s">
        <v>354</v>
      </c>
      <c r="AK39" s="212" t="s">
        <v>531</v>
      </c>
      <c r="AL39" s="212" t="s">
        <v>398</v>
      </c>
      <c r="AM39" s="214" t="b">
        <v>1</v>
      </c>
      <c r="AN39" s="214" t="b">
        <v>1</v>
      </c>
      <c r="AO39" s="212" t="s">
        <v>355</v>
      </c>
      <c r="AP39" s="212" t="s">
        <v>356</v>
      </c>
      <c r="AQ39" s="214">
        <v>106.16500000000001</v>
      </c>
      <c r="AR39" s="214" t="b">
        <v>0</v>
      </c>
      <c r="AS39" s="212" t="s">
        <v>300</v>
      </c>
      <c r="AU39" s="222" t="s">
        <v>819</v>
      </c>
    </row>
    <row r="40" spans="1:47" s="219" customFormat="1" ht="15" customHeight="1" x14ac:dyDescent="0.25">
      <c r="A40" s="245">
        <f t="shared" si="7"/>
        <v>135</v>
      </c>
      <c r="B40" s="246" t="str">
        <f t="shared" si="0"/>
        <v>Oil Field - Well</v>
      </c>
      <c r="C40" s="246" t="str">
        <f ca="1">IF(B40="","",VLOOKUP(D40,'Species Data'!B:E,4,FALSE))</f>
        <v>isopben</v>
      </c>
      <c r="D40" s="246">
        <f t="shared" ca="1" si="1"/>
        <v>514</v>
      </c>
      <c r="E40" s="246">
        <f t="shared" ca="1" si="2"/>
        <v>7.51E-2</v>
      </c>
      <c r="F40" s="246" t="str">
        <f t="shared" ca="1" si="3"/>
        <v>Isopropylbenzene (cumene)</v>
      </c>
      <c r="G40" s="246">
        <f t="shared" ca="1" si="4"/>
        <v>120.19158</v>
      </c>
      <c r="H40" s="204">
        <f ca="1">IF(G40="","",IF(VLOOKUP(Well_Head!F40,'Species Data'!D:F,3,FALSE)=0,"X",IF(G40&lt;44.1,2,1)))</f>
        <v>1</v>
      </c>
      <c r="I40" s="204">
        <f t="shared" ca="1" si="5"/>
        <v>7.8922318682833947E-2</v>
      </c>
      <c r="J40" s="247">
        <f ca="1">IF(I40="","",IF(COUNTIF($D$12:D40,D40)=1,IF(H40=1,I40*H40,IF(H40="X","X",0)),0))</f>
        <v>7.8922318682833947E-2</v>
      </c>
      <c r="K40" s="248">
        <f t="shared" ca="1" si="6"/>
        <v>0.16581154163181619</v>
      </c>
      <c r="L40" s="238" t="s">
        <v>615</v>
      </c>
      <c r="M40" s="212" t="s">
        <v>616</v>
      </c>
      <c r="N40" s="212" t="s">
        <v>260</v>
      </c>
      <c r="O40" s="213">
        <v>32589</v>
      </c>
      <c r="P40" s="212" t="s">
        <v>617</v>
      </c>
      <c r="Q40" s="214">
        <v>100</v>
      </c>
      <c r="R40" s="212" t="s">
        <v>531</v>
      </c>
      <c r="S40" s="212" t="s">
        <v>531</v>
      </c>
      <c r="T40" s="212" t="s">
        <v>531</v>
      </c>
      <c r="U40" s="212" t="s">
        <v>531</v>
      </c>
      <c r="V40" s="214" t="b">
        <v>1</v>
      </c>
      <c r="W40" s="225"/>
      <c r="X40" s="225"/>
      <c r="Y40" s="225"/>
      <c r="Z40" s="225"/>
      <c r="AA40" s="212" t="s">
        <v>531</v>
      </c>
      <c r="AB40" s="212" t="s">
        <v>531</v>
      </c>
      <c r="AC40" s="212" t="s">
        <v>618</v>
      </c>
      <c r="AD40" s="214">
        <v>1.066894</v>
      </c>
      <c r="AE40" s="214">
        <v>671</v>
      </c>
      <c r="AF40" s="214">
        <v>18.419999999999998</v>
      </c>
      <c r="AG40" s="214">
        <v>-99</v>
      </c>
      <c r="AH40" s="212" t="s">
        <v>224</v>
      </c>
      <c r="AI40" s="212" t="s">
        <v>261</v>
      </c>
      <c r="AJ40" s="212" t="s">
        <v>288</v>
      </c>
      <c r="AK40" s="212" t="s">
        <v>531</v>
      </c>
      <c r="AL40" s="212" t="s">
        <v>382</v>
      </c>
      <c r="AM40" s="214" t="b">
        <v>1</v>
      </c>
      <c r="AN40" s="214" t="b">
        <v>0</v>
      </c>
      <c r="AO40" s="212" t="s">
        <v>289</v>
      </c>
      <c r="AP40" s="212" t="s">
        <v>290</v>
      </c>
      <c r="AQ40" s="214">
        <v>44.095619999999997</v>
      </c>
      <c r="AR40" s="214" t="b">
        <v>0</v>
      </c>
      <c r="AS40" s="212" t="s">
        <v>300</v>
      </c>
      <c r="AU40" s="222" t="s">
        <v>819</v>
      </c>
    </row>
    <row r="41" spans="1:47" s="219" customFormat="1" x14ac:dyDescent="0.25">
      <c r="A41" s="245">
        <f t="shared" si="7"/>
        <v>136</v>
      </c>
      <c r="B41" s="246" t="str">
        <f t="shared" si="0"/>
        <v>Oil Field - Well</v>
      </c>
      <c r="C41" s="246" t="str">
        <f ca="1">IF(B41="","",VLOOKUP(D41,'Species Data'!B:E,4,FALSE))</f>
        <v>M_xylene</v>
      </c>
      <c r="D41" s="246">
        <f t="shared" ca="1" si="1"/>
        <v>524</v>
      </c>
      <c r="E41" s="246">
        <f t="shared" ca="1" si="2"/>
        <v>9.1000000000000004E-3</v>
      </c>
      <c r="F41" s="246" t="str">
        <f t="shared" ca="1" si="3"/>
        <v>M-xylene</v>
      </c>
      <c r="G41" s="246">
        <f t="shared" ca="1" si="4"/>
        <v>106.16500000000001</v>
      </c>
      <c r="H41" s="204">
        <f ca="1">IF(G41="","",IF(VLOOKUP(Well_Head!F41,'Species Data'!D:F,3,FALSE)=0,"X",IF(G41&lt;44.1,2,1)))</f>
        <v>1</v>
      </c>
      <c r="I41" s="204">
        <f t="shared" ca="1" si="5"/>
        <v>0.21376692793735641</v>
      </c>
      <c r="J41" s="247">
        <f ca="1">IF(I41="","",IF(COUNTIF($D$12:D41,D41)=1,IF(H41=1,I41*H41,IF(H41="X","X",0)),0))</f>
        <v>0.21376692793735641</v>
      </c>
      <c r="K41" s="248">
        <f t="shared" ca="1" si="6"/>
        <v>0.44911280437202761</v>
      </c>
      <c r="L41" s="238" t="s">
        <v>615</v>
      </c>
      <c r="M41" s="212" t="s">
        <v>616</v>
      </c>
      <c r="N41" s="212" t="s">
        <v>260</v>
      </c>
      <c r="O41" s="213">
        <v>32589</v>
      </c>
      <c r="P41" s="212" t="s">
        <v>617</v>
      </c>
      <c r="Q41" s="214">
        <v>100</v>
      </c>
      <c r="R41" s="212" t="s">
        <v>531</v>
      </c>
      <c r="S41" s="212" t="s">
        <v>531</v>
      </c>
      <c r="T41" s="212" t="s">
        <v>531</v>
      </c>
      <c r="U41" s="212" t="s">
        <v>531</v>
      </c>
      <c r="V41" s="214" t="b">
        <v>1</v>
      </c>
      <c r="W41" s="225"/>
      <c r="X41" s="225"/>
      <c r="Y41" s="225"/>
      <c r="Z41" s="225"/>
      <c r="AA41" s="212" t="s">
        <v>531</v>
      </c>
      <c r="AB41" s="212" t="s">
        <v>531</v>
      </c>
      <c r="AC41" s="212" t="s">
        <v>618</v>
      </c>
      <c r="AD41" s="214">
        <v>1.066894</v>
      </c>
      <c r="AE41" s="214">
        <v>717</v>
      </c>
      <c r="AF41" s="214">
        <v>0.62</v>
      </c>
      <c r="AG41" s="214">
        <v>-99</v>
      </c>
      <c r="AH41" s="212" t="s">
        <v>224</v>
      </c>
      <c r="AI41" s="212" t="s">
        <v>261</v>
      </c>
      <c r="AJ41" s="212" t="s">
        <v>294</v>
      </c>
      <c r="AK41" s="212" t="s">
        <v>531</v>
      </c>
      <c r="AL41" s="212" t="s">
        <v>383</v>
      </c>
      <c r="AM41" s="214" t="b">
        <v>1</v>
      </c>
      <c r="AN41" s="214" t="b">
        <v>1</v>
      </c>
      <c r="AO41" s="212" t="s">
        <v>295</v>
      </c>
      <c r="AP41" s="212" t="s">
        <v>296</v>
      </c>
      <c r="AQ41" s="214">
        <v>92.138419999999996</v>
      </c>
      <c r="AR41" s="214" t="b">
        <v>0</v>
      </c>
      <c r="AS41" s="212" t="s">
        <v>300</v>
      </c>
      <c r="AT41" s="301" t="s">
        <v>820</v>
      </c>
      <c r="AU41" s="222" t="s">
        <v>819</v>
      </c>
    </row>
    <row r="42" spans="1:47" s="219" customFormat="1" x14ac:dyDescent="0.25">
      <c r="A42" s="245">
        <f t="shared" si="7"/>
        <v>137</v>
      </c>
      <c r="B42" s="246" t="str">
        <f t="shared" si="0"/>
        <v>Oil Field - Well</v>
      </c>
      <c r="C42" s="246" t="str">
        <f ca="1">IF(B42="","",VLOOKUP(D42,'Species Data'!B:E,4,FALSE))</f>
        <v>methane</v>
      </c>
      <c r="D42" s="246">
        <f t="shared" ca="1" si="1"/>
        <v>529</v>
      </c>
      <c r="E42" s="246">
        <f t="shared" ca="1" si="2"/>
        <v>81.399799999999999</v>
      </c>
      <c r="F42" s="246" t="str">
        <f t="shared" ca="1" si="3"/>
        <v>Methane</v>
      </c>
      <c r="G42" s="246">
        <f t="shared" ca="1" si="4"/>
        <v>16.042459999999998</v>
      </c>
      <c r="H42" s="204">
        <f ca="1">IF(G42="","",IF(VLOOKUP(Well_Head!F42,'Species Data'!D:F,3,FALSE)=0,"X",IF(G42&lt;44.1,2,1)))</f>
        <v>2</v>
      </c>
      <c r="I42" s="204">
        <f t="shared" ca="1" si="5"/>
        <v>36.272299888366533</v>
      </c>
      <c r="J42" s="247">
        <f ca="1">IF(I42="","",IF(COUNTIF($D$12:D42,D42)=1,IF(H42=1,I42*H42,IF(H42="X","X",0)),0))</f>
        <v>0</v>
      </c>
      <c r="K42" s="248">
        <f t="shared" ca="1" si="6"/>
        <v>0</v>
      </c>
      <c r="L42" s="238" t="s">
        <v>615</v>
      </c>
      <c r="M42" s="212" t="s">
        <v>616</v>
      </c>
      <c r="N42" s="212" t="s">
        <v>260</v>
      </c>
      <c r="O42" s="213">
        <v>32589</v>
      </c>
      <c r="P42" s="212" t="s">
        <v>617</v>
      </c>
      <c r="Q42" s="214">
        <v>100</v>
      </c>
      <c r="R42" s="212" t="s">
        <v>531</v>
      </c>
      <c r="S42" s="212" t="s">
        <v>531</v>
      </c>
      <c r="T42" s="212" t="s">
        <v>531</v>
      </c>
      <c r="U42" s="212" t="s">
        <v>531</v>
      </c>
      <c r="V42" s="214" t="b">
        <v>1</v>
      </c>
      <c r="W42" s="225"/>
      <c r="X42" s="225"/>
      <c r="Y42" s="225"/>
      <c r="Z42" s="225"/>
      <c r="AA42" s="212" t="s">
        <v>531</v>
      </c>
      <c r="AB42" s="212" t="s">
        <v>531</v>
      </c>
      <c r="AC42" s="212" t="s">
        <v>618</v>
      </c>
      <c r="AD42" s="214">
        <v>1.066894</v>
      </c>
      <c r="AE42" s="214">
        <v>2283</v>
      </c>
      <c r="AF42" s="214">
        <v>23.599999999999998</v>
      </c>
      <c r="AG42" s="214">
        <v>-99</v>
      </c>
      <c r="AH42" s="212" t="s">
        <v>224</v>
      </c>
      <c r="AI42" s="212" t="s">
        <v>261</v>
      </c>
      <c r="AJ42" s="212" t="s">
        <v>224</v>
      </c>
      <c r="AK42" s="212" t="s">
        <v>531</v>
      </c>
      <c r="AL42" s="212" t="s">
        <v>531</v>
      </c>
      <c r="AM42" s="214" t="b">
        <v>0</v>
      </c>
      <c r="AN42" s="214" t="b">
        <v>0</v>
      </c>
      <c r="AO42" s="212" t="s">
        <v>357</v>
      </c>
      <c r="AP42" s="212" t="s">
        <v>358</v>
      </c>
      <c r="AQ42" s="214">
        <v>137.19212445472201</v>
      </c>
      <c r="AR42" s="214" t="b">
        <v>0</v>
      </c>
      <c r="AS42" s="212" t="s">
        <v>300</v>
      </c>
      <c r="AU42" s="222" t="s">
        <v>819</v>
      </c>
    </row>
    <row r="43" spans="1:47" s="219" customFormat="1" x14ac:dyDescent="0.25">
      <c r="A43" s="245">
        <f t="shared" si="7"/>
        <v>138</v>
      </c>
      <c r="B43" s="246" t="str">
        <f t="shared" si="0"/>
        <v>Oil Field - Well</v>
      </c>
      <c r="C43" s="246" t="str">
        <f ca="1">IF(B43="","",VLOOKUP(D43,'Species Data'!B:E,4,FALSE))</f>
        <v>methcychex</v>
      </c>
      <c r="D43" s="246">
        <f t="shared" ca="1" si="1"/>
        <v>550</v>
      </c>
      <c r="E43" s="246">
        <f t="shared" ca="1" si="2"/>
        <v>1.5800000000000002E-2</v>
      </c>
      <c r="F43" s="246" t="str">
        <f t="shared" ca="1" si="3"/>
        <v>Methylcyclohexane</v>
      </c>
      <c r="G43" s="246">
        <f t="shared" ca="1" si="4"/>
        <v>98.186059999999998</v>
      </c>
      <c r="H43" s="204">
        <f ca="1">IF(G43="","",IF(VLOOKUP(Well_Head!F43,'Species Data'!D:F,3,FALSE)=0,"X",IF(G43&lt;44.1,2,1)))</f>
        <v>1</v>
      </c>
      <c r="I43" s="204">
        <f t="shared" ca="1" si="5"/>
        <v>0.46704501527724096</v>
      </c>
      <c r="J43" s="247">
        <f ca="1">IF(I43="","",IF(COUNTIF($D$12:D43,D43)=1,IF(H43=1,I43*H43,IF(H43="X","X",0)),0))</f>
        <v>0.46704501527724096</v>
      </c>
      <c r="K43" s="248">
        <f t="shared" ca="1" si="6"/>
        <v>0.98123642699588376</v>
      </c>
      <c r="L43" s="238" t="s">
        <v>615</v>
      </c>
      <c r="M43" s="212" t="s">
        <v>616</v>
      </c>
      <c r="N43" s="212" t="s">
        <v>260</v>
      </c>
      <c r="O43" s="213">
        <v>32589</v>
      </c>
      <c r="P43" s="212" t="s">
        <v>623</v>
      </c>
      <c r="Q43" s="214">
        <v>100</v>
      </c>
      <c r="R43" s="212" t="s">
        <v>531</v>
      </c>
      <c r="S43" s="212" t="s">
        <v>531</v>
      </c>
      <c r="T43" s="212" t="s">
        <v>531</v>
      </c>
      <c r="U43" s="212" t="s">
        <v>531</v>
      </c>
      <c r="V43" s="214" t="b">
        <v>1</v>
      </c>
      <c r="W43" s="225"/>
      <c r="X43" s="225"/>
      <c r="Y43" s="225"/>
      <c r="Z43" s="225"/>
      <c r="AA43" s="212" t="s">
        <v>531</v>
      </c>
      <c r="AB43" s="212" t="s">
        <v>531</v>
      </c>
      <c r="AC43" s="212" t="s">
        <v>618</v>
      </c>
      <c r="AD43" s="214">
        <v>1.072271</v>
      </c>
      <c r="AE43" s="214">
        <v>118</v>
      </c>
      <c r="AF43" s="214">
        <v>1.3699999999999999</v>
      </c>
      <c r="AG43" s="214">
        <v>-99</v>
      </c>
      <c r="AH43" s="212" t="s">
        <v>224</v>
      </c>
      <c r="AI43" s="212" t="s">
        <v>261</v>
      </c>
      <c r="AJ43" s="212" t="s">
        <v>297</v>
      </c>
      <c r="AK43" s="212" t="s">
        <v>531</v>
      </c>
      <c r="AL43" s="212" t="s">
        <v>619</v>
      </c>
      <c r="AM43" s="214" t="b">
        <v>1</v>
      </c>
      <c r="AN43" s="214" t="b">
        <v>1</v>
      </c>
      <c r="AO43" s="212" t="s">
        <v>298</v>
      </c>
      <c r="AP43" s="212" t="s">
        <v>299</v>
      </c>
      <c r="AQ43" s="214">
        <v>114.22852</v>
      </c>
      <c r="AR43" s="214" t="b">
        <v>0</v>
      </c>
      <c r="AS43" s="212" t="s">
        <v>300</v>
      </c>
      <c r="AU43" s="222" t="s">
        <v>819</v>
      </c>
    </row>
    <row r="44" spans="1:47" s="219" customFormat="1" x14ac:dyDescent="0.25">
      <c r="A44" s="245">
        <f t="shared" si="7"/>
        <v>139</v>
      </c>
      <c r="B44" s="246" t="str">
        <f t="shared" si="0"/>
        <v>Oil Field - Well</v>
      </c>
      <c r="C44" s="246" t="str">
        <f ca="1">IF(B44="","",VLOOKUP(D44,'Species Data'!B:E,4,FALSE))</f>
        <v>methcycpen</v>
      </c>
      <c r="D44" s="246">
        <f t="shared" ca="1" si="1"/>
        <v>551</v>
      </c>
      <c r="E44" s="246">
        <f t="shared" ca="1" si="2"/>
        <v>1.21E-2</v>
      </c>
      <c r="F44" s="246" t="str">
        <f t="shared" ca="1" si="3"/>
        <v>Methylcyclopentane</v>
      </c>
      <c r="G44" s="246">
        <f t="shared" ca="1" si="4"/>
        <v>84.159480000000002</v>
      </c>
      <c r="H44" s="204">
        <f ca="1">IF(G44="","",IF(VLOOKUP(Well_Head!F44,'Species Data'!D:F,3,FALSE)=0,"X",IF(G44&lt;44.1,2,1)))</f>
        <v>1</v>
      </c>
      <c r="I44" s="204">
        <f t="shared" ca="1" si="5"/>
        <v>0.80952321163948093</v>
      </c>
      <c r="J44" s="247">
        <f ca="1">IF(I44="","",IF(COUNTIF($D$12:D44,D44)=1,IF(H44=1,I44*H44,IF(H44="X","X",0)),0))</f>
        <v>0.80952321163948093</v>
      </c>
      <c r="K44" s="248">
        <f t="shared" ca="1" si="6"/>
        <v>1.700764675301877</v>
      </c>
      <c r="L44" s="238" t="s">
        <v>615</v>
      </c>
      <c r="M44" s="212" t="s">
        <v>616</v>
      </c>
      <c r="N44" s="212" t="s">
        <v>260</v>
      </c>
      <c r="O44" s="213">
        <v>32589</v>
      </c>
      <c r="P44" s="212" t="s">
        <v>623</v>
      </c>
      <c r="Q44" s="214">
        <v>100</v>
      </c>
      <c r="R44" s="212" t="s">
        <v>531</v>
      </c>
      <c r="S44" s="212" t="s">
        <v>531</v>
      </c>
      <c r="T44" s="212" t="s">
        <v>531</v>
      </c>
      <c r="U44" s="212" t="s">
        <v>531</v>
      </c>
      <c r="V44" s="214" t="b">
        <v>1</v>
      </c>
      <c r="W44" s="225"/>
      <c r="X44" s="225"/>
      <c r="Y44" s="225"/>
      <c r="Z44" s="225"/>
      <c r="AA44" s="212" t="s">
        <v>531</v>
      </c>
      <c r="AB44" s="212" t="s">
        <v>531</v>
      </c>
      <c r="AC44" s="212" t="s">
        <v>618</v>
      </c>
      <c r="AD44" s="214">
        <v>1.072271</v>
      </c>
      <c r="AE44" s="214">
        <v>122</v>
      </c>
      <c r="AF44" s="214">
        <v>0.09</v>
      </c>
      <c r="AG44" s="214">
        <v>-99</v>
      </c>
      <c r="AH44" s="212" t="s">
        <v>224</v>
      </c>
      <c r="AI44" s="212" t="s">
        <v>261</v>
      </c>
      <c r="AJ44" s="212" t="s">
        <v>301</v>
      </c>
      <c r="AK44" s="212" t="s">
        <v>531</v>
      </c>
      <c r="AL44" s="212" t="s">
        <v>384</v>
      </c>
      <c r="AM44" s="214" t="b">
        <v>1</v>
      </c>
      <c r="AN44" s="214" t="b">
        <v>0</v>
      </c>
      <c r="AO44" s="212" t="s">
        <v>302</v>
      </c>
      <c r="AP44" s="212" t="s">
        <v>303</v>
      </c>
      <c r="AQ44" s="214">
        <v>86.175359999999998</v>
      </c>
      <c r="AR44" s="214" t="b">
        <v>0</v>
      </c>
      <c r="AS44" s="212" t="s">
        <v>300</v>
      </c>
      <c r="AU44" s="222" t="s">
        <v>819</v>
      </c>
    </row>
    <row r="45" spans="1:47" s="219" customFormat="1" x14ac:dyDescent="0.25">
      <c r="A45" s="245">
        <f t="shared" si="7"/>
        <v>140</v>
      </c>
      <c r="B45" s="246" t="str">
        <f t="shared" si="0"/>
        <v>Oil Field - Well</v>
      </c>
      <c r="C45" s="246" t="str">
        <f ca="1">IF(B45="","",VLOOKUP(D45,'Species Data'!B:E,4,FALSE))</f>
        <v>N_but</v>
      </c>
      <c r="D45" s="246">
        <f t="shared" ca="1" si="1"/>
        <v>592</v>
      </c>
      <c r="E45" s="246">
        <f t="shared" ca="1" si="2"/>
        <v>8.4199999999999997E-2</v>
      </c>
      <c r="F45" s="246" t="str">
        <f t="shared" ca="1" si="3"/>
        <v>N-butane</v>
      </c>
      <c r="G45" s="246">
        <f t="shared" ca="1" si="4"/>
        <v>58.122199999999992</v>
      </c>
      <c r="H45" s="204">
        <f ca="1">IF(G45="","",IF(VLOOKUP(Well_Head!F45,'Species Data'!D:F,3,FALSE)=0,"X",IF(G45&lt;44.1,2,1)))</f>
        <v>1</v>
      </c>
      <c r="I45" s="204">
        <f t="shared" ca="1" si="5"/>
        <v>6.782997179218774</v>
      </c>
      <c r="J45" s="247">
        <f ca="1">IF(I45="","",IF(COUNTIF($D$12:D45,D45)=1,IF(H45=1,I45*H45,IF(H45="X","X",0)),0))</f>
        <v>6.782997179218774</v>
      </c>
      <c r="K45" s="248">
        <f t="shared" ca="1" si="6"/>
        <v>14.25071181309773</v>
      </c>
      <c r="L45" s="238" t="s">
        <v>615</v>
      </c>
      <c r="M45" s="212" t="s">
        <v>616</v>
      </c>
      <c r="N45" s="212" t="s">
        <v>260</v>
      </c>
      <c r="O45" s="213">
        <v>32589</v>
      </c>
      <c r="P45" s="212" t="s">
        <v>623</v>
      </c>
      <c r="Q45" s="214">
        <v>100</v>
      </c>
      <c r="R45" s="212" t="s">
        <v>531</v>
      </c>
      <c r="S45" s="212" t="s">
        <v>531</v>
      </c>
      <c r="T45" s="212" t="s">
        <v>531</v>
      </c>
      <c r="U45" s="212" t="s">
        <v>531</v>
      </c>
      <c r="V45" s="214" t="b">
        <v>1</v>
      </c>
      <c r="W45" s="225"/>
      <c r="X45" s="225"/>
      <c r="Y45" s="225"/>
      <c r="Z45" s="225"/>
      <c r="AA45" s="212" t="s">
        <v>531</v>
      </c>
      <c r="AB45" s="212" t="s">
        <v>531</v>
      </c>
      <c r="AC45" s="212" t="s">
        <v>618</v>
      </c>
      <c r="AD45" s="214">
        <v>1.072271</v>
      </c>
      <c r="AE45" s="214">
        <v>136</v>
      </c>
      <c r="AF45" s="214">
        <v>0.31999999999999995</v>
      </c>
      <c r="AG45" s="214">
        <v>-99</v>
      </c>
      <c r="AH45" s="212" t="s">
        <v>224</v>
      </c>
      <c r="AI45" s="212" t="s">
        <v>261</v>
      </c>
      <c r="AJ45" s="212" t="s">
        <v>304</v>
      </c>
      <c r="AK45" s="212" t="s">
        <v>531</v>
      </c>
      <c r="AL45" s="212" t="s">
        <v>620</v>
      </c>
      <c r="AM45" s="214" t="b">
        <v>1</v>
      </c>
      <c r="AN45" s="214" t="b">
        <v>0</v>
      </c>
      <c r="AO45" s="212" t="s">
        <v>305</v>
      </c>
      <c r="AP45" s="212" t="s">
        <v>306</v>
      </c>
      <c r="AQ45" s="214">
        <v>86.175359999999998</v>
      </c>
      <c r="AR45" s="214" t="b">
        <v>0</v>
      </c>
      <c r="AS45" s="212" t="s">
        <v>300</v>
      </c>
      <c r="AU45" s="222" t="s">
        <v>819</v>
      </c>
    </row>
    <row r="46" spans="1:47" s="219" customFormat="1" x14ac:dyDescent="0.25">
      <c r="A46" s="245">
        <f t="shared" si="7"/>
        <v>141</v>
      </c>
      <c r="B46" s="246" t="str">
        <f t="shared" si="0"/>
        <v>Oil Field - Well</v>
      </c>
      <c r="C46" s="246" t="str">
        <f ca="1">IF(B46="","",VLOOKUP(D46,'Species Data'!B:E,4,FALSE))</f>
        <v>N_dec</v>
      </c>
      <c r="D46" s="246">
        <f t="shared" ca="1" si="1"/>
        <v>598</v>
      </c>
      <c r="E46" s="246">
        <f t="shared" ca="1" si="2"/>
        <v>7.6700000000000004E-2</v>
      </c>
      <c r="F46" s="246" t="str">
        <f t="shared" ca="1" si="3"/>
        <v>N-decane</v>
      </c>
      <c r="G46" s="246">
        <f t="shared" ca="1" si="4"/>
        <v>142.28167999999999</v>
      </c>
      <c r="H46" s="204">
        <f ca="1">IF(G46="","",IF(VLOOKUP(Well_Head!F46,'Species Data'!D:F,3,FALSE)=0,"X",IF(G46&lt;44.1,2,1)))</f>
        <v>1</v>
      </c>
      <c r="I46" s="204">
        <f t="shared" ca="1" si="5"/>
        <v>7.7733428340856864E-2</v>
      </c>
      <c r="J46" s="247">
        <f ca="1">IF(I46="","",IF(COUNTIF($D$12:D46,D46)=1,IF(H46=1,I46*H46,IF(H46="X","X",0)),0))</f>
        <v>7.7733428340856864E-2</v>
      </c>
      <c r="K46" s="248">
        <f t="shared" ca="1" si="6"/>
        <v>0.16331374704437365</v>
      </c>
      <c r="L46" s="238" t="s">
        <v>615</v>
      </c>
      <c r="M46" s="212" t="s">
        <v>616</v>
      </c>
      <c r="N46" s="212" t="s">
        <v>260</v>
      </c>
      <c r="O46" s="213">
        <v>32589</v>
      </c>
      <c r="P46" s="212" t="s">
        <v>623</v>
      </c>
      <c r="Q46" s="214">
        <v>100</v>
      </c>
      <c r="R46" s="212" t="s">
        <v>531</v>
      </c>
      <c r="S46" s="212" t="s">
        <v>531</v>
      </c>
      <c r="T46" s="212" t="s">
        <v>531</v>
      </c>
      <c r="U46" s="212" t="s">
        <v>531</v>
      </c>
      <c r="V46" s="214" t="b">
        <v>1</v>
      </c>
      <c r="W46" s="225"/>
      <c r="X46" s="225"/>
      <c r="Y46" s="225"/>
      <c r="Z46" s="225"/>
      <c r="AA46" s="212" t="s">
        <v>531</v>
      </c>
      <c r="AB46" s="212" t="s">
        <v>531</v>
      </c>
      <c r="AC46" s="212" t="s">
        <v>618</v>
      </c>
      <c r="AD46" s="214">
        <v>1.072271</v>
      </c>
      <c r="AE46" s="214">
        <v>140</v>
      </c>
      <c r="AF46" s="214">
        <v>0.31999999999999995</v>
      </c>
      <c r="AG46" s="214">
        <v>-99</v>
      </c>
      <c r="AH46" s="212" t="s">
        <v>224</v>
      </c>
      <c r="AI46" s="212" t="s">
        <v>261</v>
      </c>
      <c r="AJ46" s="212" t="s">
        <v>307</v>
      </c>
      <c r="AK46" s="212" t="s">
        <v>531</v>
      </c>
      <c r="AL46" s="212" t="s">
        <v>385</v>
      </c>
      <c r="AM46" s="214" t="b">
        <v>1</v>
      </c>
      <c r="AN46" s="214" t="b">
        <v>0</v>
      </c>
      <c r="AO46" s="212" t="s">
        <v>308</v>
      </c>
      <c r="AP46" s="212" t="s">
        <v>309</v>
      </c>
      <c r="AQ46" s="214">
        <v>100.20194000000001</v>
      </c>
      <c r="AR46" s="214" t="b">
        <v>0</v>
      </c>
      <c r="AS46" s="212" t="s">
        <v>300</v>
      </c>
      <c r="AU46" s="222" t="s">
        <v>819</v>
      </c>
    </row>
    <row r="47" spans="1:47" s="219" customFormat="1" x14ac:dyDescent="0.25">
      <c r="A47" s="245">
        <f t="shared" si="7"/>
        <v>142</v>
      </c>
      <c r="B47" s="246" t="str">
        <f t="shared" si="0"/>
        <v>Oil Field - Well</v>
      </c>
      <c r="C47" s="246" t="str">
        <f ca="1">IF(B47="","",VLOOKUP(D47,'Species Data'!B:E,4,FALSE))</f>
        <v>N_hex</v>
      </c>
      <c r="D47" s="246">
        <f t="shared" ca="1" si="1"/>
        <v>601</v>
      </c>
      <c r="E47" s="246">
        <f t="shared" ca="1" si="2"/>
        <v>1.9400000000000001E-2</v>
      </c>
      <c r="F47" s="246" t="str">
        <f t="shared" ca="1" si="3"/>
        <v>N-hexane</v>
      </c>
      <c r="G47" s="246">
        <f t="shared" ca="1" si="4"/>
        <v>86.175359999999998</v>
      </c>
      <c r="H47" s="204">
        <f ca="1">IF(G47="","",IF(VLOOKUP(Well_Head!F47,'Species Data'!D:F,3,FALSE)=0,"X",IF(G47&lt;44.1,2,1)))</f>
        <v>1</v>
      </c>
      <c r="I47" s="204">
        <f t="shared" ca="1" si="5"/>
        <v>0.89334553631121094</v>
      </c>
      <c r="J47" s="247">
        <f ca="1">IF(I47="","",IF(COUNTIF($D$12:D47,D47)=1,IF(H47=1,I47*H47,IF(H47="X","X",0)),0))</f>
        <v>0.89334553631121094</v>
      </c>
      <c r="K47" s="248">
        <f t="shared" ca="1" si="6"/>
        <v>1.8768708656538999</v>
      </c>
      <c r="L47" s="238" t="s">
        <v>615</v>
      </c>
      <c r="M47" s="212" t="s">
        <v>616</v>
      </c>
      <c r="N47" s="212" t="s">
        <v>260</v>
      </c>
      <c r="O47" s="213">
        <v>32589</v>
      </c>
      <c r="P47" s="212" t="s">
        <v>623</v>
      </c>
      <c r="Q47" s="214">
        <v>100</v>
      </c>
      <c r="R47" s="212" t="s">
        <v>531</v>
      </c>
      <c r="S47" s="212" t="s">
        <v>531</v>
      </c>
      <c r="T47" s="212" t="s">
        <v>531</v>
      </c>
      <c r="U47" s="212" t="s">
        <v>531</v>
      </c>
      <c r="V47" s="214" t="b">
        <v>1</v>
      </c>
      <c r="W47" s="225"/>
      <c r="X47" s="225"/>
      <c r="Y47" s="225"/>
      <c r="Z47" s="225"/>
      <c r="AA47" s="212" t="s">
        <v>531</v>
      </c>
      <c r="AB47" s="212" t="s">
        <v>531</v>
      </c>
      <c r="AC47" s="212" t="s">
        <v>618</v>
      </c>
      <c r="AD47" s="214">
        <v>1.072271</v>
      </c>
      <c r="AE47" s="214">
        <v>152</v>
      </c>
      <c r="AF47" s="214">
        <v>0.12999999999999998</v>
      </c>
      <c r="AG47" s="214">
        <v>-99</v>
      </c>
      <c r="AH47" s="212" t="s">
        <v>224</v>
      </c>
      <c r="AI47" s="212" t="s">
        <v>261</v>
      </c>
      <c r="AJ47" s="212" t="s">
        <v>310</v>
      </c>
      <c r="AK47" s="212" t="s">
        <v>531</v>
      </c>
      <c r="AL47" s="212" t="s">
        <v>386</v>
      </c>
      <c r="AM47" s="214" t="b">
        <v>1</v>
      </c>
      <c r="AN47" s="214" t="b">
        <v>0</v>
      </c>
      <c r="AO47" s="212" t="s">
        <v>311</v>
      </c>
      <c r="AP47" s="212" t="s">
        <v>312</v>
      </c>
      <c r="AQ47" s="214">
        <v>100.20194000000001</v>
      </c>
      <c r="AR47" s="214" t="b">
        <v>0</v>
      </c>
      <c r="AS47" s="212" t="s">
        <v>300</v>
      </c>
      <c r="AU47" s="222" t="s">
        <v>819</v>
      </c>
    </row>
    <row r="48" spans="1:47" s="219" customFormat="1" x14ac:dyDescent="0.25">
      <c r="A48" s="245">
        <f t="shared" si="7"/>
        <v>143</v>
      </c>
      <c r="B48" s="246" t="str">
        <f t="shared" si="0"/>
        <v>Oil Field - Well</v>
      </c>
      <c r="C48" s="246" t="str">
        <f ca="1">IF(B48="","",VLOOKUP(D48,'Species Data'!B:E,4,FALSE))</f>
        <v>N_nonane</v>
      </c>
      <c r="D48" s="246">
        <f t="shared" ca="1" si="1"/>
        <v>603</v>
      </c>
      <c r="E48" s="246">
        <f t="shared" ca="1" si="2"/>
        <v>8.0399999999999999E-2</v>
      </c>
      <c r="F48" s="246" t="str">
        <f t="shared" ca="1" si="3"/>
        <v>N-nonane</v>
      </c>
      <c r="G48" s="246">
        <f t="shared" ca="1" si="4"/>
        <v>128.2551</v>
      </c>
      <c r="H48" s="204">
        <f ca="1">IF(G48="","",IF(VLOOKUP(Well_Head!F48,'Species Data'!D:F,3,FALSE)=0,"X",IF(G48&lt;44.1,2,1)))</f>
        <v>1</v>
      </c>
      <c r="I48" s="204">
        <f t="shared" ca="1" si="5"/>
        <v>0.35487821151781407</v>
      </c>
      <c r="J48" s="247">
        <f ca="1">IF(I48="","",IF(COUNTIF($D$12:D48,D48)=1,IF(H48=1,I48*H48,IF(H48="X","X",0)),0))</f>
        <v>0.35487821151781407</v>
      </c>
      <c r="K48" s="248">
        <f t="shared" ca="1" si="6"/>
        <v>0.74558001241427241</v>
      </c>
      <c r="L48" s="238" t="s">
        <v>615</v>
      </c>
      <c r="M48" s="212" t="s">
        <v>616</v>
      </c>
      <c r="N48" s="212" t="s">
        <v>260</v>
      </c>
      <c r="O48" s="213">
        <v>32589</v>
      </c>
      <c r="P48" s="212" t="s">
        <v>623</v>
      </c>
      <c r="Q48" s="214">
        <v>100</v>
      </c>
      <c r="R48" s="212" t="s">
        <v>531</v>
      </c>
      <c r="S48" s="212" t="s">
        <v>531</v>
      </c>
      <c r="T48" s="212" t="s">
        <v>531</v>
      </c>
      <c r="U48" s="212" t="s">
        <v>531</v>
      </c>
      <c r="V48" s="214" t="b">
        <v>1</v>
      </c>
      <c r="W48" s="225"/>
      <c r="X48" s="225"/>
      <c r="Y48" s="225"/>
      <c r="Z48" s="225"/>
      <c r="AA48" s="212" t="s">
        <v>531</v>
      </c>
      <c r="AB48" s="212" t="s">
        <v>531</v>
      </c>
      <c r="AC48" s="212" t="s">
        <v>618</v>
      </c>
      <c r="AD48" s="214">
        <v>1.072271</v>
      </c>
      <c r="AE48" s="214">
        <v>193</v>
      </c>
      <c r="AF48" s="214">
        <v>0.78999999999999992</v>
      </c>
      <c r="AG48" s="214">
        <v>-99</v>
      </c>
      <c r="AH48" s="212" t="s">
        <v>224</v>
      </c>
      <c r="AI48" s="212" t="s">
        <v>261</v>
      </c>
      <c r="AJ48" s="212" t="s">
        <v>313</v>
      </c>
      <c r="AK48" s="212" t="s">
        <v>531</v>
      </c>
      <c r="AL48" s="212" t="s">
        <v>387</v>
      </c>
      <c r="AM48" s="214" t="b">
        <v>1</v>
      </c>
      <c r="AN48" s="214" t="b">
        <v>0</v>
      </c>
      <c r="AO48" s="212" t="s">
        <v>314</v>
      </c>
      <c r="AP48" s="212" t="s">
        <v>315</v>
      </c>
      <c r="AQ48" s="214">
        <v>114.22852</v>
      </c>
      <c r="AR48" s="214" t="b">
        <v>0</v>
      </c>
      <c r="AS48" s="212" t="s">
        <v>300</v>
      </c>
      <c r="AU48" s="222" t="s">
        <v>819</v>
      </c>
    </row>
    <row r="49" spans="1:47" s="219" customFormat="1" x14ac:dyDescent="0.25">
      <c r="A49" s="245">
        <f t="shared" si="7"/>
        <v>144</v>
      </c>
      <c r="B49" s="246" t="str">
        <f t="shared" si="0"/>
        <v>Oil Field - Well</v>
      </c>
      <c r="C49" s="246" t="str">
        <f ca="1">IF(B49="","",VLOOKUP(D49,'Species Data'!B:E,4,FALSE))</f>
        <v>N_octane</v>
      </c>
      <c r="D49" s="246">
        <f t="shared" ca="1" si="1"/>
        <v>604</v>
      </c>
      <c r="E49" s="246">
        <f t="shared" ca="1" si="2"/>
        <v>0.89</v>
      </c>
      <c r="F49" s="246" t="str">
        <f t="shared" ca="1" si="3"/>
        <v>N-octane</v>
      </c>
      <c r="G49" s="246">
        <f t="shared" ca="1" si="4"/>
        <v>114.22852</v>
      </c>
      <c r="H49" s="204">
        <f ca="1">IF(G49="","",IF(VLOOKUP(Well_Head!F49,'Species Data'!D:F,3,FALSE)=0,"X",IF(G49&lt;44.1,2,1)))</f>
        <v>1</v>
      </c>
      <c r="I49" s="204">
        <f t="shared" ca="1" si="5"/>
        <v>0.67063415299729812</v>
      </c>
      <c r="J49" s="247">
        <f ca="1">IF(I49="","",IF(COUNTIF($D$12:D49,D49)=1,IF(H49=1,I49*H49,IF(H49="X","X",0)),0))</f>
        <v>0.67063415299729812</v>
      </c>
      <c r="K49" s="248">
        <f t="shared" ca="1" si="6"/>
        <v>1.4089662421894311</v>
      </c>
      <c r="L49" s="238" t="s">
        <v>615</v>
      </c>
      <c r="M49" s="212" t="s">
        <v>616</v>
      </c>
      <c r="N49" s="212" t="s">
        <v>260</v>
      </c>
      <c r="O49" s="213">
        <v>32589</v>
      </c>
      <c r="P49" s="212" t="s">
        <v>623</v>
      </c>
      <c r="Q49" s="214">
        <v>100</v>
      </c>
      <c r="R49" s="212" t="s">
        <v>531</v>
      </c>
      <c r="S49" s="212" t="s">
        <v>531</v>
      </c>
      <c r="T49" s="212" t="s">
        <v>531</v>
      </c>
      <c r="U49" s="212" t="s">
        <v>531</v>
      </c>
      <c r="V49" s="214" t="b">
        <v>1</v>
      </c>
      <c r="W49" s="225"/>
      <c r="X49" s="225"/>
      <c r="Y49" s="225"/>
      <c r="Z49" s="225"/>
      <c r="AA49" s="212" t="s">
        <v>531</v>
      </c>
      <c r="AB49" s="212" t="s">
        <v>531</v>
      </c>
      <c r="AC49" s="212" t="s">
        <v>618</v>
      </c>
      <c r="AD49" s="214">
        <v>1.072271</v>
      </c>
      <c r="AE49" s="214">
        <v>194</v>
      </c>
      <c r="AF49" s="214">
        <v>0.74</v>
      </c>
      <c r="AG49" s="214">
        <v>-99</v>
      </c>
      <c r="AH49" s="212" t="s">
        <v>224</v>
      </c>
      <c r="AI49" s="212" t="s">
        <v>261</v>
      </c>
      <c r="AJ49" s="212" t="s">
        <v>316</v>
      </c>
      <c r="AK49" s="212" t="s">
        <v>531</v>
      </c>
      <c r="AL49" s="212" t="s">
        <v>388</v>
      </c>
      <c r="AM49" s="214" t="b">
        <v>1</v>
      </c>
      <c r="AN49" s="214" t="b">
        <v>0</v>
      </c>
      <c r="AO49" s="212" t="s">
        <v>317</v>
      </c>
      <c r="AP49" s="212" t="s">
        <v>318</v>
      </c>
      <c r="AQ49" s="214">
        <v>100.20194000000001</v>
      </c>
      <c r="AR49" s="214" t="b">
        <v>0</v>
      </c>
      <c r="AS49" s="212" t="s">
        <v>300</v>
      </c>
      <c r="AU49" s="222" t="s">
        <v>819</v>
      </c>
    </row>
    <row r="50" spans="1:47" s="219" customFormat="1" x14ac:dyDescent="0.25">
      <c r="A50" s="245">
        <f t="shared" si="7"/>
        <v>145</v>
      </c>
      <c r="B50" s="246" t="str">
        <f t="shared" si="0"/>
        <v>Oil Field - Well</v>
      </c>
      <c r="C50" s="246" t="str">
        <f ca="1">IF(B50="","",VLOOKUP(D50,'Species Data'!B:E,4,FALSE))</f>
        <v>N_pentane</v>
      </c>
      <c r="D50" s="246">
        <f t="shared" ca="1" si="1"/>
        <v>605</v>
      </c>
      <c r="E50" s="246">
        <f t="shared" ca="1" si="2"/>
        <v>3.2099999999999997E-2</v>
      </c>
      <c r="F50" s="246" t="str">
        <f t="shared" ca="1" si="3"/>
        <v>N-pentane</v>
      </c>
      <c r="G50" s="246">
        <f t="shared" ca="1" si="4"/>
        <v>72.148780000000002</v>
      </c>
      <c r="H50" s="204">
        <f ca="1">IF(G50="","",IF(VLOOKUP(Well_Head!F50,'Species Data'!D:F,3,FALSE)=0,"X",IF(G50&lt;44.1,2,1)))</f>
        <v>1</v>
      </c>
      <c r="I50" s="204">
        <f t="shared" ca="1" si="5"/>
        <v>2.2200360467107241</v>
      </c>
      <c r="J50" s="247">
        <f ca="1">IF(I50="","",IF(COUNTIF($D$12:D50,D50)=1,IF(H50=1,I50*H50,IF(H50="X","X",0)),0))</f>
        <v>2.2200360467107241</v>
      </c>
      <c r="K50" s="248">
        <f t="shared" ca="1" si="6"/>
        <v>4.6641761864932807</v>
      </c>
      <c r="L50" s="238" t="s">
        <v>615</v>
      </c>
      <c r="M50" s="212" t="s">
        <v>616</v>
      </c>
      <c r="N50" s="212" t="s">
        <v>260</v>
      </c>
      <c r="O50" s="213">
        <v>32589</v>
      </c>
      <c r="P50" s="212" t="s">
        <v>623</v>
      </c>
      <c r="Q50" s="214">
        <v>100</v>
      </c>
      <c r="R50" s="212" t="s">
        <v>531</v>
      </c>
      <c r="S50" s="212" t="s">
        <v>531</v>
      </c>
      <c r="T50" s="212" t="s">
        <v>531</v>
      </c>
      <c r="U50" s="212" t="s">
        <v>531</v>
      </c>
      <c r="V50" s="214" t="b">
        <v>1</v>
      </c>
      <c r="W50" s="225"/>
      <c r="X50" s="225"/>
      <c r="Y50" s="225"/>
      <c r="Z50" s="225"/>
      <c r="AA50" s="212" t="s">
        <v>531</v>
      </c>
      <c r="AB50" s="212" t="s">
        <v>531</v>
      </c>
      <c r="AC50" s="212" t="s">
        <v>618</v>
      </c>
      <c r="AD50" s="214">
        <v>1.072271</v>
      </c>
      <c r="AE50" s="214">
        <v>199</v>
      </c>
      <c r="AF50" s="214">
        <v>3.2899999999999996</v>
      </c>
      <c r="AG50" s="214">
        <v>-99</v>
      </c>
      <c r="AH50" s="212" t="s">
        <v>224</v>
      </c>
      <c r="AI50" s="212" t="s">
        <v>261</v>
      </c>
      <c r="AJ50" s="212" t="s">
        <v>319</v>
      </c>
      <c r="AK50" s="212" t="s">
        <v>531</v>
      </c>
      <c r="AL50" s="212" t="s">
        <v>389</v>
      </c>
      <c r="AM50" s="214" t="b">
        <v>1</v>
      </c>
      <c r="AN50" s="214" t="b">
        <v>0</v>
      </c>
      <c r="AO50" s="212" t="s">
        <v>320</v>
      </c>
      <c r="AP50" s="212" t="s">
        <v>321</v>
      </c>
      <c r="AQ50" s="214">
        <v>86.175359999999998</v>
      </c>
      <c r="AR50" s="214" t="b">
        <v>0</v>
      </c>
      <c r="AS50" s="212" t="s">
        <v>300</v>
      </c>
      <c r="AU50" s="222" t="s">
        <v>819</v>
      </c>
    </row>
    <row r="51" spans="1:47" s="219" customFormat="1" x14ac:dyDescent="0.25">
      <c r="A51" s="245">
        <f t="shared" si="7"/>
        <v>146</v>
      </c>
      <c r="B51" s="246" t="str">
        <f t="shared" si="0"/>
        <v>Oil Field - Well</v>
      </c>
      <c r="C51" s="246" t="str">
        <f ca="1">IF(B51="","",VLOOKUP(D51,'Species Data'!B:E,4,FALSE))</f>
        <v>N_proben</v>
      </c>
      <c r="D51" s="246">
        <f t="shared" ca="1" si="1"/>
        <v>608</v>
      </c>
      <c r="E51" s="246">
        <f t="shared" ca="1" si="2"/>
        <v>7.0400000000000004E-2</v>
      </c>
      <c r="F51" s="246" t="str">
        <f t="shared" ca="1" si="3"/>
        <v>N-propylbenzene</v>
      </c>
      <c r="G51" s="246">
        <f t="shared" ca="1" si="4"/>
        <v>120.19158</v>
      </c>
      <c r="H51" s="204">
        <f ca="1">IF(G51="","",IF(VLOOKUP(Well_Head!F51,'Species Data'!D:F,3,FALSE)=0,"X",IF(G51&lt;44.1,2,1)))</f>
        <v>1</v>
      </c>
      <c r="I51" s="204">
        <f t="shared" ca="1" si="5"/>
        <v>0.16350019983357761</v>
      </c>
      <c r="J51" s="247">
        <f ca="1">IF(I51="","",IF(COUNTIF($D$12:D51,D51)=1,IF(H51=1,I51*H51,IF(H51="X","X",0)),0))</f>
        <v>0.16350019983357761</v>
      </c>
      <c r="K51" s="248">
        <f t="shared" ca="1" si="6"/>
        <v>0.3435051154599712</v>
      </c>
      <c r="L51" s="238" t="s">
        <v>615</v>
      </c>
      <c r="M51" s="212" t="s">
        <v>616</v>
      </c>
      <c r="N51" s="212" t="s">
        <v>260</v>
      </c>
      <c r="O51" s="213">
        <v>32589</v>
      </c>
      <c r="P51" s="212" t="s">
        <v>623</v>
      </c>
      <c r="Q51" s="214">
        <v>100</v>
      </c>
      <c r="R51" s="212" t="s">
        <v>531</v>
      </c>
      <c r="S51" s="212" t="s">
        <v>531</v>
      </c>
      <c r="T51" s="212" t="s">
        <v>531</v>
      </c>
      <c r="U51" s="212" t="s">
        <v>531</v>
      </c>
      <c r="V51" s="214" t="b">
        <v>1</v>
      </c>
      <c r="W51" s="225"/>
      <c r="X51" s="225"/>
      <c r="Y51" s="225"/>
      <c r="Z51" s="225"/>
      <c r="AA51" s="212" t="s">
        <v>531</v>
      </c>
      <c r="AB51" s="212" t="s">
        <v>531</v>
      </c>
      <c r="AC51" s="212" t="s">
        <v>618</v>
      </c>
      <c r="AD51" s="214">
        <v>1.072271</v>
      </c>
      <c r="AE51" s="214">
        <v>244</v>
      </c>
      <c r="AF51" s="214">
        <v>0.33999999999999997</v>
      </c>
      <c r="AG51" s="214">
        <v>-99</v>
      </c>
      <c r="AH51" s="212" t="s">
        <v>224</v>
      </c>
      <c r="AI51" s="212" t="s">
        <v>261</v>
      </c>
      <c r="AJ51" s="212" t="s">
        <v>322</v>
      </c>
      <c r="AK51" s="212" t="s">
        <v>531</v>
      </c>
      <c r="AL51" s="212" t="s">
        <v>531</v>
      </c>
      <c r="AM51" s="214" t="b">
        <v>1</v>
      </c>
      <c r="AN51" s="214" t="b">
        <v>0</v>
      </c>
      <c r="AO51" s="212" t="s">
        <v>323</v>
      </c>
      <c r="AP51" s="212" t="s">
        <v>324</v>
      </c>
      <c r="AQ51" s="214">
        <v>114.22852</v>
      </c>
      <c r="AR51" s="214" t="b">
        <v>0</v>
      </c>
      <c r="AS51" s="212" t="s">
        <v>300</v>
      </c>
      <c r="AU51" s="222" t="s">
        <v>819</v>
      </c>
    </row>
    <row r="52" spans="1:47" s="219" customFormat="1" x14ac:dyDescent="0.25">
      <c r="A52" s="245">
        <f t="shared" si="7"/>
        <v>147</v>
      </c>
      <c r="B52" s="246" t="str">
        <f t="shared" si="0"/>
        <v>Oil Field - Well</v>
      </c>
      <c r="C52" s="246" t="str">
        <f ca="1">IF(B52="","",VLOOKUP(D52,'Species Data'!B:E,4,FALSE))</f>
        <v>O_xylene</v>
      </c>
      <c r="D52" s="246">
        <f t="shared" ca="1" si="1"/>
        <v>620</v>
      </c>
      <c r="E52" s="246">
        <f t="shared" ca="1" si="2"/>
        <v>0.13969999999999999</v>
      </c>
      <c r="F52" s="246" t="str">
        <f t="shared" ca="1" si="3"/>
        <v>O-xylene</v>
      </c>
      <c r="G52" s="246">
        <f t="shared" ca="1" si="4"/>
        <v>106.16500000000001</v>
      </c>
      <c r="H52" s="204">
        <f ca="1">IF(G52="","",IF(VLOOKUP(Well_Head!F52,'Species Data'!D:F,3,FALSE)=0,"X",IF(G52&lt;44.1,2,1)))</f>
        <v>1</v>
      </c>
      <c r="I52" s="204">
        <f t="shared" ca="1" si="5"/>
        <v>0.25780031508927398</v>
      </c>
      <c r="J52" s="247">
        <f ca="1">IF(I52="","",IF(COUNTIF($D$12:D52,D52)=1,IF(H52=1,I52*H52,IF(H52="X","X",0)),0))</f>
        <v>0.25780031508927398</v>
      </c>
      <c r="K52" s="248">
        <f t="shared" ca="1" si="6"/>
        <v>0.5416245796059973</v>
      </c>
      <c r="L52" s="238" t="s">
        <v>615</v>
      </c>
      <c r="M52" s="212" t="s">
        <v>616</v>
      </c>
      <c r="N52" s="212" t="s">
        <v>260</v>
      </c>
      <c r="O52" s="213">
        <v>32589</v>
      </c>
      <c r="P52" s="212" t="s">
        <v>623</v>
      </c>
      <c r="Q52" s="214">
        <v>100</v>
      </c>
      <c r="R52" s="212" t="s">
        <v>531</v>
      </c>
      <c r="S52" s="212" t="s">
        <v>531</v>
      </c>
      <c r="T52" s="212" t="s">
        <v>531</v>
      </c>
      <c r="U52" s="212" t="s">
        <v>531</v>
      </c>
      <c r="V52" s="214" t="b">
        <v>1</v>
      </c>
      <c r="W52" s="225"/>
      <c r="X52" s="225"/>
      <c r="Y52" s="225"/>
      <c r="Z52" s="225"/>
      <c r="AA52" s="212" t="s">
        <v>531</v>
      </c>
      <c r="AB52" s="212" t="s">
        <v>531</v>
      </c>
      <c r="AC52" s="212" t="s">
        <v>618</v>
      </c>
      <c r="AD52" s="214">
        <v>1.072271</v>
      </c>
      <c r="AE52" s="214">
        <v>245</v>
      </c>
      <c r="AF52" s="214">
        <v>1.0399999999999998</v>
      </c>
      <c r="AG52" s="214">
        <v>-99</v>
      </c>
      <c r="AH52" s="212" t="s">
        <v>224</v>
      </c>
      <c r="AI52" s="212" t="s">
        <v>261</v>
      </c>
      <c r="AJ52" s="212" t="s">
        <v>325</v>
      </c>
      <c r="AK52" s="212" t="s">
        <v>531</v>
      </c>
      <c r="AL52" s="212" t="s">
        <v>390</v>
      </c>
      <c r="AM52" s="214" t="b">
        <v>1</v>
      </c>
      <c r="AN52" s="214" t="b">
        <v>0</v>
      </c>
      <c r="AO52" s="212" t="s">
        <v>326</v>
      </c>
      <c r="AP52" s="212" t="s">
        <v>327</v>
      </c>
      <c r="AQ52" s="214">
        <v>100.20194000000001</v>
      </c>
      <c r="AR52" s="214" t="b">
        <v>0</v>
      </c>
      <c r="AS52" s="212" t="s">
        <v>300</v>
      </c>
      <c r="AT52" s="301" t="s">
        <v>820</v>
      </c>
      <c r="AU52" s="222" t="s">
        <v>819</v>
      </c>
    </row>
    <row r="53" spans="1:47" s="219" customFormat="1" x14ac:dyDescent="0.25">
      <c r="A53" s="245">
        <f t="shared" si="7"/>
        <v>148</v>
      </c>
      <c r="B53" s="246" t="str">
        <f t="shared" si="0"/>
        <v>Oil Field - Well</v>
      </c>
      <c r="C53" s="246" t="str">
        <f ca="1">IF(B53="","",VLOOKUP(D53,'Species Data'!B:E,4,FALSE))</f>
        <v>P_xylene</v>
      </c>
      <c r="D53" s="246">
        <f t="shared" ca="1" si="1"/>
        <v>648</v>
      </c>
      <c r="E53" s="246">
        <f t="shared" ca="1" si="2"/>
        <v>1.55E-2</v>
      </c>
      <c r="F53" s="246" t="str">
        <f t="shared" ca="1" si="3"/>
        <v>P-xylene</v>
      </c>
      <c r="G53" s="246">
        <f t="shared" ca="1" si="4"/>
        <v>106.16500000000001</v>
      </c>
      <c r="H53" s="204">
        <f ca="1">IF(G53="","",IF(VLOOKUP(Well_Head!F53,'Species Data'!D:F,3,FALSE)=0,"X",IF(G53&lt;44.1,2,1)))</f>
        <v>1</v>
      </c>
      <c r="I53" s="204">
        <f t="shared" ca="1" si="5"/>
        <v>8.6622328093956577E-2</v>
      </c>
      <c r="J53" s="247">
        <f ca="1">IF(I53="","",IF(COUNTIF($D$12:D53,D53)=1,IF(H53=1,I53*H53,IF(H53="X","X",0)),0))</f>
        <v>8.6622328093956577E-2</v>
      </c>
      <c r="K53" s="248">
        <f t="shared" ca="1" si="6"/>
        <v>0.18198884676357022</v>
      </c>
      <c r="L53" s="238" t="s">
        <v>615</v>
      </c>
      <c r="M53" s="212" t="s">
        <v>616</v>
      </c>
      <c r="N53" s="212" t="s">
        <v>260</v>
      </c>
      <c r="O53" s="213">
        <v>32589</v>
      </c>
      <c r="P53" s="212" t="s">
        <v>623</v>
      </c>
      <c r="Q53" s="214">
        <v>100</v>
      </c>
      <c r="R53" s="212" t="s">
        <v>531</v>
      </c>
      <c r="S53" s="212" t="s">
        <v>531</v>
      </c>
      <c r="T53" s="212" t="s">
        <v>531</v>
      </c>
      <c r="U53" s="212" t="s">
        <v>531</v>
      </c>
      <c r="V53" s="214" t="b">
        <v>1</v>
      </c>
      <c r="W53" s="225"/>
      <c r="X53" s="225"/>
      <c r="Y53" s="225"/>
      <c r="Z53" s="225"/>
      <c r="AA53" s="212" t="s">
        <v>531</v>
      </c>
      <c r="AB53" s="212" t="s">
        <v>531</v>
      </c>
      <c r="AC53" s="212" t="s">
        <v>618</v>
      </c>
      <c r="AD53" s="214">
        <v>1.072271</v>
      </c>
      <c r="AE53" s="214">
        <v>248</v>
      </c>
      <c r="AF53" s="214">
        <v>1.94</v>
      </c>
      <c r="AG53" s="214">
        <v>-99</v>
      </c>
      <c r="AH53" s="212" t="s">
        <v>224</v>
      </c>
      <c r="AI53" s="212" t="s">
        <v>261</v>
      </c>
      <c r="AJ53" s="212" t="s">
        <v>328</v>
      </c>
      <c r="AK53" s="212" t="s">
        <v>531</v>
      </c>
      <c r="AL53" s="212" t="s">
        <v>391</v>
      </c>
      <c r="AM53" s="214" t="b">
        <v>1</v>
      </c>
      <c r="AN53" s="214" t="b">
        <v>0</v>
      </c>
      <c r="AO53" s="212" t="s">
        <v>329</v>
      </c>
      <c r="AP53" s="212" t="s">
        <v>330</v>
      </c>
      <c r="AQ53" s="214">
        <v>86.175359999999998</v>
      </c>
      <c r="AR53" s="214" t="b">
        <v>0</v>
      </c>
      <c r="AS53" s="212" t="s">
        <v>300</v>
      </c>
      <c r="AT53" s="301" t="s">
        <v>820</v>
      </c>
      <c r="AU53" s="222" t="s">
        <v>819</v>
      </c>
    </row>
    <row r="54" spans="1:47" s="219" customFormat="1" ht="15" customHeight="1" x14ac:dyDescent="0.25">
      <c r="A54" s="245">
        <f t="shared" si="7"/>
        <v>149</v>
      </c>
      <c r="B54" s="246" t="str">
        <f t="shared" si="0"/>
        <v>Oil Field - Well</v>
      </c>
      <c r="C54" s="246" t="str">
        <f ca="1">IF(B54="","",VLOOKUP(D54,'Species Data'!B:E,4,FALSE))</f>
        <v>propane</v>
      </c>
      <c r="D54" s="246">
        <f t="shared" ca="1" si="1"/>
        <v>671</v>
      </c>
      <c r="E54" s="246">
        <f t="shared" ca="1" si="2"/>
        <v>9.5500000000000002E-2</v>
      </c>
      <c r="F54" s="246" t="str">
        <f t="shared" ca="1" si="3"/>
        <v>Propane</v>
      </c>
      <c r="G54" s="246">
        <f t="shared" ca="1" si="4"/>
        <v>44.095619999999997</v>
      </c>
      <c r="H54" s="204">
        <f ca="1">IF(G54="","",IF(VLOOKUP(Well_Head!F54,'Species Data'!D:F,3,FALSE)=0,"X",IF(G54&lt;44.1,2,1)))</f>
        <v>2</v>
      </c>
      <c r="I54" s="204">
        <f t="shared" ca="1" si="5"/>
        <v>8.8717997321996727</v>
      </c>
      <c r="J54" s="247">
        <f ca="1">IF(I54="","",IF(COUNTIF($D$12:D54,D54)=1,IF(H54=1,I54*H54,IF(H54="X","X",0)),0))</f>
        <v>0</v>
      </c>
      <c r="K54" s="248">
        <f t="shared" ca="1" si="6"/>
        <v>0</v>
      </c>
      <c r="L54" s="238" t="s">
        <v>615</v>
      </c>
      <c r="M54" s="212" t="s">
        <v>616</v>
      </c>
      <c r="N54" s="212" t="s">
        <v>260</v>
      </c>
      <c r="O54" s="213">
        <v>32589</v>
      </c>
      <c r="P54" s="212" t="s">
        <v>623</v>
      </c>
      <c r="Q54" s="214">
        <v>100</v>
      </c>
      <c r="R54" s="212" t="s">
        <v>531</v>
      </c>
      <c r="S54" s="212" t="s">
        <v>531</v>
      </c>
      <c r="T54" s="212" t="s">
        <v>531</v>
      </c>
      <c r="U54" s="212" t="s">
        <v>531</v>
      </c>
      <c r="V54" s="214" t="b">
        <v>1</v>
      </c>
      <c r="W54" s="225"/>
      <c r="X54" s="225"/>
      <c r="Y54" s="225"/>
      <c r="Z54" s="225"/>
      <c r="AA54" s="212" t="s">
        <v>531</v>
      </c>
      <c r="AB54" s="212" t="s">
        <v>531</v>
      </c>
      <c r="AC54" s="212" t="s">
        <v>618</v>
      </c>
      <c r="AD54" s="214">
        <v>1.072271</v>
      </c>
      <c r="AE54" s="214">
        <v>302</v>
      </c>
      <c r="AF54" s="214">
        <v>0.15999999999999998</v>
      </c>
      <c r="AG54" s="214">
        <v>-99</v>
      </c>
      <c r="AH54" s="212" t="s">
        <v>224</v>
      </c>
      <c r="AI54" s="212" t="s">
        <v>261</v>
      </c>
      <c r="AJ54" s="212" t="s">
        <v>262</v>
      </c>
      <c r="AK54" s="212" t="s">
        <v>531</v>
      </c>
      <c r="AL54" s="212" t="s">
        <v>373</v>
      </c>
      <c r="AM54" s="214" t="b">
        <v>1</v>
      </c>
      <c r="AN54" s="214" t="b">
        <v>1</v>
      </c>
      <c r="AO54" s="212" t="s">
        <v>263</v>
      </c>
      <c r="AP54" s="212" t="s">
        <v>264</v>
      </c>
      <c r="AQ54" s="214">
        <v>78.111840000000001</v>
      </c>
      <c r="AR54" s="214" t="b">
        <v>0</v>
      </c>
      <c r="AS54" s="212" t="s">
        <v>300</v>
      </c>
      <c r="AU54" s="222" t="s">
        <v>819</v>
      </c>
    </row>
    <row r="55" spans="1:47" s="219" customFormat="1" x14ac:dyDescent="0.25">
      <c r="A55" s="245">
        <f t="shared" si="7"/>
        <v>150</v>
      </c>
      <c r="B55" s="246" t="str">
        <f t="shared" si="0"/>
        <v>Oil Field - Well</v>
      </c>
      <c r="C55" s="246" t="str">
        <f ca="1">IF(B55="","",VLOOKUP(D55,'Species Data'!B:E,4,FALSE))</f>
        <v>T_butben</v>
      </c>
      <c r="D55" s="246">
        <f t="shared" ca="1" si="1"/>
        <v>703</v>
      </c>
      <c r="E55" s="246">
        <f t="shared" ca="1" si="2"/>
        <v>0.1515</v>
      </c>
      <c r="F55" s="246" t="str">
        <f t="shared" ca="1" si="3"/>
        <v>T-butylbenzene</v>
      </c>
      <c r="G55" s="246">
        <f t="shared" ca="1" si="4"/>
        <v>134.21816000000001</v>
      </c>
      <c r="H55" s="204" t="str">
        <f ca="1">IF(G55="","",IF(VLOOKUP(Well_Head!F55,'Species Data'!D:F,3,FALSE)=0,"X",IF(G55&lt;44.1,2,1)))</f>
        <v>X</v>
      </c>
      <c r="I55" s="204">
        <f t="shared" ca="1" si="5"/>
        <v>0.15110018467800349</v>
      </c>
      <c r="J55" s="247" t="str">
        <f ca="1">IF(I55="","",IF(COUNTIF($D$12:D55,D55)=1,IF(H55=1,I55*H55,IF(H55="X","X",0)),0))</f>
        <v>X</v>
      </c>
      <c r="K55" s="248">
        <f t="shared" ca="1" si="6"/>
        <v>0</v>
      </c>
      <c r="L55" s="238" t="s">
        <v>615</v>
      </c>
      <c r="M55" s="212" t="s">
        <v>616</v>
      </c>
      <c r="N55" s="212" t="s">
        <v>260</v>
      </c>
      <c r="O55" s="213">
        <v>32589</v>
      </c>
      <c r="P55" s="212" t="s">
        <v>623</v>
      </c>
      <c r="Q55" s="214">
        <v>100</v>
      </c>
      <c r="R55" s="212" t="s">
        <v>531</v>
      </c>
      <c r="S55" s="212" t="s">
        <v>531</v>
      </c>
      <c r="T55" s="212" t="s">
        <v>531</v>
      </c>
      <c r="U55" s="212" t="s">
        <v>531</v>
      </c>
      <c r="V55" s="214" t="b">
        <v>1</v>
      </c>
      <c r="W55" s="225"/>
      <c r="X55" s="225"/>
      <c r="Y55" s="225"/>
      <c r="Z55" s="225"/>
      <c r="AA55" s="212" t="s">
        <v>531</v>
      </c>
      <c r="AB55" s="212" t="s">
        <v>531</v>
      </c>
      <c r="AC55" s="212" t="s">
        <v>618</v>
      </c>
      <c r="AD55" s="214">
        <v>1.072271</v>
      </c>
      <c r="AE55" s="214">
        <v>385</v>
      </c>
      <c r="AF55" s="214">
        <v>1.43</v>
      </c>
      <c r="AG55" s="214">
        <v>-99</v>
      </c>
      <c r="AH55" s="212" t="s">
        <v>224</v>
      </c>
      <c r="AI55" s="212" t="s">
        <v>261</v>
      </c>
      <c r="AJ55" s="212" t="s">
        <v>331</v>
      </c>
      <c r="AK55" s="212" t="s">
        <v>531</v>
      </c>
      <c r="AL55" s="212" t="s">
        <v>392</v>
      </c>
      <c r="AM55" s="214" t="b">
        <v>1</v>
      </c>
      <c r="AN55" s="214" t="b">
        <v>0</v>
      </c>
      <c r="AO55" s="212" t="s">
        <v>332</v>
      </c>
      <c r="AP55" s="212" t="s">
        <v>333</v>
      </c>
      <c r="AQ55" s="214">
        <v>84.159480000000002</v>
      </c>
      <c r="AR55" s="214" t="b">
        <v>0</v>
      </c>
      <c r="AS55" s="212" t="s">
        <v>300</v>
      </c>
      <c r="AU55" s="222" t="s">
        <v>819</v>
      </c>
    </row>
    <row r="56" spans="1:47" s="219" customFormat="1" x14ac:dyDescent="0.25">
      <c r="A56" s="245">
        <f t="shared" si="7"/>
        <v>151</v>
      </c>
      <c r="B56" s="246" t="str">
        <f t="shared" si="0"/>
        <v>Oil Field - Well</v>
      </c>
      <c r="C56" s="246" t="str">
        <f ca="1">IF(B56="","",VLOOKUP(D56,'Species Data'!B:E,4,FALSE))</f>
        <v>toluene</v>
      </c>
      <c r="D56" s="246">
        <f t="shared" ca="1" si="1"/>
        <v>717</v>
      </c>
      <c r="E56" s="246">
        <f t="shared" ca="1" si="2"/>
        <v>0.08</v>
      </c>
      <c r="F56" s="246" t="str">
        <f t="shared" ca="1" si="3"/>
        <v>Toluene</v>
      </c>
      <c r="G56" s="246">
        <f t="shared" ca="1" si="4"/>
        <v>92.138419999999996</v>
      </c>
      <c r="H56" s="204">
        <f ca="1">IF(G56="","",IF(VLOOKUP(Well_Head!F56,'Species Data'!D:F,3,FALSE)=0,"X",IF(G56&lt;44.1,2,1)))</f>
        <v>1</v>
      </c>
      <c r="I56" s="204">
        <f t="shared" ca="1" si="5"/>
        <v>0.47057835292909805</v>
      </c>
      <c r="J56" s="247">
        <f ca="1">IF(I56="","",IF(COUNTIF($D$12:D56,D56)=1,IF(H56=1,I56*H56,IF(H56="X","X",0)),0))</f>
        <v>0.47057835292909805</v>
      </c>
      <c r="K56" s="248">
        <f t="shared" ca="1" si="6"/>
        <v>0.98865977913426428</v>
      </c>
      <c r="L56" s="238" t="s">
        <v>615</v>
      </c>
      <c r="M56" s="212" t="s">
        <v>616</v>
      </c>
      <c r="N56" s="212" t="s">
        <v>260</v>
      </c>
      <c r="O56" s="213">
        <v>32589</v>
      </c>
      <c r="P56" s="212" t="s">
        <v>623</v>
      </c>
      <c r="Q56" s="214">
        <v>100</v>
      </c>
      <c r="R56" s="212" t="s">
        <v>531</v>
      </c>
      <c r="S56" s="212" t="s">
        <v>531</v>
      </c>
      <c r="T56" s="212" t="s">
        <v>531</v>
      </c>
      <c r="U56" s="212" t="s">
        <v>531</v>
      </c>
      <c r="V56" s="214" t="b">
        <v>1</v>
      </c>
      <c r="W56" s="225"/>
      <c r="X56" s="225"/>
      <c r="Y56" s="225"/>
      <c r="Z56" s="225"/>
      <c r="AA56" s="212" t="s">
        <v>531</v>
      </c>
      <c r="AB56" s="212" t="s">
        <v>531</v>
      </c>
      <c r="AC56" s="212" t="s">
        <v>618</v>
      </c>
      <c r="AD56" s="214">
        <v>1.072271</v>
      </c>
      <c r="AE56" s="214">
        <v>390</v>
      </c>
      <c r="AF56" s="214">
        <v>0.90999999999999992</v>
      </c>
      <c r="AG56" s="214">
        <v>-99</v>
      </c>
      <c r="AH56" s="212" t="s">
        <v>224</v>
      </c>
      <c r="AI56" s="212" t="s">
        <v>261</v>
      </c>
      <c r="AJ56" s="212" t="s">
        <v>334</v>
      </c>
      <c r="AK56" s="212" t="s">
        <v>531</v>
      </c>
      <c r="AL56" s="212" t="s">
        <v>393</v>
      </c>
      <c r="AM56" s="214" t="b">
        <v>1</v>
      </c>
      <c r="AN56" s="214" t="b">
        <v>0</v>
      </c>
      <c r="AO56" s="212" t="s">
        <v>335</v>
      </c>
      <c r="AP56" s="212" t="s">
        <v>336</v>
      </c>
      <c r="AQ56" s="214">
        <v>70.132900000000006</v>
      </c>
      <c r="AR56" s="214" t="b">
        <v>0</v>
      </c>
      <c r="AS56" s="212" t="s">
        <v>300</v>
      </c>
      <c r="AU56" s="222" t="s">
        <v>819</v>
      </c>
    </row>
    <row r="57" spans="1:47" s="219" customFormat="1" x14ac:dyDescent="0.25">
      <c r="A57" s="245">
        <f t="shared" si="7"/>
        <v>152</v>
      </c>
      <c r="B57" s="246" t="str">
        <f t="shared" si="0"/>
        <v>Oil Field - Well</v>
      </c>
      <c r="C57" s="246" t="str">
        <f ca="1">IF(B57="","",VLOOKUP(D57,'Species Data'!B:E,4,FALSE))</f>
        <v>betben</v>
      </c>
      <c r="D57" s="246">
        <f t="shared" ca="1" si="1"/>
        <v>981</v>
      </c>
      <c r="E57" s="246">
        <f t="shared" ca="1" si="2"/>
        <v>2.7300000000000001E-2</v>
      </c>
      <c r="F57" s="246" t="str">
        <f t="shared" ca="1" si="3"/>
        <v>Butylbenzene</v>
      </c>
      <c r="G57" s="246">
        <f t="shared" ca="1" si="4"/>
        <v>134.21816000000001</v>
      </c>
      <c r="H57" s="204">
        <f ca="1">IF(G57="","",IF(VLOOKUP(Well_Head!F57,'Species Data'!D:F,3,FALSE)=0,"X",IF(G57&lt;44.1,2,1)))</f>
        <v>1</v>
      </c>
      <c r="I57" s="204">
        <f t="shared" ca="1" si="5"/>
        <v>6.3200077244538855E-2</v>
      </c>
      <c r="J57" s="247">
        <f ca="1">IF(I57="","",IF(COUNTIF($D$12:D57,D57)=1,IF(H57=1,I57*H57,IF(H57="X","X",0)),0))</f>
        <v>6.3200077244538855E-2</v>
      </c>
      <c r="K57" s="248">
        <f t="shared" ca="1" si="6"/>
        <v>0.13277995900348732</v>
      </c>
      <c r="L57" s="238" t="s">
        <v>615</v>
      </c>
      <c r="M57" s="212" t="s">
        <v>616</v>
      </c>
      <c r="N57" s="212" t="s">
        <v>260</v>
      </c>
      <c r="O57" s="213">
        <v>32589</v>
      </c>
      <c r="P57" s="212" t="s">
        <v>623</v>
      </c>
      <c r="Q57" s="214">
        <v>100</v>
      </c>
      <c r="R57" s="212" t="s">
        <v>531</v>
      </c>
      <c r="S57" s="212" t="s">
        <v>531</v>
      </c>
      <c r="T57" s="212" t="s">
        <v>531</v>
      </c>
      <c r="U57" s="212" t="s">
        <v>531</v>
      </c>
      <c r="V57" s="214" t="b">
        <v>1</v>
      </c>
      <c r="W57" s="225"/>
      <c r="X57" s="225"/>
      <c r="Y57" s="225"/>
      <c r="Z57" s="225"/>
      <c r="AA57" s="212" t="s">
        <v>531</v>
      </c>
      <c r="AB57" s="212" t="s">
        <v>531</v>
      </c>
      <c r="AC57" s="212" t="s">
        <v>618</v>
      </c>
      <c r="AD57" s="214">
        <v>1.072271</v>
      </c>
      <c r="AE57" s="214">
        <v>438</v>
      </c>
      <c r="AF57" s="214">
        <v>6.7399999999999993</v>
      </c>
      <c r="AG57" s="214">
        <v>-99</v>
      </c>
      <c r="AH57" s="212" t="s">
        <v>224</v>
      </c>
      <c r="AI57" s="212" t="s">
        <v>261</v>
      </c>
      <c r="AJ57" s="212" t="s">
        <v>265</v>
      </c>
      <c r="AK57" s="212" t="s">
        <v>531</v>
      </c>
      <c r="AL57" s="212" t="s">
        <v>374</v>
      </c>
      <c r="AM57" s="214" t="b">
        <v>1</v>
      </c>
      <c r="AN57" s="214" t="b">
        <v>0</v>
      </c>
      <c r="AO57" s="212" t="s">
        <v>266</v>
      </c>
      <c r="AP57" s="212" t="s">
        <v>267</v>
      </c>
      <c r="AQ57" s="214">
        <v>30.069040000000005</v>
      </c>
      <c r="AR57" s="214" t="b">
        <v>1</v>
      </c>
      <c r="AS57" s="212" t="s">
        <v>300</v>
      </c>
      <c r="AU57" s="222" t="s">
        <v>819</v>
      </c>
    </row>
    <row r="58" spans="1:47" s="219" customFormat="1" x14ac:dyDescent="0.25">
      <c r="A58" s="245">
        <f t="shared" si="7"/>
        <v>153</v>
      </c>
      <c r="B58" s="246" t="str">
        <f t="shared" si="0"/>
        <v>Oil Field - Well</v>
      </c>
      <c r="C58" s="246" t="str">
        <f ca="1">IF(B58="","",VLOOKUP(D58,'Species Data'!B:E,4,FALSE))</f>
        <v>c10_comp</v>
      </c>
      <c r="D58" s="246">
        <f t="shared" ca="1" si="1"/>
        <v>1924</v>
      </c>
      <c r="E58" s="246">
        <f t="shared" ca="1" si="2"/>
        <v>1.8284</v>
      </c>
      <c r="F58" s="246" t="str">
        <f t="shared" ca="1" si="3"/>
        <v>C-10 Compounds</v>
      </c>
      <c r="G58" s="246">
        <f t="shared" ca="1" si="4"/>
        <v>142.28167999999999</v>
      </c>
      <c r="H58" s="204" t="str">
        <f ca="1">IF(G58="","",IF(VLOOKUP(Well_Head!F58,'Species Data'!D:F,3,FALSE)=0,"X",IF(G58&lt;44.1,2,1)))</f>
        <v>X</v>
      </c>
      <c r="I58" s="204">
        <f t="shared" ca="1" si="5"/>
        <v>2.3240139515726077</v>
      </c>
      <c r="J58" s="247" t="str">
        <f ca="1">IF(I58="","",IF(COUNTIF($D$12:D58,D58)=1,IF(H58=1,I58*H58,IF(H58="X","X",0)),0))</f>
        <v>X</v>
      </c>
      <c r="K58" s="248">
        <f t="shared" ca="1" si="6"/>
        <v>0</v>
      </c>
      <c r="L58" s="238" t="s">
        <v>615</v>
      </c>
      <c r="M58" s="212" t="s">
        <v>616</v>
      </c>
      <c r="N58" s="212" t="s">
        <v>260</v>
      </c>
      <c r="O58" s="213">
        <v>32589</v>
      </c>
      <c r="P58" s="212" t="s">
        <v>623</v>
      </c>
      <c r="Q58" s="214">
        <v>100</v>
      </c>
      <c r="R58" s="212" t="s">
        <v>531</v>
      </c>
      <c r="S58" s="212" t="s">
        <v>531</v>
      </c>
      <c r="T58" s="212" t="s">
        <v>531</v>
      </c>
      <c r="U58" s="212" t="s">
        <v>531</v>
      </c>
      <c r="V58" s="214" t="b">
        <v>1</v>
      </c>
      <c r="W58" s="225"/>
      <c r="X58" s="225"/>
      <c r="Y58" s="225"/>
      <c r="Z58" s="225"/>
      <c r="AA58" s="212" t="s">
        <v>531</v>
      </c>
      <c r="AB58" s="212" t="s">
        <v>531</v>
      </c>
      <c r="AC58" s="212" t="s">
        <v>618</v>
      </c>
      <c r="AD58" s="214">
        <v>1.072271</v>
      </c>
      <c r="AE58" s="214">
        <v>449</v>
      </c>
      <c r="AF58" s="214">
        <v>0.12</v>
      </c>
      <c r="AG58" s="214">
        <v>-99</v>
      </c>
      <c r="AH58" s="212" t="s">
        <v>224</v>
      </c>
      <c r="AI58" s="212" t="s">
        <v>261</v>
      </c>
      <c r="AJ58" s="212" t="s">
        <v>337</v>
      </c>
      <c r="AK58" s="212" t="s">
        <v>531</v>
      </c>
      <c r="AL58" s="212" t="s">
        <v>394</v>
      </c>
      <c r="AM58" s="214" t="b">
        <v>1</v>
      </c>
      <c r="AN58" s="214" t="b">
        <v>1</v>
      </c>
      <c r="AO58" s="212" t="s">
        <v>338</v>
      </c>
      <c r="AP58" s="212" t="s">
        <v>339</v>
      </c>
      <c r="AQ58" s="214">
        <v>106.16500000000001</v>
      </c>
      <c r="AR58" s="214" t="b">
        <v>0</v>
      </c>
      <c r="AS58" s="212" t="s">
        <v>300</v>
      </c>
      <c r="AU58" s="222" t="s">
        <v>819</v>
      </c>
    </row>
    <row r="59" spans="1:47" s="219" customFormat="1" x14ac:dyDescent="0.25">
      <c r="A59" s="245">
        <f t="shared" si="7"/>
        <v>154</v>
      </c>
      <c r="B59" s="246" t="str">
        <f t="shared" si="0"/>
        <v>Oil Field - Well</v>
      </c>
      <c r="C59" s="246" t="str">
        <f ca="1">IF(B59="","",VLOOKUP(D59,'Species Data'!B:E,4,FALSE))</f>
        <v>c11_comp</v>
      </c>
      <c r="D59" s="246">
        <f t="shared" ca="1" si="1"/>
        <v>1929</v>
      </c>
      <c r="E59" s="246">
        <f t="shared" ca="1" si="2"/>
        <v>7.51E-2</v>
      </c>
      <c r="F59" s="246" t="str">
        <f t="shared" ca="1" si="3"/>
        <v>C-11 Compounds</v>
      </c>
      <c r="G59" s="246">
        <f t="shared" ca="1" si="4"/>
        <v>156.30826000000002</v>
      </c>
      <c r="H59" s="204" t="str">
        <f ca="1">IF(G59="","",IF(VLOOKUP(Well_Head!F59,'Species Data'!D:F,3,FALSE)=0,"X",IF(G59&lt;44.1,2,1)))</f>
        <v>X</v>
      </c>
      <c r="I59" s="204">
        <f t="shared" ca="1" si="5"/>
        <v>0.83128990490988375</v>
      </c>
      <c r="J59" s="247" t="str">
        <f ca="1">IF(I59="","",IF(COUNTIF($D$12:D59,D59)=1,IF(H59=1,I59*H59,IF(H59="X","X",0)),0))</f>
        <v>X</v>
      </c>
      <c r="K59" s="248">
        <f t="shared" ca="1" si="6"/>
        <v>0</v>
      </c>
      <c r="L59" s="238" t="s">
        <v>615</v>
      </c>
      <c r="M59" s="212" t="s">
        <v>616</v>
      </c>
      <c r="N59" s="212" t="s">
        <v>260</v>
      </c>
      <c r="O59" s="213">
        <v>32589</v>
      </c>
      <c r="P59" s="212" t="s">
        <v>623</v>
      </c>
      <c r="Q59" s="214">
        <v>100</v>
      </c>
      <c r="R59" s="212" t="s">
        <v>531</v>
      </c>
      <c r="S59" s="212" t="s">
        <v>531</v>
      </c>
      <c r="T59" s="212" t="s">
        <v>531</v>
      </c>
      <c r="U59" s="212" t="s">
        <v>531</v>
      </c>
      <c r="V59" s="214" t="b">
        <v>1</v>
      </c>
      <c r="W59" s="225"/>
      <c r="X59" s="225"/>
      <c r="Y59" s="225"/>
      <c r="Z59" s="225"/>
      <c r="AA59" s="212" t="s">
        <v>531</v>
      </c>
      <c r="AB59" s="212" t="s">
        <v>531</v>
      </c>
      <c r="AC59" s="212" t="s">
        <v>618</v>
      </c>
      <c r="AD59" s="214">
        <v>1.072271</v>
      </c>
      <c r="AE59" s="214">
        <v>450</v>
      </c>
      <c r="AF59" s="214">
        <v>0.25999999999999995</v>
      </c>
      <c r="AG59" s="214">
        <v>-99</v>
      </c>
      <c r="AH59" s="212" t="s">
        <v>224</v>
      </c>
      <c r="AI59" s="212" t="s">
        <v>261</v>
      </c>
      <c r="AJ59" s="212" t="s">
        <v>340</v>
      </c>
      <c r="AK59" s="212" t="s">
        <v>531</v>
      </c>
      <c r="AL59" s="212" t="s">
        <v>621</v>
      </c>
      <c r="AM59" s="214" t="b">
        <v>0</v>
      </c>
      <c r="AN59" s="214" t="b">
        <v>0</v>
      </c>
      <c r="AO59" s="212" t="s">
        <v>341</v>
      </c>
      <c r="AP59" s="212" t="s">
        <v>531</v>
      </c>
      <c r="AQ59" s="214">
        <v>112.21263999999999</v>
      </c>
      <c r="AR59" s="214" t="b">
        <v>0</v>
      </c>
      <c r="AS59" s="212" t="s">
        <v>300</v>
      </c>
      <c r="AU59" s="222" t="s">
        <v>819</v>
      </c>
    </row>
    <row r="60" spans="1:47" s="219" customFormat="1" x14ac:dyDescent="0.25">
      <c r="A60" s="245">
        <f t="shared" si="7"/>
        <v>155</v>
      </c>
      <c r="B60" s="246" t="str">
        <f t="shared" si="0"/>
        <v>Oil Field - Well</v>
      </c>
      <c r="C60" s="246" t="str">
        <f ca="1">IF(B60="","",VLOOKUP(D60,'Species Data'!B:E,4,FALSE))</f>
        <v>c6_comp</v>
      </c>
      <c r="D60" s="246">
        <f t="shared" ca="1" si="1"/>
        <v>1999</v>
      </c>
      <c r="E60" s="246">
        <f t="shared" ca="1" si="2"/>
        <v>0.66169999999999995</v>
      </c>
      <c r="F60" s="246" t="str">
        <f t="shared" ca="1" si="3"/>
        <v>C-6 Compounds</v>
      </c>
      <c r="G60" s="246">
        <f t="shared" ca="1" si="4"/>
        <v>86.175359999999998</v>
      </c>
      <c r="H60" s="204" t="str">
        <f ca="1">IF(G60="","",IF(VLOOKUP(Well_Head!F60,'Species Data'!D:F,3,FALSE)=0,"X",IF(G60&lt;44.1,2,1)))</f>
        <v>X</v>
      </c>
      <c r="I60" s="204">
        <f t="shared" ca="1" si="5"/>
        <v>2.1343803864649171</v>
      </c>
      <c r="J60" s="247" t="str">
        <f ca="1">IF(I60="","",IF(COUNTIF($D$12:D60,D60)=1,IF(H60=1,I60*H60,IF(H60="X","X",0)),0))</f>
        <v>X</v>
      </c>
      <c r="K60" s="248">
        <f t="shared" ca="1" si="6"/>
        <v>0</v>
      </c>
      <c r="L60" s="238" t="s">
        <v>615</v>
      </c>
      <c r="M60" s="212" t="s">
        <v>616</v>
      </c>
      <c r="N60" s="212" t="s">
        <v>260</v>
      </c>
      <c r="O60" s="213">
        <v>32589</v>
      </c>
      <c r="P60" s="212" t="s">
        <v>623</v>
      </c>
      <c r="Q60" s="214">
        <v>100</v>
      </c>
      <c r="R60" s="212" t="s">
        <v>531</v>
      </c>
      <c r="S60" s="212" t="s">
        <v>531</v>
      </c>
      <c r="T60" s="212" t="s">
        <v>531</v>
      </c>
      <c r="U60" s="212" t="s">
        <v>531</v>
      </c>
      <c r="V60" s="214" t="b">
        <v>1</v>
      </c>
      <c r="W60" s="225"/>
      <c r="X60" s="225"/>
      <c r="Y60" s="225"/>
      <c r="Z60" s="225"/>
      <c r="AA60" s="212" t="s">
        <v>531</v>
      </c>
      <c r="AB60" s="212" t="s">
        <v>531</v>
      </c>
      <c r="AC60" s="212" t="s">
        <v>618</v>
      </c>
      <c r="AD60" s="214">
        <v>1.072271</v>
      </c>
      <c r="AE60" s="214">
        <v>491</v>
      </c>
      <c r="AF60" s="214">
        <v>5.4799999999999995</v>
      </c>
      <c r="AG60" s="214">
        <v>-99</v>
      </c>
      <c r="AH60" s="212" t="s">
        <v>224</v>
      </c>
      <c r="AI60" s="212" t="s">
        <v>261</v>
      </c>
      <c r="AJ60" s="212" t="s">
        <v>268</v>
      </c>
      <c r="AK60" s="212" t="s">
        <v>531</v>
      </c>
      <c r="AL60" s="212" t="s">
        <v>375</v>
      </c>
      <c r="AM60" s="214" t="b">
        <v>1</v>
      </c>
      <c r="AN60" s="214" t="b">
        <v>0</v>
      </c>
      <c r="AO60" s="212" t="s">
        <v>269</v>
      </c>
      <c r="AP60" s="212" t="s">
        <v>270</v>
      </c>
      <c r="AQ60" s="214">
        <v>58.122199999999992</v>
      </c>
      <c r="AR60" s="214" t="b">
        <v>0</v>
      </c>
      <c r="AS60" s="212" t="s">
        <v>300</v>
      </c>
      <c r="AU60" s="222" t="s">
        <v>819</v>
      </c>
    </row>
    <row r="61" spans="1:47" s="219" customFormat="1" x14ac:dyDescent="0.25">
      <c r="A61" s="245">
        <f t="shared" si="7"/>
        <v>156</v>
      </c>
      <c r="B61" s="246" t="str">
        <f t="shared" si="0"/>
        <v>Oil Field - Well</v>
      </c>
      <c r="C61" s="246" t="str">
        <f ca="1">IF(B61="","",VLOOKUP(D61,'Species Data'!B:E,4,FALSE))</f>
        <v>c7_comp</v>
      </c>
      <c r="D61" s="246">
        <f t="shared" ca="1" si="1"/>
        <v>2005</v>
      </c>
      <c r="E61" s="246">
        <f t="shared" ca="1" si="2"/>
        <v>2.7837000000000001</v>
      </c>
      <c r="F61" s="246" t="str">
        <f t="shared" ca="1" si="3"/>
        <v>C-7 Compounds</v>
      </c>
      <c r="G61" s="246">
        <f t="shared" ca="1" si="4"/>
        <v>100.20194000000001</v>
      </c>
      <c r="H61" s="204" t="str">
        <f ca="1">IF(G61="","",IF(VLOOKUP(Well_Head!F61,'Species Data'!D:F,3,FALSE)=0,"X",IF(G61&lt;44.1,2,1)))</f>
        <v>X</v>
      </c>
      <c r="I61" s="204">
        <f t="shared" ca="1" si="5"/>
        <v>4.8450170327985953</v>
      </c>
      <c r="J61" s="247" t="str">
        <f ca="1">IF(I61="","",IF(COUNTIF($D$12:D61,D61)=1,IF(H61=1,I61*H61,IF(H61="X","X",0)),0))</f>
        <v>X</v>
      </c>
      <c r="K61" s="248">
        <f t="shared" ca="1" si="6"/>
        <v>0</v>
      </c>
      <c r="L61" s="238" t="s">
        <v>615</v>
      </c>
      <c r="M61" s="212" t="s">
        <v>616</v>
      </c>
      <c r="N61" s="212" t="s">
        <v>260</v>
      </c>
      <c r="O61" s="213">
        <v>32589</v>
      </c>
      <c r="P61" s="212" t="s">
        <v>623</v>
      </c>
      <c r="Q61" s="214">
        <v>100</v>
      </c>
      <c r="R61" s="212" t="s">
        <v>531</v>
      </c>
      <c r="S61" s="212" t="s">
        <v>531</v>
      </c>
      <c r="T61" s="212" t="s">
        <v>531</v>
      </c>
      <c r="U61" s="212" t="s">
        <v>531</v>
      </c>
      <c r="V61" s="214" t="b">
        <v>1</v>
      </c>
      <c r="W61" s="225"/>
      <c r="X61" s="225"/>
      <c r="Y61" s="225"/>
      <c r="Z61" s="225"/>
      <c r="AA61" s="212" t="s">
        <v>531</v>
      </c>
      <c r="AB61" s="212" t="s">
        <v>531</v>
      </c>
      <c r="AC61" s="212" t="s">
        <v>618</v>
      </c>
      <c r="AD61" s="214">
        <v>1.072271</v>
      </c>
      <c r="AE61" s="214">
        <v>508</v>
      </c>
      <c r="AF61" s="214">
        <v>8.0799999999999983</v>
      </c>
      <c r="AG61" s="214">
        <v>-99</v>
      </c>
      <c r="AH61" s="212" t="s">
        <v>224</v>
      </c>
      <c r="AI61" s="212" t="s">
        <v>261</v>
      </c>
      <c r="AJ61" s="212" t="s">
        <v>342</v>
      </c>
      <c r="AK61" s="212" t="s">
        <v>531</v>
      </c>
      <c r="AL61" s="212" t="s">
        <v>395</v>
      </c>
      <c r="AM61" s="214" t="b">
        <v>1</v>
      </c>
      <c r="AN61" s="214" t="b">
        <v>0</v>
      </c>
      <c r="AO61" s="212" t="s">
        <v>343</v>
      </c>
      <c r="AP61" s="212" t="s">
        <v>344</v>
      </c>
      <c r="AQ61" s="214">
        <v>72.148780000000002</v>
      </c>
      <c r="AR61" s="214" t="b">
        <v>0</v>
      </c>
      <c r="AS61" s="212" t="s">
        <v>300</v>
      </c>
      <c r="AU61" s="222" t="s">
        <v>819</v>
      </c>
    </row>
    <row r="62" spans="1:47" s="219" customFormat="1" x14ac:dyDescent="0.25">
      <c r="A62" s="245">
        <f t="shared" si="7"/>
        <v>157</v>
      </c>
      <c r="B62" s="246" t="str">
        <f t="shared" si="0"/>
        <v>Oil Field - Well</v>
      </c>
      <c r="C62" s="246" t="str">
        <f ca="1">IF(B62="","",VLOOKUP(D62,'Species Data'!B:E,4,FALSE))</f>
        <v>c8_comp</v>
      </c>
      <c r="D62" s="246">
        <f t="shared" ca="1" si="1"/>
        <v>2011</v>
      </c>
      <c r="E62" s="246">
        <f t="shared" ca="1" si="2"/>
        <v>3.1244000000000001</v>
      </c>
      <c r="F62" s="246" t="str">
        <f t="shared" ca="1" si="3"/>
        <v>C-8 Compounds</v>
      </c>
      <c r="G62" s="246">
        <f t="shared" ca="1" si="4"/>
        <v>113.21160686946486</v>
      </c>
      <c r="H62" s="204" t="str">
        <f ca="1">IF(G62="","",IF(VLOOKUP(Well_Head!F62,'Species Data'!D:F,3,FALSE)=0,"X",IF(G62&lt;44.1,2,1)))</f>
        <v>X</v>
      </c>
      <c r="I62" s="204">
        <f t="shared" ca="1" si="5"/>
        <v>5.0392950480272818</v>
      </c>
      <c r="J62" s="247" t="str">
        <f ca="1">IF(I62="","",IF(COUNTIF($D$12:D62,D62)=1,IF(H62=1,I62*H62,IF(H62="X","X",0)),0))</f>
        <v>X</v>
      </c>
      <c r="K62" s="248">
        <f t="shared" ca="1" si="6"/>
        <v>0</v>
      </c>
      <c r="L62" s="238" t="s">
        <v>615</v>
      </c>
      <c r="M62" s="212" t="s">
        <v>616</v>
      </c>
      <c r="N62" s="212" t="s">
        <v>260</v>
      </c>
      <c r="O62" s="213">
        <v>32589</v>
      </c>
      <c r="P62" s="212" t="s">
        <v>623</v>
      </c>
      <c r="Q62" s="214">
        <v>100</v>
      </c>
      <c r="R62" s="212" t="s">
        <v>531</v>
      </c>
      <c r="S62" s="212" t="s">
        <v>531</v>
      </c>
      <c r="T62" s="212" t="s">
        <v>531</v>
      </c>
      <c r="U62" s="212" t="s">
        <v>531</v>
      </c>
      <c r="V62" s="214" t="b">
        <v>1</v>
      </c>
      <c r="W62" s="225"/>
      <c r="X62" s="225"/>
      <c r="Y62" s="225"/>
      <c r="Z62" s="225"/>
      <c r="AA62" s="212" t="s">
        <v>531</v>
      </c>
      <c r="AB62" s="212" t="s">
        <v>531</v>
      </c>
      <c r="AC62" s="212" t="s">
        <v>618</v>
      </c>
      <c r="AD62" s="214">
        <v>1.072271</v>
      </c>
      <c r="AE62" s="214">
        <v>522</v>
      </c>
      <c r="AF62" s="214">
        <v>0.33999999999999997</v>
      </c>
      <c r="AG62" s="214">
        <v>-99</v>
      </c>
      <c r="AH62" s="212" t="s">
        <v>224</v>
      </c>
      <c r="AI62" s="212" t="s">
        <v>261</v>
      </c>
      <c r="AJ62" s="212" t="s">
        <v>345</v>
      </c>
      <c r="AK62" s="212" t="s">
        <v>531</v>
      </c>
      <c r="AL62" s="212" t="s">
        <v>622</v>
      </c>
      <c r="AM62" s="214" t="b">
        <v>1</v>
      </c>
      <c r="AN62" s="214" t="b">
        <v>1</v>
      </c>
      <c r="AO62" s="212" t="s">
        <v>346</v>
      </c>
      <c r="AP62" s="212" t="s">
        <v>347</v>
      </c>
      <c r="AQ62" s="214">
        <v>106.16500000000001</v>
      </c>
      <c r="AR62" s="214" t="b">
        <v>0</v>
      </c>
      <c r="AS62" s="212" t="s">
        <v>300</v>
      </c>
      <c r="AU62" s="222" t="s">
        <v>819</v>
      </c>
    </row>
    <row r="63" spans="1:47" s="219" customFormat="1" ht="15" customHeight="1" x14ac:dyDescent="0.25">
      <c r="A63" s="245">
        <f t="shared" si="7"/>
        <v>158</v>
      </c>
      <c r="B63" s="246" t="str">
        <f t="shared" si="0"/>
        <v>Oil Field - Well</v>
      </c>
      <c r="C63" s="246" t="str">
        <f ca="1">IF(B63="","",VLOOKUP(D63,'Species Data'!B:E,4,FALSE))</f>
        <v>c9_comp</v>
      </c>
      <c r="D63" s="246">
        <f t="shared" ca="1" si="1"/>
        <v>2018</v>
      </c>
      <c r="E63" s="246">
        <f t="shared" ca="1" si="2"/>
        <v>2.7101000000000002</v>
      </c>
      <c r="F63" s="246" t="str">
        <f t="shared" ca="1" si="3"/>
        <v>C-9 Compounds</v>
      </c>
      <c r="G63" s="246">
        <f t="shared" ca="1" si="4"/>
        <v>127.23917598649743</v>
      </c>
      <c r="H63" s="204" t="str">
        <f ca="1">IF(G63="","",IF(VLOOKUP(Well_Head!F63,'Species Data'!D:F,3,FALSE)=0,"X",IF(G63&lt;44.1,2,1)))</f>
        <v>X</v>
      </c>
      <c r="I63" s="204">
        <f t="shared" ca="1" si="5"/>
        <v>4.5871944954599391</v>
      </c>
      <c r="J63" s="247" t="str">
        <f ca="1">IF(I63="","",IF(COUNTIF($D$12:D63,D63)=1,IF(H63=1,I63*H63,IF(H63="X","X",0)),0))</f>
        <v>X</v>
      </c>
      <c r="K63" s="248">
        <f t="shared" ca="1" si="6"/>
        <v>0</v>
      </c>
      <c r="L63" s="238" t="s">
        <v>615</v>
      </c>
      <c r="M63" s="212" t="s">
        <v>616</v>
      </c>
      <c r="N63" s="212" t="s">
        <v>260</v>
      </c>
      <c r="O63" s="213">
        <v>32589</v>
      </c>
      <c r="P63" s="212" t="s">
        <v>623</v>
      </c>
      <c r="Q63" s="214">
        <v>100</v>
      </c>
      <c r="R63" s="212" t="s">
        <v>531</v>
      </c>
      <c r="S63" s="212" t="s">
        <v>531</v>
      </c>
      <c r="T63" s="212" t="s">
        <v>531</v>
      </c>
      <c r="U63" s="212" t="s">
        <v>531</v>
      </c>
      <c r="V63" s="214" t="b">
        <v>1</v>
      </c>
      <c r="W63" s="225"/>
      <c r="X63" s="225"/>
      <c r="Y63" s="225"/>
      <c r="Z63" s="225"/>
      <c r="AA63" s="212" t="s">
        <v>531</v>
      </c>
      <c r="AB63" s="212" t="s">
        <v>531</v>
      </c>
      <c r="AC63" s="212" t="s">
        <v>618</v>
      </c>
      <c r="AD63" s="214">
        <v>1.072271</v>
      </c>
      <c r="AE63" s="214">
        <v>550</v>
      </c>
      <c r="AF63" s="214">
        <v>1.97</v>
      </c>
      <c r="AG63" s="214">
        <v>-99</v>
      </c>
      <c r="AH63" s="212" t="s">
        <v>224</v>
      </c>
      <c r="AI63" s="212" t="s">
        <v>261</v>
      </c>
      <c r="AJ63" s="212" t="s">
        <v>348</v>
      </c>
      <c r="AK63" s="212" t="s">
        <v>531</v>
      </c>
      <c r="AL63" s="212" t="s">
        <v>396</v>
      </c>
      <c r="AM63" s="214" t="b">
        <v>1</v>
      </c>
      <c r="AN63" s="214" t="b">
        <v>0</v>
      </c>
      <c r="AO63" s="212" t="s">
        <v>349</v>
      </c>
      <c r="AP63" s="212" t="s">
        <v>350</v>
      </c>
      <c r="AQ63" s="214">
        <v>98.186059999999998</v>
      </c>
      <c r="AR63" s="214" t="b">
        <v>0</v>
      </c>
      <c r="AS63" s="212" t="s">
        <v>300</v>
      </c>
      <c r="AU63" s="222" t="s">
        <v>819</v>
      </c>
    </row>
    <row r="64" spans="1:47" s="219" customFormat="1" x14ac:dyDescent="0.25">
      <c r="A64" s="245">
        <f t="shared" si="7"/>
        <v>159</v>
      </c>
      <c r="B64" s="246" t="str">
        <f t="shared" si="0"/>
        <v>Oil Field - Well</v>
      </c>
      <c r="C64" s="246" t="str">
        <f ca="1">IF(B64="","",VLOOKUP(D64,'Species Data'!B:E,4,FALSE))</f>
        <v>trimethben123</v>
      </c>
      <c r="D64" s="246">
        <f t="shared" ca="1" si="1"/>
        <v>25</v>
      </c>
      <c r="E64" s="246">
        <f t="shared" ca="1" si="2"/>
        <v>0.2233</v>
      </c>
      <c r="F64" s="246" t="str">
        <f t="shared" ca="1" si="3"/>
        <v>1,2,3-trimethylbenzene</v>
      </c>
      <c r="G64" s="246">
        <f t="shared" ca="1" si="4"/>
        <v>120.19158</v>
      </c>
      <c r="H64" s="204">
        <f ca="1">IF(G64="","",IF(VLOOKUP(Well_Head!F64,'Species Data'!D:F,3,FALSE)=0,"X",IF(G64&lt;44.1,2,1)))</f>
        <v>1</v>
      </c>
      <c r="I64" s="204">
        <f t="shared" ca="1" si="5"/>
        <v>0.15947797269529998</v>
      </c>
      <c r="J64" s="247">
        <f ca="1">IF(I64="","",IF(COUNTIF($D$12:D64,D64)=1,IF(H64=1,I64*H64,IF(H64="X","X",0)),0))</f>
        <v>0</v>
      </c>
      <c r="K64" s="248">
        <f t="shared" ca="1" si="6"/>
        <v>0</v>
      </c>
      <c r="L64" s="238" t="s">
        <v>615</v>
      </c>
      <c r="M64" s="212" t="s">
        <v>616</v>
      </c>
      <c r="N64" s="212" t="s">
        <v>260</v>
      </c>
      <c r="O64" s="213">
        <v>32589</v>
      </c>
      <c r="P64" s="212" t="s">
        <v>623</v>
      </c>
      <c r="Q64" s="214">
        <v>100</v>
      </c>
      <c r="R64" s="212" t="s">
        <v>531</v>
      </c>
      <c r="S64" s="212" t="s">
        <v>531</v>
      </c>
      <c r="T64" s="212" t="s">
        <v>531</v>
      </c>
      <c r="U64" s="212" t="s">
        <v>531</v>
      </c>
      <c r="V64" s="214" t="b">
        <v>1</v>
      </c>
      <c r="W64" s="225"/>
      <c r="X64" s="225"/>
      <c r="Y64" s="225"/>
      <c r="Z64" s="225"/>
      <c r="AA64" s="212" t="s">
        <v>531</v>
      </c>
      <c r="AB64" s="212" t="s">
        <v>531</v>
      </c>
      <c r="AC64" s="212" t="s">
        <v>618</v>
      </c>
      <c r="AD64" s="214">
        <v>1.072271</v>
      </c>
      <c r="AE64" s="214">
        <v>551</v>
      </c>
      <c r="AF64" s="214">
        <v>3.0399999999999996</v>
      </c>
      <c r="AG64" s="214">
        <v>-99</v>
      </c>
      <c r="AH64" s="212" t="s">
        <v>224</v>
      </c>
      <c r="AI64" s="212" t="s">
        <v>261</v>
      </c>
      <c r="AJ64" s="212" t="s">
        <v>351</v>
      </c>
      <c r="AK64" s="212" t="s">
        <v>531</v>
      </c>
      <c r="AL64" s="212" t="s">
        <v>397</v>
      </c>
      <c r="AM64" s="214" t="b">
        <v>1</v>
      </c>
      <c r="AN64" s="214" t="b">
        <v>0</v>
      </c>
      <c r="AO64" s="212" t="s">
        <v>352</v>
      </c>
      <c r="AP64" s="212" t="s">
        <v>353</v>
      </c>
      <c r="AQ64" s="214">
        <v>84.159480000000002</v>
      </c>
      <c r="AR64" s="214" t="b">
        <v>0</v>
      </c>
      <c r="AS64" s="212" t="s">
        <v>300</v>
      </c>
      <c r="AU64" s="222" t="s">
        <v>819</v>
      </c>
    </row>
    <row r="65" spans="1:47" s="219" customFormat="1" x14ac:dyDescent="0.25">
      <c r="A65" s="245">
        <f t="shared" si="7"/>
        <v>160</v>
      </c>
      <c r="B65" s="246" t="str">
        <f t="shared" si="0"/>
        <v>Oil Field - Well</v>
      </c>
      <c r="C65" s="246" t="str">
        <f ca="1">IF(B65="","",VLOOKUP(D65,'Species Data'!B:E,4,FALSE))</f>
        <v>trimetben124</v>
      </c>
      <c r="D65" s="246">
        <f t="shared" ca="1" si="1"/>
        <v>30</v>
      </c>
      <c r="E65" s="246">
        <f t="shared" ca="1" si="2"/>
        <v>0.32029999999999997</v>
      </c>
      <c r="F65" s="246" t="str">
        <f t="shared" ca="1" si="3"/>
        <v>1,2,4-trimethylbenzene  (1,3,4-trimethylbenzene)</v>
      </c>
      <c r="G65" s="246">
        <f t="shared" ca="1" si="4"/>
        <v>120.19158</v>
      </c>
      <c r="H65" s="204">
        <f ca="1">IF(G65="","",IF(VLOOKUP(Well_Head!F65,'Species Data'!D:F,3,FALSE)=0,"X",IF(G65&lt;44.1,2,1)))</f>
        <v>1</v>
      </c>
      <c r="I65" s="204">
        <f t="shared" ca="1" si="5"/>
        <v>0.18081133210273925</v>
      </c>
      <c r="J65" s="247">
        <f ca="1">IF(I65="","",IF(COUNTIF($D$12:D65,D65)=1,IF(H65=1,I65*H65,IF(H65="X","X",0)),0))</f>
        <v>0</v>
      </c>
      <c r="K65" s="248">
        <f t="shared" ca="1" si="6"/>
        <v>0</v>
      </c>
      <c r="L65" s="238" t="s">
        <v>615</v>
      </c>
      <c r="M65" s="212" t="s">
        <v>616</v>
      </c>
      <c r="N65" s="212" t="s">
        <v>260</v>
      </c>
      <c r="O65" s="213">
        <v>32589</v>
      </c>
      <c r="P65" s="212" t="s">
        <v>623</v>
      </c>
      <c r="Q65" s="214">
        <v>100</v>
      </c>
      <c r="R65" s="212" t="s">
        <v>531</v>
      </c>
      <c r="S65" s="212" t="s">
        <v>531</v>
      </c>
      <c r="T65" s="212" t="s">
        <v>531</v>
      </c>
      <c r="U65" s="212" t="s">
        <v>531</v>
      </c>
      <c r="V65" s="214" t="b">
        <v>1</v>
      </c>
      <c r="W65" s="225"/>
      <c r="X65" s="225"/>
      <c r="Y65" s="225"/>
      <c r="Z65" s="225"/>
      <c r="AA65" s="212" t="s">
        <v>531</v>
      </c>
      <c r="AB65" s="212" t="s">
        <v>531</v>
      </c>
      <c r="AC65" s="212" t="s">
        <v>618</v>
      </c>
      <c r="AD65" s="214">
        <v>1.072271</v>
      </c>
      <c r="AE65" s="214">
        <v>592</v>
      </c>
      <c r="AF65" s="214">
        <v>18.779999999999998</v>
      </c>
      <c r="AG65" s="214">
        <v>-99</v>
      </c>
      <c r="AH65" s="212" t="s">
        <v>224</v>
      </c>
      <c r="AI65" s="212" t="s">
        <v>261</v>
      </c>
      <c r="AJ65" s="212" t="s">
        <v>273</v>
      </c>
      <c r="AK65" s="212" t="s">
        <v>531</v>
      </c>
      <c r="AL65" s="212" t="s">
        <v>377</v>
      </c>
      <c r="AM65" s="214" t="b">
        <v>1</v>
      </c>
      <c r="AN65" s="214" t="b">
        <v>0</v>
      </c>
      <c r="AO65" s="212" t="s">
        <v>274</v>
      </c>
      <c r="AP65" s="212" t="s">
        <v>275</v>
      </c>
      <c r="AQ65" s="214">
        <v>58.122199999999992</v>
      </c>
      <c r="AR65" s="214" t="b">
        <v>0</v>
      </c>
      <c r="AS65" s="212" t="s">
        <v>300</v>
      </c>
      <c r="AU65" s="222" t="s">
        <v>819</v>
      </c>
    </row>
    <row r="66" spans="1:47" s="219" customFormat="1" x14ac:dyDescent="0.25">
      <c r="A66" s="245">
        <f t="shared" si="7"/>
        <v>161</v>
      </c>
      <c r="B66" s="246" t="str">
        <f t="shared" si="0"/>
        <v>Oil Field - Well</v>
      </c>
      <c r="C66" s="246" t="str">
        <f ca="1">IF(B66="","",VLOOKUP(D66,'Species Data'!B:E,4,FALSE))</f>
        <v>dietben12</v>
      </c>
      <c r="D66" s="246">
        <f t="shared" ca="1" si="1"/>
        <v>36</v>
      </c>
      <c r="E66" s="246">
        <f t="shared" ca="1" si="2"/>
        <v>0.15440000000000001</v>
      </c>
      <c r="F66" s="246" t="str">
        <f t="shared" ca="1" si="3"/>
        <v>1,2-diethylbenzene (ortho)</v>
      </c>
      <c r="G66" s="246">
        <f t="shared" ca="1" si="4"/>
        <v>134.21816000000001</v>
      </c>
      <c r="H66" s="204" t="str">
        <f ca="1">IF(G66="","",IF(VLOOKUP(Well_Head!F66,'Species Data'!D:F,3,FALSE)=0,"X",IF(G66&lt;44.1,2,1)))</f>
        <v>X</v>
      </c>
      <c r="I66" s="204">
        <f t="shared" ca="1" si="5"/>
        <v>8.0366764892712661E-2</v>
      </c>
      <c r="J66" s="247">
        <f ca="1">IF(I66="","",IF(COUNTIF($D$12:D66,D66)=1,IF(H66=1,I66*H66,IF(H66="X","X",0)),0))</f>
        <v>0</v>
      </c>
      <c r="K66" s="248">
        <f t="shared" ca="1" si="6"/>
        <v>0</v>
      </c>
      <c r="L66" s="238" t="s">
        <v>615</v>
      </c>
      <c r="M66" s="212" t="s">
        <v>616</v>
      </c>
      <c r="N66" s="212" t="s">
        <v>260</v>
      </c>
      <c r="O66" s="213">
        <v>32589</v>
      </c>
      <c r="P66" s="212" t="s">
        <v>623</v>
      </c>
      <c r="Q66" s="214">
        <v>100</v>
      </c>
      <c r="R66" s="212" t="s">
        <v>531</v>
      </c>
      <c r="S66" s="212" t="s">
        <v>531</v>
      </c>
      <c r="T66" s="212" t="s">
        <v>531</v>
      </c>
      <c r="U66" s="212" t="s">
        <v>531</v>
      </c>
      <c r="V66" s="214" t="b">
        <v>1</v>
      </c>
      <c r="W66" s="225"/>
      <c r="X66" s="225"/>
      <c r="Y66" s="225"/>
      <c r="Z66" s="225"/>
      <c r="AA66" s="212" t="s">
        <v>531</v>
      </c>
      <c r="AB66" s="212" t="s">
        <v>531</v>
      </c>
      <c r="AC66" s="212" t="s">
        <v>618</v>
      </c>
      <c r="AD66" s="214">
        <v>1.072271</v>
      </c>
      <c r="AE66" s="214">
        <v>600</v>
      </c>
      <c r="AF66" s="214">
        <v>2.2699999999999996</v>
      </c>
      <c r="AG66" s="214">
        <v>-99</v>
      </c>
      <c r="AH66" s="212" t="s">
        <v>224</v>
      </c>
      <c r="AI66" s="212" t="s">
        <v>261</v>
      </c>
      <c r="AJ66" s="212" t="s">
        <v>276</v>
      </c>
      <c r="AK66" s="212" t="s">
        <v>531</v>
      </c>
      <c r="AL66" s="212" t="s">
        <v>378</v>
      </c>
      <c r="AM66" s="214" t="b">
        <v>1</v>
      </c>
      <c r="AN66" s="214" t="b">
        <v>0</v>
      </c>
      <c r="AO66" s="212" t="s">
        <v>277</v>
      </c>
      <c r="AP66" s="212" t="s">
        <v>278</v>
      </c>
      <c r="AQ66" s="214">
        <v>100.20194000000001</v>
      </c>
      <c r="AR66" s="214" t="b">
        <v>0</v>
      </c>
      <c r="AS66" s="212" t="s">
        <v>300</v>
      </c>
      <c r="AU66" s="222" t="s">
        <v>819</v>
      </c>
    </row>
    <row r="67" spans="1:47" s="219" customFormat="1" ht="15" customHeight="1" x14ac:dyDescent="0.25">
      <c r="A67" s="245">
        <f t="shared" si="7"/>
        <v>162</v>
      </c>
      <c r="B67" s="246" t="str">
        <f t="shared" si="0"/>
        <v>Oil Field - Well</v>
      </c>
      <c r="C67" s="246" t="str">
        <f ca="1">IF(B67="","",VLOOKUP(D67,'Species Data'!B:E,4,FALSE))</f>
        <v>trimethben135</v>
      </c>
      <c r="D67" s="246">
        <f t="shared" ca="1" si="1"/>
        <v>44</v>
      </c>
      <c r="E67" s="246">
        <f t="shared" ca="1" si="2"/>
        <v>0.23250000000000001</v>
      </c>
      <c r="F67" s="246" t="str">
        <f t="shared" ca="1" si="3"/>
        <v>1,3,5-trimethylbenzene</v>
      </c>
      <c r="G67" s="246">
        <f t="shared" ca="1" si="4"/>
        <v>120.19158</v>
      </c>
      <c r="H67" s="204">
        <f ca="1">IF(G67="","",IF(VLOOKUP(Well_Head!F67,'Species Data'!D:F,3,FALSE)=0,"X",IF(G67&lt;44.1,2,1)))</f>
        <v>1</v>
      </c>
      <c r="I67" s="204">
        <f t="shared" ca="1" si="5"/>
        <v>0.11778903285326239</v>
      </c>
      <c r="J67" s="247">
        <f ca="1">IF(I67="","",IF(COUNTIF($D$12:D67,D67)=1,IF(H67=1,I67*H67,IF(H67="X","X",0)),0))</f>
        <v>0</v>
      </c>
      <c r="K67" s="248">
        <f t="shared" ca="1" si="6"/>
        <v>0</v>
      </c>
      <c r="L67" s="238" t="s">
        <v>615</v>
      </c>
      <c r="M67" s="212" t="s">
        <v>616</v>
      </c>
      <c r="N67" s="212" t="s">
        <v>260</v>
      </c>
      <c r="O67" s="213">
        <v>32589</v>
      </c>
      <c r="P67" s="212" t="s">
        <v>623</v>
      </c>
      <c r="Q67" s="214">
        <v>100</v>
      </c>
      <c r="R67" s="212" t="s">
        <v>531</v>
      </c>
      <c r="S67" s="212" t="s">
        <v>531</v>
      </c>
      <c r="T67" s="212" t="s">
        <v>531</v>
      </c>
      <c r="U67" s="212" t="s">
        <v>531</v>
      </c>
      <c r="V67" s="214" t="b">
        <v>1</v>
      </c>
      <c r="W67" s="225"/>
      <c r="X67" s="225"/>
      <c r="Y67" s="225"/>
      <c r="Z67" s="225"/>
      <c r="AA67" s="212" t="s">
        <v>531</v>
      </c>
      <c r="AB67" s="212" t="s">
        <v>531</v>
      </c>
      <c r="AC67" s="212" t="s">
        <v>618</v>
      </c>
      <c r="AD67" s="214">
        <v>1.072271</v>
      </c>
      <c r="AE67" s="214">
        <v>601</v>
      </c>
      <c r="AF67" s="214">
        <v>4.7799999999999994</v>
      </c>
      <c r="AG67" s="214">
        <v>-99</v>
      </c>
      <c r="AH67" s="212" t="s">
        <v>224</v>
      </c>
      <c r="AI67" s="212" t="s">
        <v>261</v>
      </c>
      <c r="AJ67" s="212" t="s">
        <v>279</v>
      </c>
      <c r="AK67" s="212" t="s">
        <v>531</v>
      </c>
      <c r="AL67" s="212" t="s">
        <v>379</v>
      </c>
      <c r="AM67" s="214" t="b">
        <v>1</v>
      </c>
      <c r="AN67" s="214" t="b">
        <v>1</v>
      </c>
      <c r="AO67" s="212" t="s">
        <v>280</v>
      </c>
      <c r="AP67" s="212" t="s">
        <v>281</v>
      </c>
      <c r="AQ67" s="214">
        <v>86.175359999999998</v>
      </c>
      <c r="AR67" s="214" t="b">
        <v>0</v>
      </c>
      <c r="AS67" s="212" t="s">
        <v>300</v>
      </c>
      <c r="AU67" s="222" t="s">
        <v>819</v>
      </c>
    </row>
    <row r="68" spans="1:47" s="219" customFormat="1" ht="15" customHeight="1" x14ac:dyDescent="0.25">
      <c r="A68" s="245">
        <f t="shared" si="7"/>
        <v>163</v>
      </c>
      <c r="B68" s="246" t="str">
        <f t="shared" si="0"/>
        <v>Oil Field - Well</v>
      </c>
      <c r="C68" s="246" t="str">
        <f ca="1">IF(B68="","",VLOOKUP(D68,'Species Data'!B:E,4,FALSE))</f>
        <v>dietben13</v>
      </c>
      <c r="D68" s="246">
        <f t="shared" ca="1" si="1"/>
        <v>51</v>
      </c>
      <c r="E68" s="246">
        <f t="shared" ca="1" si="2"/>
        <v>0.21329999999999999</v>
      </c>
      <c r="F68" s="246" t="str">
        <f t="shared" ca="1" si="3"/>
        <v>1,3-diethylbenzene (meta)</v>
      </c>
      <c r="G68" s="246">
        <f t="shared" ca="1" si="4"/>
        <v>134.21816000000001</v>
      </c>
      <c r="H68" s="204" t="str">
        <f ca="1">IF(G68="","",IF(VLOOKUP(Well_Head!F68,'Species Data'!D:F,3,FALSE)=0,"X",IF(G68&lt;44.1,2,1)))</f>
        <v>X</v>
      </c>
      <c r="I68" s="204">
        <f t="shared" ca="1" si="5"/>
        <v>0.1341112750248917</v>
      </c>
      <c r="J68" s="247">
        <f ca="1">IF(I68="","",IF(COUNTIF($D$12:D68,D68)=1,IF(H68=1,I68*H68,IF(H68="X","X",0)),0))</f>
        <v>0</v>
      </c>
      <c r="K68" s="248">
        <f t="shared" ca="1" si="6"/>
        <v>0</v>
      </c>
      <c r="L68" s="238" t="s">
        <v>615</v>
      </c>
      <c r="M68" s="212" t="s">
        <v>616</v>
      </c>
      <c r="N68" s="212" t="s">
        <v>260</v>
      </c>
      <c r="O68" s="213">
        <v>32589</v>
      </c>
      <c r="P68" s="212" t="s">
        <v>623</v>
      </c>
      <c r="Q68" s="214">
        <v>100</v>
      </c>
      <c r="R68" s="212" t="s">
        <v>531</v>
      </c>
      <c r="S68" s="212" t="s">
        <v>531</v>
      </c>
      <c r="T68" s="212" t="s">
        <v>531</v>
      </c>
      <c r="U68" s="212" t="s">
        <v>531</v>
      </c>
      <c r="V68" s="214" t="b">
        <v>1</v>
      </c>
      <c r="W68" s="225"/>
      <c r="X68" s="225"/>
      <c r="Y68" s="225"/>
      <c r="Z68" s="225"/>
      <c r="AA68" s="212" t="s">
        <v>531</v>
      </c>
      <c r="AB68" s="212" t="s">
        <v>531</v>
      </c>
      <c r="AC68" s="212" t="s">
        <v>618</v>
      </c>
      <c r="AD68" s="214">
        <v>1.072271</v>
      </c>
      <c r="AE68" s="214">
        <v>604</v>
      </c>
      <c r="AF68" s="214">
        <v>1.0599999999999998</v>
      </c>
      <c r="AG68" s="214">
        <v>-99</v>
      </c>
      <c r="AH68" s="212" t="s">
        <v>224</v>
      </c>
      <c r="AI68" s="212" t="s">
        <v>261</v>
      </c>
      <c r="AJ68" s="212" t="s">
        <v>282</v>
      </c>
      <c r="AK68" s="212" t="s">
        <v>531</v>
      </c>
      <c r="AL68" s="212" t="s">
        <v>380</v>
      </c>
      <c r="AM68" s="214" t="b">
        <v>1</v>
      </c>
      <c r="AN68" s="214" t="b">
        <v>0</v>
      </c>
      <c r="AO68" s="212" t="s">
        <v>283</v>
      </c>
      <c r="AP68" s="212" t="s">
        <v>284</v>
      </c>
      <c r="AQ68" s="214">
        <v>114.22852</v>
      </c>
      <c r="AR68" s="214" t="b">
        <v>0</v>
      </c>
      <c r="AS68" s="212" t="s">
        <v>300</v>
      </c>
      <c r="AU68" s="222" t="s">
        <v>819</v>
      </c>
    </row>
    <row r="69" spans="1:47" s="219" customFormat="1" ht="15" customHeight="1" x14ac:dyDescent="0.25">
      <c r="A69" s="245">
        <f t="shared" si="7"/>
        <v>164</v>
      </c>
      <c r="B69" s="246" t="str">
        <f t="shared" si="0"/>
        <v>Oil Field - Well</v>
      </c>
      <c r="C69" s="246" t="str">
        <f ca="1">IF(B69="","",VLOOKUP(D69,'Species Data'!B:E,4,FALSE))</f>
        <v>dietben14</v>
      </c>
      <c r="D69" s="246">
        <f t="shared" ca="1" si="1"/>
        <v>59</v>
      </c>
      <c r="E69" s="246">
        <f t="shared" ca="1" si="2"/>
        <v>0.2261</v>
      </c>
      <c r="F69" s="246" t="str">
        <f t="shared" ca="1" si="3"/>
        <v>1,4-diethylbenzene (para)</v>
      </c>
      <c r="G69" s="246">
        <f t="shared" ca="1" si="4"/>
        <v>134.21816000000001</v>
      </c>
      <c r="H69" s="204" t="str">
        <f ca="1">IF(G69="","",IF(VLOOKUP(Well_Head!F69,'Species Data'!D:F,3,FALSE)=0,"X",IF(G69&lt;44.1,2,1)))</f>
        <v>X</v>
      </c>
      <c r="I69" s="204">
        <f t="shared" ca="1" si="5"/>
        <v>7.9233430174192432E-2</v>
      </c>
      <c r="J69" s="247">
        <f ca="1">IF(I69="","",IF(COUNTIF($D$12:D69,D69)=1,IF(H69=1,I69*H69,IF(H69="X","X",0)),0))</f>
        <v>0</v>
      </c>
      <c r="K69" s="248">
        <f t="shared" ca="1" si="6"/>
        <v>0</v>
      </c>
      <c r="L69" s="238" t="s">
        <v>615</v>
      </c>
      <c r="M69" s="212" t="s">
        <v>616</v>
      </c>
      <c r="N69" s="212" t="s">
        <v>260</v>
      </c>
      <c r="O69" s="213">
        <v>32589</v>
      </c>
      <c r="P69" s="212" t="s">
        <v>623</v>
      </c>
      <c r="Q69" s="214">
        <v>100</v>
      </c>
      <c r="R69" s="212" t="s">
        <v>531</v>
      </c>
      <c r="S69" s="212" t="s">
        <v>531</v>
      </c>
      <c r="T69" s="212" t="s">
        <v>531</v>
      </c>
      <c r="U69" s="212" t="s">
        <v>531</v>
      </c>
      <c r="V69" s="214" t="b">
        <v>1</v>
      </c>
      <c r="W69" s="225"/>
      <c r="X69" s="225"/>
      <c r="Y69" s="225"/>
      <c r="Z69" s="225"/>
      <c r="AA69" s="212" t="s">
        <v>531</v>
      </c>
      <c r="AB69" s="212" t="s">
        <v>531</v>
      </c>
      <c r="AC69" s="212" t="s">
        <v>618</v>
      </c>
      <c r="AD69" s="214">
        <v>1.072271</v>
      </c>
      <c r="AE69" s="214">
        <v>605</v>
      </c>
      <c r="AF69" s="214">
        <v>10.969999999999999</v>
      </c>
      <c r="AG69" s="214">
        <v>-99</v>
      </c>
      <c r="AH69" s="212" t="s">
        <v>224</v>
      </c>
      <c r="AI69" s="212" t="s">
        <v>261</v>
      </c>
      <c r="AJ69" s="212" t="s">
        <v>285</v>
      </c>
      <c r="AK69" s="212" t="s">
        <v>531</v>
      </c>
      <c r="AL69" s="212" t="s">
        <v>381</v>
      </c>
      <c r="AM69" s="214" t="b">
        <v>1</v>
      </c>
      <c r="AN69" s="214" t="b">
        <v>0</v>
      </c>
      <c r="AO69" s="212" t="s">
        <v>286</v>
      </c>
      <c r="AP69" s="212" t="s">
        <v>287</v>
      </c>
      <c r="AQ69" s="214">
        <v>72.148780000000002</v>
      </c>
      <c r="AR69" s="214" t="b">
        <v>0</v>
      </c>
      <c r="AS69" s="212" t="s">
        <v>300</v>
      </c>
      <c r="AU69" s="222" t="s">
        <v>819</v>
      </c>
    </row>
    <row r="70" spans="1:47" s="219" customFormat="1" ht="15" customHeight="1" x14ac:dyDescent="0.25">
      <c r="A70" s="245">
        <f t="shared" si="7"/>
        <v>165</v>
      </c>
      <c r="B70" s="246" t="str">
        <f t="shared" si="0"/>
        <v>Oil Field - Well</v>
      </c>
      <c r="C70" s="246" t="str">
        <f ca="1">IF(B70="","",VLOOKUP(D70,'Species Data'!B:E,4,FALSE))</f>
        <v>ethben12</v>
      </c>
      <c r="D70" s="246">
        <f t="shared" ca="1" si="1"/>
        <v>80</v>
      </c>
      <c r="E70" s="246">
        <f t="shared" ca="1" si="2"/>
        <v>0.2072</v>
      </c>
      <c r="F70" s="246" t="str">
        <f t="shared" ca="1" si="3"/>
        <v>1-Methyl-2-ethylbenzene</v>
      </c>
      <c r="G70" s="246">
        <f t="shared" ca="1" si="4"/>
        <v>120.19158</v>
      </c>
      <c r="H70" s="204">
        <f ca="1">IF(G70="","",IF(VLOOKUP(Well_Head!F70,'Species Data'!D:F,3,FALSE)=0,"X",IF(G70&lt;44.1,2,1)))</f>
        <v>1</v>
      </c>
      <c r="I70" s="204">
        <f t="shared" ca="1" si="5"/>
        <v>0.13882239189403453</v>
      </c>
      <c r="J70" s="247">
        <f ca="1">IF(I70="","",IF(COUNTIF($D$12:D70,D70)=1,IF(H70=1,I70*H70,IF(H70="X","X",0)),0))</f>
        <v>0</v>
      </c>
      <c r="K70" s="248">
        <f t="shared" ca="1" si="6"/>
        <v>0</v>
      </c>
      <c r="L70" s="238" t="s">
        <v>615</v>
      </c>
      <c r="M70" s="212" t="s">
        <v>616</v>
      </c>
      <c r="N70" s="212" t="s">
        <v>260</v>
      </c>
      <c r="O70" s="213">
        <v>32589</v>
      </c>
      <c r="P70" s="212" t="s">
        <v>623</v>
      </c>
      <c r="Q70" s="214">
        <v>100</v>
      </c>
      <c r="R70" s="212" t="s">
        <v>531</v>
      </c>
      <c r="S70" s="212" t="s">
        <v>531</v>
      </c>
      <c r="T70" s="212" t="s">
        <v>531</v>
      </c>
      <c r="U70" s="212" t="s">
        <v>531</v>
      </c>
      <c r="V70" s="214" t="b">
        <v>1</v>
      </c>
      <c r="W70" s="225"/>
      <c r="X70" s="225"/>
      <c r="Y70" s="225"/>
      <c r="Z70" s="225"/>
      <c r="AA70" s="212" t="s">
        <v>531</v>
      </c>
      <c r="AB70" s="212" t="s">
        <v>531</v>
      </c>
      <c r="AC70" s="212" t="s">
        <v>618</v>
      </c>
      <c r="AD70" s="214">
        <v>1.072271</v>
      </c>
      <c r="AE70" s="214">
        <v>620</v>
      </c>
      <c r="AF70" s="214">
        <v>3.9999999999999994E-2</v>
      </c>
      <c r="AG70" s="214">
        <v>-99</v>
      </c>
      <c r="AH70" s="212" t="s">
        <v>224</v>
      </c>
      <c r="AI70" s="212" t="s">
        <v>261</v>
      </c>
      <c r="AJ70" s="212" t="s">
        <v>354</v>
      </c>
      <c r="AK70" s="212" t="s">
        <v>531</v>
      </c>
      <c r="AL70" s="212" t="s">
        <v>398</v>
      </c>
      <c r="AM70" s="214" t="b">
        <v>1</v>
      </c>
      <c r="AN70" s="214" t="b">
        <v>1</v>
      </c>
      <c r="AO70" s="212" t="s">
        <v>355</v>
      </c>
      <c r="AP70" s="212" t="s">
        <v>356</v>
      </c>
      <c r="AQ70" s="214">
        <v>106.16500000000001</v>
      </c>
      <c r="AR70" s="214" t="b">
        <v>0</v>
      </c>
      <c r="AS70" s="212" t="s">
        <v>300</v>
      </c>
      <c r="AU70" s="222" t="s">
        <v>819</v>
      </c>
    </row>
    <row r="71" spans="1:47" s="219" customFormat="1" x14ac:dyDescent="0.25">
      <c r="A71" s="245">
        <f t="shared" si="7"/>
        <v>166</v>
      </c>
      <c r="B71" s="246" t="str">
        <f t="shared" si="0"/>
        <v>Oil Field - Well</v>
      </c>
      <c r="C71" s="246" t="str">
        <f ca="1">IF(B71="","",VLOOKUP(D71,'Species Data'!B:E,4,FALSE))</f>
        <v>ethben13</v>
      </c>
      <c r="D71" s="246">
        <f t="shared" ca="1" si="1"/>
        <v>89</v>
      </c>
      <c r="E71" s="246">
        <f t="shared" ca="1" si="2"/>
        <v>7.0099999999999996E-2</v>
      </c>
      <c r="F71" s="246" t="str">
        <f t="shared" ca="1" si="3"/>
        <v>1-Methyl-3-ethylbenzene (3-Ethyltoluene)</v>
      </c>
      <c r="G71" s="246">
        <f t="shared" ca="1" si="4"/>
        <v>120.19158</v>
      </c>
      <c r="H71" s="204">
        <f ca="1">IF(G71="","",IF(VLOOKUP(Well_Head!F71,'Species Data'!D:F,3,FALSE)=0,"X",IF(G71&lt;44.1,2,1)))</f>
        <v>1</v>
      </c>
      <c r="I71" s="204">
        <f t="shared" ca="1" si="5"/>
        <v>0.1338446080322987</v>
      </c>
      <c r="J71" s="247">
        <f ca="1">IF(I71="","",IF(COUNTIF($D$12:D71,D71)=1,IF(H71=1,I71*H71,IF(H71="X","X",0)),0))</f>
        <v>0</v>
      </c>
      <c r="K71" s="248">
        <f t="shared" ca="1" si="6"/>
        <v>0</v>
      </c>
      <c r="L71" s="238" t="s">
        <v>615</v>
      </c>
      <c r="M71" s="212" t="s">
        <v>616</v>
      </c>
      <c r="N71" s="212" t="s">
        <v>260</v>
      </c>
      <c r="O71" s="213">
        <v>32589</v>
      </c>
      <c r="P71" s="212" t="s">
        <v>623</v>
      </c>
      <c r="Q71" s="214">
        <v>100</v>
      </c>
      <c r="R71" s="212" t="s">
        <v>531</v>
      </c>
      <c r="S71" s="212" t="s">
        <v>531</v>
      </c>
      <c r="T71" s="212" t="s">
        <v>531</v>
      </c>
      <c r="U71" s="212" t="s">
        <v>531</v>
      </c>
      <c r="V71" s="214" t="b">
        <v>1</v>
      </c>
      <c r="W71" s="225"/>
      <c r="X71" s="225"/>
      <c r="Y71" s="225"/>
      <c r="Z71" s="225"/>
      <c r="AA71" s="212" t="s">
        <v>531</v>
      </c>
      <c r="AB71" s="212" t="s">
        <v>531</v>
      </c>
      <c r="AC71" s="212" t="s">
        <v>618</v>
      </c>
      <c r="AD71" s="214">
        <v>1.072271</v>
      </c>
      <c r="AE71" s="214">
        <v>671</v>
      </c>
      <c r="AF71" s="214">
        <v>16.549999999999997</v>
      </c>
      <c r="AG71" s="214">
        <v>-99</v>
      </c>
      <c r="AH71" s="212" t="s">
        <v>224</v>
      </c>
      <c r="AI71" s="212" t="s">
        <v>261</v>
      </c>
      <c r="AJ71" s="212" t="s">
        <v>288</v>
      </c>
      <c r="AK71" s="212" t="s">
        <v>531</v>
      </c>
      <c r="AL71" s="212" t="s">
        <v>382</v>
      </c>
      <c r="AM71" s="214" t="b">
        <v>1</v>
      </c>
      <c r="AN71" s="214" t="b">
        <v>0</v>
      </c>
      <c r="AO71" s="212" t="s">
        <v>289</v>
      </c>
      <c r="AP71" s="212" t="s">
        <v>290</v>
      </c>
      <c r="AQ71" s="214">
        <v>44.095619999999997</v>
      </c>
      <c r="AR71" s="214" t="b">
        <v>0</v>
      </c>
      <c r="AS71" s="212" t="s">
        <v>300</v>
      </c>
      <c r="AU71" s="222" t="s">
        <v>819</v>
      </c>
    </row>
    <row r="72" spans="1:47" s="219" customFormat="1" ht="15" customHeight="1" x14ac:dyDescent="0.25">
      <c r="A72" s="245">
        <f t="shared" si="7"/>
        <v>167</v>
      </c>
      <c r="B72" s="246" t="str">
        <f t="shared" si="0"/>
        <v>Oil Field - Well</v>
      </c>
      <c r="C72" s="246" t="str">
        <f ca="1">IF(B72="","",VLOOKUP(D72,'Species Data'!B:E,4,FALSE))</f>
        <v>dimetbut22</v>
      </c>
      <c r="D72" s="246">
        <f t="shared" ca="1" si="1"/>
        <v>122</v>
      </c>
      <c r="E72" s="246">
        <f t="shared" ca="1" si="2"/>
        <v>0.34870000000000001</v>
      </c>
      <c r="F72" s="246" t="str">
        <f t="shared" ca="1" si="3"/>
        <v>2,2-dimethylbutane</v>
      </c>
      <c r="G72" s="246">
        <f t="shared" ca="1" si="4"/>
        <v>86.175359999999998</v>
      </c>
      <c r="H72" s="204">
        <f ca="1">IF(G72="","",IF(VLOOKUP(Well_Head!F72,'Species Data'!D:F,3,FALSE)=0,"X",IF(G72&lt;44.1,2,1)))</f>
        <v>1</v>
      </c>
      <c r="I72" s="204">
        <f t="shared" ca="1" si="5"/>
        <v>0.21534470764353159</v>
      </c>
      <c r="J72" s="247">
        <f ca="1">IF(I72="","",IF(COUNTIF($D$12:D72,D72)=1,IF(H72=1,I72*H72,IF(H72="X","X",0)),0))</f>
        <v>0</v>
      </c>
      <c r="K72" s="248">
        <f t="shared" ca="1" si="6"/>
        <v>0</v>
      </c>
      <c r="L72" s="238" t="s">
        <v>615</v>
      </c>
      <c r="M72" s="212" t="s">
        <v>616</v>
      </c>
      <c r="N72" s="212" t="s">
        <v>260</v>
      </c>
      <c r="O72" s="213">
        <v>32589</v>
      </c>
      <c r="P72" s="212" t="s">
        <v>623</v>
      </c>
      <c r="Q72" s="214">
        <v>100</v>
      </c>
      <c r="R72" s="212" t="s">
        <v>531</v>
      </c>
      <c r="S72" s="212" t="s">
        <v>531</v>
      </c>
      <c r="T72" s="212" t="s">
        <v>531</v>
      </c>
      <c r="U72" s="212" t="s">
        <v>531</v>
      </c>
      <c r="V72" s="214" t="b">
        <v>1</v>
      </c>
      <c r="W72" s="225"/>
      <c r="X72" s="225"/>
      <c r="Y72" s="225"/>
      <c r="Z72" s="225"/>
      <c r="AA72" s="212" t="s">
        <v>531</v>
      </c>
      <c r="AB72" s="212" t="s">
        <v>531</v>
      </c>
      <c r="AC72" s="212" t="s">
        <v>618</v>
      </c>
      <c r="AD72" s="214">
        <v>1.072271</v>
      </c>
      <c r="AE72" s="214">
        <v>717</v>
      </c>
      <c r="AF72" s="214">
        <v>0.12999999999999998</v>
      </c>
      <c r="AG72" s="214">
        <v>-99</v>
      </c>
      <c r="AH72" s="212" t="s">
        <v>224</v>
      </c>
      <c r="AI72" s="212" t="s">
        <v>261</v>
      </c>
      <c r="AJ72" s="212" t="s">
        <v>294</v>
      </c>
      <c r="AK72" s="212" t="s">
        <v>531</v>
      </c>
      <c r="AL72" s="212" t="s">
        <v>383</v>
      </c>
      <c r="AM72" s="214" t="b">
        <v>1</v>
      </c>
      <c r="AN72" s="214" t="b">
        <v>1</v>
      </c>
      <c r="AO72" s="212" t="s">
        <v>295</v>
      </c>
      <c r="AP72" s="212" t="s">
        <v>296</v>
      </c>
      <c r="AQ72" s="214">
        <v>92.138419999999996</v>
      </c>
      <c r="AR72" s="214" t="b">
        <v>0</v>
      </c>
      <c r="AS72" s="212" t="s">
        <v>300</v>
      </c>
      <c r="AU72" s="222" t="s">
        <v>819</v>
      </c>
    </row>
    <row r="73" spans="1:47" s="219" customFormat="1" x14ac:dyDescent="0.25">
      <c r="A73" s="245">
        <f t="shared" si="7"/>
        <v>168</v>
      </c>
      <c r="B73" s="246" t="str">
        <f t="shared" si="0"/>
        <v>Oil Field - Well</v>
      </c>
      <c r="C73" s="246" t="str">
        <f ca="1">IF(B73="","",VLOOKUP(D73,'Species Data'!B:E,4,FALSE))</f>
        <v>dimethpro</v>
      </c>
      <c r="D73" s="246">
        <f t="shared" ca="1" si="1"/>
        <v>127</v>
      </c>
      <c r="E73" s="246">
        <f t="shared" ca="1" si="2"/>
        <v>0.251</v>
      </c>
      <c r="F73" s="246" t="str">
        <f t="shared" ca="1" si="3"/>
        <v>2,2-dimethylpropane</v>
      </c>
      <c r="G73" s="246">
        <f t="shared" ca="1" si="4"/>
        <v>72.148780000000002</v>
      </c>
      <c r="H73" s="204">
        <f ca="1">IF(G73="","",IF(VLOOKUP(Well_Head!F73,'Species Data'!D:F,3,FALSE)=0,"X",IF(G73&lt;44.1,2,1)))</f>
        <v>1</v>
      </c>
      <c r="I73" s="204">
        <f t="shared" ca="1" si="5"/>
        <v>0.12532237539401436</v>
      </c>
      <c r="J73" s="247">
        <f ca="1">IF(I73="","",IF(COUNTIF($D$12:D73,D73)=1,IF(H73=1,I73*H73,IF(H73="X","X",0)),0))</f>
        <v>0</v>
      </c>
      <c r="K73" s="248">
        <f t="shared" ca="1" si="6"/>
        <v>0</v>
      </c>
      <c r="L73" s="238" t="s">
        <v>615</v>
      </c>
      <c r="M73" s="212" t="s">
        <v>616</v>
      </c>
      <c r="N73" s="212" t="s">
        <v>260</v>
      </c>
      <c r="O73" s="213">
        <v>32589</v>
      </c>
      <c r="P73" s="212" t="s">
        <v>623</v>
      </c>
      <c r="Q73" s="214">
        <v>100</v>
      </c>
      <c r="R73" s="212" t="s">
        <v>531</v>
      </c>
      <c r="S73" s="212" t="s">
        <v>531</v>
      </c>
      <c r="T73" s="212" t="s">
        <v>531</v>
      </c>
      <c r="U73" s="212" t="s">
        <v>531</v>
      </c>
      <c r="V73" s="214" t="b">
        <v>1</v>
      </c>
      <c r="W73" s="225"/>
      <c r="X73" s="225"/>
      <c r="Y73" s="225"/>
      <c r="Z73" s="225"/>
      <c r="AA73" s="212" t="s">
        <v>531</v>
      </c>
      <c r="AB73" s="212" t="s">
        <v>531</v>
      </c>
      <c r="AC73" s="212" t="s">
        <v>618</v>
      </c>
      <c r="AD73" s="214">
        <v>1.072271</v>
      </c>
      <c r="AE73" s="214">
        <v>2283</v>
      </c>
      <c r="AF73" s="214">
        <v>6.52</v>
      </c>
      <c r="AG73" s="214">
        <v>-99</v>
      </c>
      <c r="AH73" s="212" t="s">
        <v>224</v>
      </c>
      <c r="AI73" s="212" t="s">
        <v>261</v>
      </c>
      <c r="AJ73" s="212" t="s">
        <v>224</v>
      </c>
      <c r="AK73" s="212" t="s">
        <v>531</v>
      </c>
      <c r="AL73" s="212" t="s">
        <v>531</v>
      </c>
      <c r="AM73" s="214" t="b">
        <v>0</v>
      </c>
      <c r="AN73" s="214" t="b">
        <v>0</v>
      </c>
      <c r="AO73" s="212" t="s">
        <v>357</v>
      </c>
      <c r="AP73" s="212" t="s">
        <v>358</v>
      </c>
      <c r="AQ73" s="214">
        <v>137.19212445472201</v>
      </c>
      <c r="AR73" s="214" t="b">
        <v>0</v>
      </c>
      <c r="AS73" s="212" t="s">
        <v>300</v>
      </c>
      <c r="AU73" s="222" t="s">
        <v>819</v>
      </c>
    </row>
    <row r="74" spans="1:47" s="219" customFormat="1" x14ac:dyDescent="0.25">
      <c r="A74" s="245">
        <f t="shared" si="7"/>
        <v>169</v>
      </c>
      <c r="B74" s="246" t="str">
        <f t="shared" si="0"/>
        <v>Oil Field - Well</v>
      </c>
      <c r="C74" s="246" t="str">
        <f ca="1">IF(B74="","",VLOOKUP(D74,'Species Data'!B:E,4,FALSE))</f>
        <v>trimentpen3</v>
      </c>
      <c r="D74" s="246">
        <f t="shared" ca="1" si="1"/>
        <v>130</v>
      </c>
      <c r="E74" s="246">
        <f t="shared" ca="1" si="2"/>
        <v>0.29509999999999997</v>
      </c>
      <c r="F74" s="246" t="str">
        <f t="shared" ca="1" si="3"/>
        <v>2,3,4-trimethylpentane</v>
      </c>
      <c r="G74" s="246">
        <f t="shared" ca="1" si="4"/>
        <v>114.22852</v>
      </c>
      <c r="H74" s="204">
        <f ca="1">IF(G74="","",IF(VLOOKUP(Well_Head!F74,'Species Data'!D:F,3,FALSE)=0,"X",IF(G74&lt;44.1,2,1)))</f>
        <v>1</v>
      </c>
      <c r="I74" s="204">
        <f t="shared" ca="1" si="5"/>
        <v>0.18992245434966645</v>
      </c>
      <c r="J74" s="247">
        <f ca="1">IF(I74="","",IF(COUNTIF($D$12:D74,D74)=1,IF(H74=1,I74*H74,IF(H74="X","X",0)),0))</f>
        <v>0</v>
      </c>
      <c r="K74" s="248">
        <f t="shared" ca="1" si="6"/>
        <v>0</v>
      </c>
      <c r="L74" s="238"/>
      <c r="M74" s="212"/>
      <c r="N74" s="212"/>
      <c r="O74" s="213"/>
      <c r="P74" s="212"/>
      <c r="Q74" s="214"/>
      <c r="R74" s="212"/>
      <c r="S74" s="212"/>
      <c r="T74" s="212"/>
      <c r="U74" s="212"/>
      <c r="V74" s="214"/>
      <c r="W74" s="225"/>
      <c r="X74" s="225"/>
      <c r="Y74" s="225"/>
      <c r="Z74" s="225"/>
      <c r="AA74" s="212"/>
      <c r="AB74" s="212"/>
      <c r="AC74" s="212"/>
      <c r="AD74" s="214"/>
      <c r="AE74" s="214"/>
      <c r="AF74" s="214"/>
      <c r="AG74" s="214"/>
      <c r="AH74" s="212"/>
      <c r="AI74" s="212"/>
      <c r="AJ74" s="212"/>
      <c r="AK74" s="212"/>
      <c r="AL74" s="212"/>
      <c r="AM74" s="214"/>
      <c r="AN74" s="214"/>
      <c r="AO74" s="212"/>
      <c r="AP74" s="212"/>
      <c r="AQ74" s="214"/>
      <c r="AR74" s="214"/>
      <c r="AS74" s="212"/>
      <c r="AU74" s="222" t="s">
        <v>819</v>
      </c>
    </row>
    <row r="75" spans="1:47" s="219" customFormat="1" x14ac:dyDescent="0.25">
      <c r="A75" s="245">
        <f t="shared" si="7"/>
        <v>170</v>
      </c>
      <c r="B75" s="246" t="str">
        <f t="shared" si="0"/>
        <v>Oil Field - Well</v>
      </c>
      <c r="C75" s="246" t="str">
        <f ca="1">IF(B75="","",VLOOKUP(D75,'Species Data'!B:E,4,FALSE))</f>
        <v>dimetbut</v>
      </c>
      <c r="D75" s="246">
        <f t="shared" ca="1" si="1"/>
        <v>136</v>
      </c>
      <c r="E75" s="246">
        <f t="shared" ca="1" si="2"/>
        <v>1.2881</v>
      </c>
      <c r="F75" s="246" t="str">
        <f t="shared" ca="1" si="3"/>
        <v>2,3-dimethylbutane</v>
      </c>
      <c r="G75" s="246">
        <f t="shared" ca="1" si="4"/>
        <v>86.175359999999998</v>
      </c>
      <c r="H75" s="204">
        <f ca="1">IF(G75="","",IF(VLOOKUP(Well_Head!F75,'Species Data'!D:F,3,FALSE)=0,"X",IF(G75&lt;44.1,2,1)))</f>
        <v>1</v>
      </c>
      <c r="I75" s="204">
        <f t="shared" ca="1" si="5"/>
        <v>0.77192316568386921</v>
      </c>
      <c r="J75" s="247">
        <f ca="1">IF(I75="","",IF(COUNTIF($D$12:D75,D75)=1,IF(H75=1,I75*H75,IF(H75="X","X",0)),0))</f>
        <v>0</v>
      </c>
      <c r="K75" s="248">
        <f t="shared" ca="1" si="6"/>
        <v>0</v>
      </c>
      <c r="L75" s="238" t="s">
        <v>624</v>
      </c>
      <c r="M75" s="212" t="s">
        <v>616</v>
      </c>
      <c r="N75" s="212" t="s">
        <v>260</v>
      </c>
      <c r="O75" s="213">
        <v>32589</v>
      </c>
      <c r="P75" s="212" t="s">
        <v>625</v>
      </c>
      <c r="Q75" s="214">
        <v>100</v>
      </c>
      <c r="R75" s="212" t="s">
        <v>531</v>
      </c>
      <c r="S75" s="212" t="s">
        <v>531</v>
      </c>
      <c r="T75" s="212" t="s">
        <v>531</v>
      </c>
      <c r="U75" s="212" t="s">
        <v>531</v>
      </c>
      <c r="V75" s="214" t="b">
        <v>1</v>
      </c>
      <c r="W75" s="225"/>
      <c r="X75" s="225"/>
      <c r="Y75" s="225"/>
      <c r="Z75" s="225"/>
      <c r="AA75" s="212" t="s">
        <v>531</v>
      </c>
      <c r="AB75" s="212" t="s">
        <v>531</v>
      </c>
      <c r="AC75" s="212" t="s">
        <v>618</v>
      </c>
      <c r="AD75" s="214">
        <v>1.212415</v>
      </c>
      <c r="AE75" s="214">
        <v>118</v>
      </c>
      <c r="AF75" s="214">
        <v>0.31999999999999995</v>
      </c>
      <c r="AG75" s="214">
        <v>-99</v>
      </c>
      <c r="AH75" s="212" t="s">
        <v>224</v>
      </c>
      <c r="AI75" s="212" t="s">
        <v>261</v>
      </c>
      <c r="AJ75" s="212" t="s">
        <v>297</v>
      </c>
      <c r="AK75" s="212" t="s">
        <v>531</v>
      </c>
      <c r="AL75" s="212" t="s">
        <v>619</v>
      </c>
      <c r="AM75" s="214" t="b">
        <v>1</v>
      </c>
      <c r="AN75" s="214" t="b">
        <v>1</v>
      </c>
      <c r="AO75" s="212" t="s">
        <v>298</v>
      </c>
      <c r="AP75" s="212" t="s">
        <v>299</v>
      </c>
      <c r="AQ75" s="214">
        <v>114.22852</v>
      </c>
      <c r="AR75" s="214" t="b">
        <v>0</v>
      </c>
      <c r="AS75" s="212" t="s">
        <v>300</v>
      </c>
      <c r="AU75" s="222" t="s">
        <v>819</v>
      </c>
    </row>
    <row r="76" spans="1:47" s="219" customFormat="1" ht="15" customHeight="1" x14ac:dyDescent="0.25">
      <c r="A76" s="245">
        <f t="shared" si="7"/>
        <v>171</v>
      </c>
      <c r="B76" s="246" t="str">
        <f t="shared" ref="B76:B139" si="8">IF(ROW(A76)-(ROW($A$12))&lt;$B$10,$B$9,"")</f>
        <v>Oil Field - Well</v>
      </c>
      <c r="C76" s="246" t="str">
        <f ca="1">IF(B76="","",VLOOKUP(D76,'Species Data'!B:E,4,FALSE))</f>
        <v>dimethhex23</v>
      </c>
      <c r="D76" s="246">
        <f t="shared" ca="1" si="1"/>
        <v>138</v>
      </c>
      <c r="E76" s="246">
        <f t="shared" ca="1" si="2"/>
        <v>5.6599999999999998E-2</v>
      </c>
      <c r="F76" s="246" t="str">
        <f t="shared" ca="1" si="3"/>
        <v>2,3-dimethylhexane</v>
      </c>
      <c r="G76" s="246">
        <f t="shared" ca="1" si="4"/>
        <v>114.22852</v>
      </c>
      <c r="H76" s="204">
        <f ca="1">IF(G76="","",IF(VLOOKUP(Well_Head!F76,'Species Data'!D:F,3,FALSE)=0,"X",IF(G76&lt;44.1,2,1)))</f>
        <v>1</v>
      </c>
      <c r="I76" s="204">
        <f t="shared" ca="1" si="5"/>
        <v>5.9266739103792238E-2</v>
      </c>
      <c r="J76" s="247">
        <f ca="1">IF(I76="","",IF(COUNTIF($D$12:D76,D76)=1,IF(H76=1,I76*H76,IF(H76="X","X",0)),0))</f>
        <v>0</v>
      </c>
      <c r="K76" s="248">
        <f t="shared" ca="1" si="6"/>
        <v>0</v>
      </c>
      <c r="L76" s="238" t="s">
        <v>624</v>
      </c>
      <c r="M76" s="212" t="s">
        <v>616</v>
      </c>
      <c r="N76" s="212" t="s">
        <v>260</v>
      </c>
      <c r="O76" s="213">
        <v>32589</v>
      </c>
      <c r="P76" s="212" t="s">
        <v>625</v>
      </c>
      <c r="Q76" s="214">
        <v>100</v>
      </c>
      <c r="R76" s="212" t="s">
        <v>531</v>
      </c>
      <c r="S76" s="212" t="s">
        <v>531</v>
      </c>
      <c r="T76" s="212" t="s">
        <v>531</v>
      </c>
      <c r="U76" s="212" t="s">
        <v>531</v>
      </c>
      <c r="V76" s="214" t="b">
        <v>1</v>
      </c>
      <c r="W76" s="225"/>
      <c r="X76" s="225"/>
      <c r="Y76" s="225"/>
      <c r="Z76" s="225"/>
      <c r="AA76" s="212" t="s">
        <v>531</v>
      </c>
      <c r="AB76" s="212" t="s">
        <v>531</v>
      </c>
      <c r="AC76" s="212" t="s">
        <v>618</v>
      </c>
      <c r="AD76" s="214">
        <v>1.212415</v>
      </c>
      <c r="AE76" s="214">
        <v>122</v>
      </c>
      <c r="AF76" s="214">
        <v>4.9999999999999996E-2</v>
      </c>
      <c r="AG76" s="214">
        <v>-99</v>
      </c>
      <c r="AH76" s="212" t="s">
        <v>224</v>
      </c>
      <c r="AI76" s="212" t="s">
        <v>261</v>
      </c>
      <c r="AJ76" s="212" t="s">
        <v>301</v>
      </c>
      <c r="AK76" s="212" t="s">
        <v>531</v>
      </c>
      <c r="AL76" s="212" t="s">
        <v>384</v>
      </c>
      <c r="AM76" s="214" t="b">
        <v>1</v>
      </c>
      <c r="AN76" s="214" t="b">
        <v>0</v>
      </c>
      <c r="AO76" s="212" t="s">
        <v>302</v>
      </c>
      <c r="AP76" s="212" t="s">
        <v>303</v>
      </c>
      <c r="AQ76" s="214">
        <v>86.175359999999998</v>
      </c>
      <c r="AR76" s="214" t="b">
        <v>0</v>
      </c>
      <c r="AS76" s="212" t="s">
        <v>300</v>
      </c>
      <c r="AU76" s="222" t="s">
        <v>819</v>
      </c>
    </row>
    <row r="77" spans="1:47" s="219" customFormat="1" x14ac:dyDescent="0.25">
      <c r="A77" s="245">
        <f t="shared" si="7"/>
        <v>172</v>
      </c>
      <c r="B77" s="246" t="str">
        <f t="shared" si="8"/>
        <v>Oil Field - Well</v>
      </c>
      <c r="C77" s="246" t="str">
        <f ca="1">IF(B77="","",VLOOKUP(D77,'Species Data'!B:E,4,FALSE))</f>
        <v>dimethhex24</v>
      </c>
      <c r="D77" s="246">
        <f t="shared" ref="D77:D140" ca="1" si="9">IF(B77="","",INDIRECT("AE"&amp;$A77))</f>
        <v>149</v>
      </c>
      <c r="E77" s="246">
        <f t="shared" ref="E77:E140" ca="1" si="10">IF(D77="","",INDIRECT("AF"&amp;$A77))</f>
        <v>0.25800000000000001</v>
      </c>
      <c r="F77" s="246" t="str">
        <f t="shared" ref="F77:F140" ca="1" si="11">IF(E77="","",INDIRECT("AO"&amp;$A77))</f>
        <v>2,4-dimethylhexane</v>
      </c>
      <c r="G77" s="246">
        <f t="shared" ref="G77:G140" ca="1" si="12">IF(F77="","",INDIRECT("AQ"&amp;$A77))</f>
        <v>114.22852</v>
      </c>
      <c r="H77" s="204">
        <f ca="1">IF(G77="","",IF(VLOOKUP(Well_Head!F77,'Species Data'!D:F,3,FALSE)=0,"X",IF(G77&lt;44.1,2,1)))</f>
        <v>1</v>
      </c>
      <c r="I77" s="204">
        <f t="shared" ref="I77:I140" ca="1" si="13">IF(H77="","",SUMIF(D:D,D77,E:E)/($E$9/100))</f>
        <v>0.16547798002864228</v>
      </c>
      <c r="J77" s="247">
        <f ca="1">IF(I77="","",IF(COUNTIF($D$12:D77,D77)=1,IF(H77=1,I77*H77,IF(H77="X","X",0)),0))</f>
        <v>0</v>
      </c>
      <c r="K77" s="248">
        <f t="shared" ref="K77:K140" ca="1" si="14">IF(J77="","",IF(J77="X",0,J77/$J$9*100))</f>
        <v>0</v>
      </c>
      <c r="L77" s="238" t="s">
        <v>624</v>
      </c>
      <c r="M77" s="212" t="s">
        <v>616</v>
      </c>
      <c r="N77" s="212" t="s">
        <v>260</v>
      </c>
      <c r="O77" s="213">
        <v>32589</v>
      </c>
      <c r="P77" s="212" t="s">
        <v>625</v>
      </c>
      <c r="Q77" s="214">
        <v>100</v>
      </c>
      <c r="R77" s="212" t="s">
        <v>531</v>
      </c>
      <c r="S77" s="212" t="s">
        <v>531</v>
      </c>
      <c r="T77" s="212" t="s">
        <v>531</v>
      </c>
      <c r="U77" s="212" t="s">
        <v>531</v>
      </c>
      <c r="V77" s="214" t="b">
        <v>1</v>
      </c>
      <c r="W77" s="225"/>
      <c r="X77" s="225"/>
      <c r="Y77" s="225"/>
      <c r="Z77" s="225"/>
      <c r="AA77" s="212" t="s">
        <v>531</v>
      </c>
      <c r="AB77" s="212" t="s">
        <v>531</v>
      </c>
      <c r="AC77" s="212" t="s">
        <v>618</v>
      </c>
      <c r="AD77" s="214">
        <v>1.212415</v>
      </c>
      <c r="AE77" s="214">
        <v>136</v>
      </c>
      <c r="AF77" s="214">
        <v>0.16999999999999998</v>
      </c>
      <c r="AG77" s="214">
        <v>-99</v>
      </c>
      <c r="AH77" s="212" t="s">
        <v>224</v>
      </c>
      <c r="AI77" s="212" t="s">
        <v>261</v>
      </c>
      <c r="AJ77" s="212" t="s">
        <v>304</v>
      </c>
      <c r="AK77" s="212" t="s">
        <v>531</v>
      </c>
      <c r="AL77" s="212" t="s">
        <v>620</v>
      </c>
      <c r="AM77" s="214" t="b">
        <v>1</v>
      </c>
      <c r="AN77" s="214" t="b">
        <v>0</v>
      </c>
      <c r="AO77" s="212" t="s">
        <v>305</v>
      </c>
      <c r="AP77" s="212" t="s">
        <v>306</v>
      </c>
      <c r="AQ77" s="214">
        <v>86.175359999999998</v>
      </c>
      <c r="AR77" s="214" t="b">
        <v>0</v>
      </c>
      <c r="AS77" s="212" t="s">
        <v>300</v>
      </c>
      <c r="AU77" s="222" t="s">
        <v>819</v>
      </c>
    </row>
    <row r="78" spans="1:47" s="219" customFormat="1" ht="15" customHeight="1" x14ac:dyDescent="0.25">
      <c r="A78" s="245">
        <f t="shared" ref="A78:A102" si="15">IF(B78="","",A77+1)</f>
        <v>173</v>
      </c>
      <c r="B78" s="246" t="str">
        <f t="shared" si="8"/>
        <v>Oil Field - Well</v>
      </c>
      <c r="C78" s="246" t="str">
        <f ca="1">IF(B78="","",VLOOKUP(D78,'Species Data'!B:E,4,FALSE))</f>
        <v>dimetpen4</v>
      </c>
      <c r="D78" s="246">
        <f t="shared" ca="1" si="9"/>
        <v>152</v>
      </c>
      <c r="E78" s="246">
        <f t="shared" ca="1" si="10"/>
        <v>0.26540000000000002</v>
      </c>
      <c r="F78" s="246" t="str">
        <f t="shared" ca="1" si="11"/>
        <v>2,4-dimethylpentane</v>
      </c>
      <c r="G78" s="246">
        <f t="shared" ca="1" si="12"/>
        <v>100.20194000000001</v>
      </c>
      <c r="H78" s="204">
        <f ca="1">IF(G78="","",IF(VLOOKUP(Well_Head!F78,'Species Data'!D:F,3,FALSE)=0,"X",IF(G78&lt;44.1,2,1)))</f>
        <v>1</v>
      </c>
      <c r="I78" s="204">
        <f t="shared" ca="1" si="13"/>
        <v>0.15698908076443205</v>
      </c>
      <c r="J78" s="247">
        <f ca="1">IF(I78="","",IF(COUNTIF($D$12:D78,D78)=1,IF(H78=1,I78*H78,IF(H78="X","X",0)),0))</f>
        <v>0</v>
      </c>
      <c r="K78" s="248">
        <f t="shared" ca="1" si="14"/>
        <v>0</v>
      </c>
      <c r="L78" s="238" t="s">
        <v>624</v>
      </c>
      <c r="M78" s="212" t="s">
        <v>616</v>
      </c>
      <c r="N78" s="212" t="s">
        <v>260</v>
      </c>
      <c r="O78" s="213">
        <v>32589</v>
      </c>
      <c r="P78" s="212" t="s">
        <v>625</v>
      </c>
      <c r="Q78" s="214">
        <v>100</v>
      </c>
      <c r="R78" s="212" t="s">
        <v>531</v>
      </c>
      <c r="S78" s="212" t="s">
        <v>531</v>
      </c>
      <c r="T78" s="212" t="s">
        <v>531</v>
      </c>
      <c r="U78" s="212" t="s">
        <v>531</v>
      </c>
      <c r="V78" s="214" t="b">
        <v>1</v>
      </c>
      <c r="W78" s="225"/>
      <c r="X78" s="225"/>
      <c r="Y78" s="225"/>
      <c r="Z78" s="225"/>
      <c r="AA78" s="212" t="s">
        <v>531</v>
      </c>
      <c r="AB78" s="212" t="s">
        <v>531</v>
      </c>
      <c r="AC78" s="212" t="s">
        <v>618</v>
      </c>
      <c r="AD78" s="214">
        <v>1.212415</v>
      </c>
      <c r="AE78" s="214">
        <v>140</v>
      </c>
      <c r="AF78" s="214">
        <v>0.10999999999999999</v>
      </c>
      <c r="AG78" s="214">
        <v>-99</v>
      </c>
      <c r="AH78" s="212" t="s">
        <v>224</v>
      </c>
      <c r="AI78" s="212" t="s">
        <v>261</v>
      </c>
      <c r="AJ78" s="212" t="s">
        <v>307</v>
      </c>
      <c r="AK78" s="212" t="s">
        <v>531</v>
      </c>
      <c r="AL78" s="212" t="s">
        <v>385</v>
      </c>
      <c r="AM78" s="214" t="b">
        <v>1</v>
      </c>
      <c r="AN78" s="214" t="b">
        <v>0</v>
      </c>
      <c r="AO78" s="212" t="s">
        <v>308</v>
      </c>
      <c r="AP78" s="212" t="s">
        <v>309</v>
      </c>
      <c r="AQ78" s="214">
        <v>100.20194000000001</v>
      </c>
      <c r="AR78" s="214" t="b">
        <v>0</v>
      </c>
      <c r="AS78" s="212" t="s">
        <v>300</v>
      </c>
      <c r="AU78" s="222" t="s">
        <v>819</v>
      </c>
    </row>
    <row r="79" spans="1:47" s="219" customFormat="1" x14ac:dyDescent="0.25">
      <c r="A79" s="245">
        <f t="shared" si="15"/>
        <v>174</v>
      </c>
      <c r="B79" s="246" t="str">
        <f t="shared" si="8"/>
        <v>Oil Field - Well</v>
      </c>
      <c r="C79" s="246" t="str">
        <f ca="1">IF(B79="","",VLOOKUP(D79,'Species Data'!B:E,4,FALSE))</f>
        <v>methep2</v>
      </c>
      <c r="D79" s="246">
        <f t="shared" ca="1" si="9"/>
        <v>193</v>
      </c>
      <c r="E79" s="246">
        <f t="shared" ca="1" si="10"/>
        <v>5.1299999999999998E-2</v>
      </c>
      <c r="F79" s="246" t="str">
        <f t="shared" ca="1" si="11"/>
        <v>2-methylheptane</v>
      </c>
      <c r="G79" s="246">
        <f t="shared" ca="1" si="12"/>
        <v>114.22852</v>
      </c>
      <c r="H79" s="204">
        <f ca="1">IF(G79="","",IF(VLOOKUP(Well_Head!F79,'Species Data'!D:F,3,FALSE)=0,"X",IF(G79&lt;44.1,2,1)))</f>
        <v>1</v>
      </c>
      <c r="I79" s="204">
        <f t="shared" ca="1" si="13"/>
        <v>0.21534470764353159</v>
      </c>
      <c r="J79" s="247">
        <f ca="1">IF(I79="","",IF(COUNTIF($D$12:D79,D79)=1,IF(H79=1,I79*H79,IF(H79="X","X",0)),0))</f>
        <v>0</v>
      </c>
      <c r="K79" s="248">
        <f t="shared" ca="1" si="14"/>
        <v>0</v>
      </c>
      <c r="L79" s="238" t="s">
        <v>624</v>
      </c>
      <c r="M79" s="212" t="s">
        <v>616</v>
      </c>
      <c r="N79" s="212" t="s">
        <v>260</v>
      </c>
      <c r="O79" s="213">
        <v>32589</v>
      </c>
      <c r="P79" s="212" t="s">
        <v>625</v>
      </c>
      <c r="Q79" s="214">
        <v>100</v>
      </c>
      <c r="R79" s="212" t="s">
        <v>531</v>
      </c>
      <c r="S79" s="212" t="s">
        <v>531</v>
      </c>
      <c r="T79" s="212" t="s">
        <v>531</v>
      </c>
      <c r="U79" s="212" t="s">
        <v>531</v>
      </c>
      <c r="V79" s="214" t="b">
        <v>1</v>
      </c>
      <c r="W79" s="225"/>
      <c r="X79" s="225"/>
      <c r="Y79" s="225"/>
      <c r="Z79" s="225"/>
      <c r="AA79" s="212" t="s">
        <v>531</v>
      </c>
      <c r="AB79" s="212" t="s">
        <v>531</v>
      </c>
      <c r="AC79" s="212" t="s">
        <v>618</v>
      </c>
      <c r="AD79" s="214">
        <v>1.212415</v>
      </c>
      <c r="AE79" s="214">
        <v>152</v>
      </c>
      <c r="AF79" s="214">
        <v>4.9999999999999996E-2</v>
      </c>
      <c r="AG79" s="214">
        <v>-99</v>
      </c>
      <c r="AH79" s="212" t="s">
        <v>224</v>
      </c>
      <c r="AI79" s="212" t="s">
        <v>261</v>
      </c>
      <c r="AJ79" s="212" t="s">
        <v>310</v>
      </c>
      <c r="AK79" s="212" t="s">
        <v>531</v>
      </c>
      <c r="AL79" s="212" t="s">
        <v>386</v>
      </c>
      <c r="AM79" s="214" t="b">
        <v>1</v>
      </c>
      <c r="AN79" s="214" t="b">
        <v>0</v>
      </c>
      <c r="AO79" s="212" t="s">
        <v>311</v>
      </c>
      <c r="AP79" s="212" t="s">
        <v>312</v>
      </c>
      <c r="AQ79" s="214">
        <v>100.20194000000001</v>
      </c>
      <c r="AR79" s="214" t="b">
        <v>0</v>
      </c>
      <c r="AS79" s="212" t="s">
        <v>300</v>
      </c>
      <c r="AU79" s="222" t="s">
        <v>819</v>
      </c>
    </row>
    <row r="80" spans="1:47" s="219" customFormat="1" x14ac:dyDescent="0.25">
      <c r="A80" s="245">
        <f t="shared" si="15"/>
        <v>175</v>
      </c>
      <c r="B80" s="246" t="str">
        <f t="shared" si="8"/>
        <v>Oil Field - Well</v>
      </c>
      <c r="C80" s="246" t="str">
        <f ca="1">IF(B80="","",VLOOKUP(D80,'Species Data'!B:E,4,FALSE))</f>
        <v>twomethex</v>
      </c>
      <c r="D80" s="246">
        <f t="shared" ca="1" si="9"/>
        <v>194</v>
      </c>
      <c r="E80" s="246">
        <f t="shared" ca="1" si="10"/>
        <v>0.7923</v>
      </c>
      <c r="F80" s="246" t="str">
        <f t="shared" ca="1" si="11"/>
        <v>2-methylhexane</v>
      </c>
      <c r="G80" s="246">
        <f t="shared" ca="1" si="12"/>
        <v>100.20194000000001</v>
      </c>
      <c r="H80" s="204">
        <f ca="1">IF(G80="","",IF(VLOOKUP(Well_Head!F80,'Species Data'!D:F,3,FALSE)=0,"X",IF(G80&lt;44.1,2,1)))</f>
        <v>1</v>
      </c>
      <c r="I80" s="204">
        <f t="shared" ca="1" si="13"/>
        <v>0.3337892968535851</v>
      </c>
      <c r="J80" s="247">
        <f ca="1">IF(I80="","",IF(COUNTIF($D$12:D80,D80)=1,IF(H80=1,I80*H80,IF(H80="X","X",0)),0))</f>
        <v>0</v>
      </c>
      <c r="K80" s="248">
        <f t="shared" ca="1" si="14"/>
        <v>0</v>
      </c>
      <c r="L80" s="238" t="s">
        <v>624</v>
      </c>
      <c r="M80" s="212" t="s">
        <v>616</v>
      </c>
      <c r="N80" s="212" t="s">
        <v>260</v>
      </c>
      <c r="O80" s="213">
        <v>32589</v>
      </c>
      <c r="P80" s="212" t="s">
        <v>625</v>
      </c>
      <c r="Q80" s="214">
        <v>100</v>
      </c>
      <c r="R80" s="212" t="s">
        <v>531</v>
      </c>
      <c r="S80" s="212" t="s">
        <v>531</v>
      </c>
      <c r="T80" s="212" t="s">
        <v>531</v>
      </c>
      <c r="U80" s="212" t="s">
        <v>531</v>
      </c>
      <c r="V80" s="214" t="b">
        <v>1</v>
      </c>
      <c r="W80" s="225"/>
      <c r="X80" s="225"/>
      <c r="Y80" s="225"/>
      <c r="Z80" s="225"/>
      <c r="AA80" s="212" t="s">
        <v>531</v>
      </c>
      <c r="AB80" s="212" t="s">
        <v>531</v>
      </c>
      <c r="AC80" s="212" t="s">
        <v>618</v>
      </c>
      <c r="AD80" s="214">
        <v>1.212415</v>
      </c>
      <c r="AE80" s="214">
        <v>193</v>
      </c>
      <c r="AF80" s="214">
        <v>0.22999999999999998</v>
      </c>
      <c r="AG80" s="214">
        <v>-99</v>
      </c>
      <c r="AH80" s="212" t="s">
        <v>224</v>
      </c>
      <c r="AI80" s="212" t="s">
        <v>261</v>
      </c>
      <c r="AJ80" s="212" t="s">
        <v>313</v>
      </c>
      <c r="AK80" s="212" t="s">
        <v>531</v>
      </c>
      <c r="AL80" s="212" t="s">
        <v>387</v>
      </c>
      <c r="AM80" s="214" t="b">
        <v>1</v>
      </c>
      <c r="AN80" s="214" t="b">
        <v>0</v>
      </c>
      <c r="AO80" s="212" t="s">
        <v>314</v>
      </c>
      <c r="AP80" s="212" t="s">
        <v>315</v>
      </c>
      <c r="AQ80" s="214">
        <v>114.22852</v>
      </c>
      <c r="AR80" s="214" t="b">
        <v>0</v>
      </c>
      <c r="AS80" s="212" t="s">
        <v>300</v>
      </c>
      <c r="AU80" s="222" t="s">
        <v>819</v>
      </c>
    </row>
    <row r="81" spans="1:47" s="219" customFormat="1" x14ac:dyDescent="0.25">
      <c r="A81" s="245">
        <f t="shared" si="15"/>
        <v>176</v>
      </c>
      <c r="B81" s="246" t="str">
        <f t="shared" si="8"/>
        <v>Oil Field - Well</v>
      </c>
      <c r="C81" s="246" t="str">
        <f ca="1">IF(B81="","",VLOOKUP(D81,'Species Data'!B:E,4,FALSE))</f>
        <v>twometpen</v>
      </c>
      <c r="D81" s="246">
        <f t="shared" ca="1" si="9"/>
        <v>199</v>
      </c>
      <c r="E81" s="246">
        <f t="shared" ca="1" si="10"/>
        <v>1.7399999999999999E-2</v>
      </c>
      <c r="F81" s="246" t="str">
        <f t="shared" ca="1" si="11"/>
        <v>2-methylpentane (isohexane)</v>
      </c>
      <c r="G81" s="246">
        <f t="shared" ca="1" si="12"/>
        <v>86.175359999999998</v>
      </c>
      <c r="H81" s="204">
        <f ca="1">IF(G81="","",IF(VLOOKUP(Well_Head!F81,'Species Data'!D:F,3,FALSE)=0,"X",IF(G81&lt;44.1,2,1)))</f>
        <v>1</v>
      </c>
      <c r="I81" s="204">
        <f t="shared" ca="1" si="13"/>
        <v>0.797867641838229</v>
      </c>
      <c r="J81" s="247">
        <f ca="1">IF(I81="","",IF(COUNTIF($D$12:D81,D81)=1,IF(H81=1,I81*H81,IF(H81="X","X",0)),0))</f>
        <v>0</v>
      </c>
      <c r="K81" s="248">
        <f t="shared" ca="1" si="14"/>
        <v>0</v>
      </c>
      <c r="L81" s="238" t="s">
        <v>624</v>
      </c>
      <c r="M81" s="212" t="s">
        <v>616</v>
      </c>
      <c r="N81" s="212" t="s">
        <v>260</v>
      </c>
      <c r="O81" s="213">
        <v>32589</v>
      </c>
      <c r="P81" s="212" t="s">
        <v>625</v>
      </c>
      <c r="Q81" s="214">
        <v>100</v>
      </c>
      <c r="R81" s="212" t="s">
        <v>531</v>
      </c>
      <c r="S81" s="212" t="s">
        <v>531</v>
      </c>
      <c r="T81" s="212" t="s">
        <v>531</v>
      </c>
      <c r="U81" s="212" t="s">
        <v>531</v>
      </c>
      <c r="V81" s="214" t="b">
        <v>1</v>
      </c>
      <c r="W81" s="225"/>
      <c r="X81" s="225"/>
      <c r="Y81" s="225"/>
      <c r="Z81" s="225"/>
      <c r="AA81" s="212" t="s">
        <v>531</v>
      </c>
      <c r="AB81" s="212" t="s">
        <v>531</v>
      </c>
      <c r="AC81" s="212" t="s">
        <v>618</v>
      </c>
      <c r="AD81" s="214">
        <v>1.212415</v>
      </c>
      <c r="AE81" s="214">
        <v>194</v>
      </c>
      <c r="AF81" s="214">
        <v>0.24</v>
      </c>
      <c r="AG81" s="214">
        <v>-99</v>
      </c>
      <c r="AH81" s="212" t="s">
        <v>224</v>
      </c>
      <c r="AI81" s="212" t="s">
        <v>261</v>
      </c>
      <c r="AJ81" s="212" t="s">
        <v>316</v>
      </c>
      <c r="AK81" s="212" t="s">
        <v>531</v>
      </c>
      <c r="AL81" s="212" t="s">
        <v>388</v>
      </c>
      <c r="AM81" s="214" t="b">
        <v>1</v>
      </c>
      <c r="AN81" s="214" t="b">
        <v>0</v>
      </c>
      <c r="AO81" s="212" t="s">
        <v>317</v>
      </c>
      <c r="AP81" s="212" t="s">
        <v>318</v>
      </c>
      <c r="AQ81" s="214">
        <v>100.20194000000001</v>
      </c>
      <c r="AR81" s="214" t="b">
        <v>0</v>
      </c>
      <c r="AS81" s="212" t="s">
        <v>300</v>
      </c>
      <c r="AU81" s="222" t="s">
        <v>819</v>
      </c>
    </row>
    <row r="82" spans="1:47" s="219" customFormat="1" x14ac:dyDescent="0.25">
      <c r="A82" s="245">
        <f t="shared" si="15"/>
        <v>177</v>
      </c>
      <c r="B82" s="246" t="str">
        <f t="shared" si="8"/>
        <v>Oil Field - Well</v>
      </c>
      <c r="C82" s="246" t="str">
        <f ca="1">IF(B82="","",VLOOKUP(D82,'Species Data'!B:E,4,FALSE))</f>
        <v>ethylhexane</v>
      </c>
      <c r="D82" s="246">
        <f t="shared" ca="1" si="9"/>
        <v>226</v>
      </c>
      <c r="E82" s="246">
        <f t="shared" ca="1" si="10"/>
        <v>0.17749999999999999</v>
      </c>
      <c r="F82" s="246" t="str">
        <f t="shared" ca="1" si="11"/>
        <v>3-ethylhexane</v>
      </c>
      <c r="G82" s="246">
        <f t="shared" ca="1" si="12"/>
        <v>114.22852</v>
      </c>
      <c r="H82" s="204" t="str">
        <f ca="1">IF(G82="","",IF(VLOOKUP(Well_Head!F82,'Species Data'!D:F,3,FALSE)=0,"X",IF(G82&lt;44.1,2,1)))</f>
        <v>X</v>
      </c>
      <c r="I82" s="204">
        <f t="shared" ca="1" si="13"/>
        <v>0.19565579469041575</v>
      </c>
      <c r="J82" s="247">
        <f ca="1">IF(I82="","",IF(COUNTIF($D$12:D82,D82)=1,IF(H82=1,I82*H82,IF(H82="X","X",0)),0))</f>
        <v>0</v>
      </c>
      <c r="K82" s="248">
        <f t="shared" ca="1" si="14"/>
        <v>0</v>
      </c>
      <c r="L82" s="238" t="s">
        <v>624</v>
      </c>
      <c r="M82" s="212" t="s">
        <v>616</v>
      </c>
      <c r="N82" s="212" t="s">
        <v>260</v>
      </c>
      <c r="O82" s="213">
        <v>32589</v>
      </c>
      <c r="P82" s="212" t="s">
        <v>625</v>
      </c>
      <c r="Q82" s="214">
        <v>100</v>
      </c>
      <c r="R82" s="212" t="s">
        <v>531</v>
      </c>
      <c r="S82" s="212" t="s">
        <v>531</v>
      </c>
      <c r="T82" s="212" t="s">
        <v>531</v>
      </c>
      <c r="U82" s="212" t="s">
        <v>531</v>
      </c>
      <c r="V82" s="214" t="b">
        <v>1</v>
      </c>
      <c r="W82" s="225"/>
      <c r="X82" s="225"/>
      <c r="Y82" s="225"/>
      <c r="Z82" s="225"/>
      <c r="AA82" s="212" t="s">
        <v>531</v>
      </c>
      <c r="AB82" s="212" t="s">
        <v>531</v>
      </c>
      <c r="AC82" s="212" t="s">
        <v>618</v>
      </c>
      <c r="AD82" s="214">
        <v>1.212415</v>
      </c>
      <c r="AE82" s="214">
        <v>199</v>
      </c>
      <c r="AF82" s="214">
        <v>1.48</v>
      </c>
      <c r="AG82" s="214">
        <v>-99</v>
      </c>
      <c r="AH82" s="212" t="s">
        <v>224</v>
      </c>
      <c r="AI82" s="212" t="s">
        <v>261</v>
      </c>
      <c r="AJ82" s="212" t="s">
        <v>319</v>
      </c>
      <c r="AK82" s="212" t="s">
        <v>531</v>
      </c>
      <c r="AL82" s="212" t="s">
        <v>389</v>
      </c>
      <c r="AM82" s="214" t="b">
        <v>1</v>
      </c>
      <c r="AN82" s="214" t="b">
        <v>0</v>
      </c>
      <c r="AO82" s="212" t="s">
        <v>320</v>
      </c>
      <c r="AP82" s="212" t="s">
        <v>321</v>
      </c>
      <c r="AQ82" s="214">
        <v>86.175359999999998</v>
      </c>
      <c r="AR82" s="214" t="b">
        <v>0</v>
      </c>
      <c r="AS82" s="212" t="s">
        <v>300</v>
      </c>
      <c r="AU82" s="222" t="s">
        <v>819</v>
      </c>
    </row>
    <row r="83" spans="1:47" s="219" customFormat="1" x14ac:dyDescent="0.25">
      <c r="A83" s="245">
        <f t="shared" si="15"/>
        <v>178</v>
      </c>
      <c r="B83" s="246" t="str">
        <f t="shared" si="8"/>
        <v>Oil Field - Well</v>
      </c>
      <c r="C83" s="246" t="str">
        <f ca="1">IF(B83="","",VLOOKUP(D83,'Species Data'!B:E,4,FALSE))</f>
        <v>threemethex</v>
      </c>
      <c r="D83" s="246">
        <f t="shared" ca="1" si="9"/>
        <v>245</v>
      </c>
      <c r="E83" s="246">
        <f t="shared" ca="1" si="10"/>
        <v>2.2800000000000001E-2</v>
      </c>
      <c r="F83" s="246" t="str">
        <f t="shared" ca="1" si="11"/>
        <v>3-methylhexane</v>
      </c>
      <c r="G83" s="246">
        <f t="shared" ca="1" si="12"/>
        <v>100.20194000000001</v>
      </c>
      <c r="H83" s="204">
        <f ca="1">IF(G83="","",IF(VLOOKUP(Well_Head!F83,'Species Data'!D:F,3,FALSE)=0,"X",IF(G83&lt;44.1,2,1)))</f>
        <v>1</v>
      </c>
      <c r="I83" s="204">
        <f t="shared" ca="1" si="13"/>
        <v>0.3128559379350353</v>
      </c>
      <c r="J83" s="247">
        <f ca="1">IF(I83="","",IF(COUNTIF($D$12:D83,D83)=1,IF(H83=1,I83*H83,IF(H83="X","X",0)),0))</f>
        <v>0</v>
      </c>
      <c r="K83" s="248">
        <f t="shared" ca="1" si="14"/>
        <v>0</v>
      </c>
      <c r="L83" s="238" t="s">
        <v>624</v>
      </c>
      <c r="M83" s="212" t="s">
        <v>616</v>
      </c>
      <c r="N83" s="212" t="s">
        <v>260</v>
      </c>
      <c r="O83" s="213">
        <v>32589</v>
      </c>
      <c r="P83" s="212" t="s">
        <v>625</v>
      </c>
      <c r="Q83" s="214">
        <v>100</v>
      </c>
      <c r="R83" s="212" t="s">
        <v>531</v>
      </c>
      <c r="S83" s="212" t="s">
        <v>531</v>
      </c>
      <c r="T83" s="212" t="s">
        <v>531</v>
      </c>
      <c r="U83" s="212" t="s">
        <v>531</v>
      </c>
      <c r="V83" s="214" t="b">
        <v>1</v>
      </c>
      <c r="W83" s="225"/>
      <c r="X83" s="225"/>
      <c r="Y83" s="225"/>
      <c r="Z83" s="225"/>
      <c r="AA83" s="212" t="s">
        <v>531</v>
      </c>
      <c r="AB83" s="212" t="s">
        <v>531</v>
      </c>
      <c r="AC83" s="212" t="s">
        <v>618</v>
      </c>
      <c r="AD83" s="214">
        <v>1.212415</v>
      </c>
      <c r="AE83" s="214">
        <v>244</v>
      </c>
      <c r="AF83" s="214">
        <v>9.9999999999999992E-2</v>
      </c>
      <c r="AG83" s="214">
        <v>-99</v>
      </c>
      <c r="AH83" s="212" t="s">
        <v>224</v>
      </c>
      <c r="AI83" s="212" t="s">
        <v>261</v>
      </c>
      <c r="AJ83" s="212" t="s">
        <v>322</v>
      </c>
      <c r="AK83" s="212" t="s">
        <v>531</v>
      </c>
      <c r="AL83" s="212" t="s">
        <v>531</v>
      </c>
      <c r="AM83" s="214" t="b">
        <v>1</v>
      </c>
      <c r="AN83" s="214" t="b">
        <v>0</v>
      </c>
      <c r="AO83" s="212" t="s">
        <v>323</v>
      </c>
      <c r="AP83" s="212" t="s">
        <v>324</v>
      </c>
      <c r="AQ83" s="214">
        <v>114.22852</v>
      </c>
      <c r="AR83" s="214" t="b">
        <v>0</v>
      </c>
      <c r="AS83" s="212" t="s">
        <v>300</v>
      </c>
      <c r="AU83" s="222" t="s">
        <v>819</v>
      </c>
    </row>
    <row r="84" spans="1:47" s="219" customFormat="1" x14ac:dyDescent="0.25">
      <c r="A84" s="245">
        <f t="shared" si="15"/>
        <v>179</v>
      </c>
      <c r="B84" s="246" t="str">
        <f t="shared" si="8"/>
        <v>Oil Field - Well</v>
      </c>
      <c r="C84" s="246" t="str">
        <f ca="1">IF(B84="","",VLOOKUP(D84,'Species Data'!B:E,4,FALSE))</f>
        <v>threemetpen</v>
      </c>
      <c r="D84" s="246">
        <f t="shared" ca="1" si="9"/>
        <v>248</v>
      </c>
      <c r="E84" s="246">
        <f t="shared" ca="1" si="10"/>
        <v>7.1199999999999999E-2</v>
      </c>
      <c r="F84" s="246" t="str">
        <f t="shared" ca="1" si="11"/>
        <v>3-methylpentane</v>
      </c>
      <c r="G84" s="246">
        <f t="shared" ca="1" si="12"/>
        <v>86.175359999999998</v>
      </c>
      <c r="H84" s="204">
        <f ca="1">IF(G84="","",IF(VLOOKUP(Well_Head!F84,'Species Data'!D:F,3,FALSE)=0,"X",IF(G84&lt;44.1,2,1)))</f>
        <v>1</v>
      </c>
      <c r="I84" s="204">
        <f t="shared" ca="1" si="13"/>
        <v>0.69705640751338704</v>
      </c>
      <c r="J84" s="247">
        <f ca="1">IF(I84="","",IF(COUNTIF($D$12:D84,D84)=1,IF(H84=1,I84*H84,IF(H84="X","X",0)),0))</f>
        <v>0</v>
      </c>
      <c r="K84" s="248">
        <f t="shared" ca="1" si="14"/>
        <v>0</v>
      </c>
      <c r="L84" s="238" t="s">
        <v>624</v>
      </c>
      <c r="M84" s="212" t="s">
        <v>616</v>
      </c>
      <c r="N84" s="212" t="s">
        <v>260</v>
      </c>
      <c r="O84" s="213">
        <v>32589</v>
      </c>
      <c r="P84" s="212" t="s">
        <v>625</v>
      </c>
      <c r="Q84" s="214">
        <v>100</v>
      </c>
      <c r="R84" s="212" t="s">
        <v>531</v>
      </c>
      <c r="S84" s="212" t="s">
        <v>531</v>
      </c>
      <c r="T84" s="212" t="s">
        <v>531</v>
      </c>
      <c r="U84" s="212" t="s">
        <v>531</v>
      </c>
      <c r="V84" s="214" t="b">
        <v>1</v>
      </c>
      <c r="W84" s="225"/>
      <c r="X84" s="225"/>
      <c r="Y84" s="225"/>
      <c r="Z84" s="225"/>
      <c r="AA84" s="212" t="s">
        <v>531</v>
      </c>
      <c r="AB84" s="212" t="s">
        <v>531</v>
      </c>
      <c r="AC84" s="212" t="s">
        <v>618</v>
      </c>
      <c r="AD84" s="214">
        <v>1.212415</v>
      </c>
      <c r="AE84" s="214">
        <v>245</v>
      </c>
      <c r="AF84" s="214">
        <v>0.31999999999999995</v>
      </c>
      <c r="AG84" s="214">
        <v>-99</v>
      </c>
      <c r="AH84" s="212" t="s">
        <v>224</v>
      </c>
      <c r="AI84" s="212" t="s">
        <v>261</v>
      </c>
      <c r="AJ84" s="212" t="s">
        <v>325</v>
      </c>
      <c r="AK84" s="212" t="s">
        <v>531</v>
      </c>
      <c r="AL84" s="212" t="s">
        <v>390</v>
      </c>
      <c r="AM84" s="214" t="b">
        <v>1</v>
      </c>
      <c r="AN84" s="214" t="b">
        <v>0</v>
      </c>
      <c r="AO84" s="212" t="s">
        <v>326</v>
      </c>
      <c r="AP84" s="212" t="s">
        <v>327</v>
      </c>
      <c r="AQ84" s="214">
        <v>100.20194000000001</v>
      </c>
      <c r="AR84" s="214" t="b">
        <v>0</v>
      </c>
      <c r="AS84" s="212" t="s">
        <v>300</v>
      </c>
      <c r="AU84" s="222" t="s">
        <v>819</v>
      </c>
    </row>
    <row r="85" spans="1:47" s="219" customFormat="1" x14ac:dyDescent="0.25">
      <c r="A85" s="245">
        <f t="shared" si="15"/>
        <v>180</v>
      </c>
      <c r="B85" s="246" t="str">
        <f t="shared" si="8"/>
        <v>Oil Field - Well</v>
      </c>
      <c r="C85" s="246" t="str">
        <f ca="1">IF(B85="","",VLOOKUP(D85,'Species Data'!B:E,4,FALSE))</f>
        <v>cyclohexane</v>
      </c>
      <c r="D85" s="246">
        <f t="shared" ca="1" si="9"/>
        <v>385</v>
      </c>
      <c r="E85" s="246">
        <f t="shared" ca="1" si="10"/>
        <v>0.15640000000000001</v>
      </c>
      <c r="F85" s="246" t="str">
        <f t="shared" ca="1" si="11"/>
        <v>Cyclohexane</v>
      </c>
      <c r="G85" s="246">
        <f t="shared" ca="1" si="12"/>
        <v>84.159480000000002</v>
      </c>
      <c r="H85" s="204">
        <f ca="1">IF(G85="","",IF(VLOOKUP(Well_Head!F85,'Species Data'!D:F,3,FALSE)=0,"X",IF(G85&lt;44.1,2,1)))</f>
        <v>1</v>
      </c>
      <c r="I85" s="204">
        <f t="shared" ca="1" si="13"/>
        <v>7.8433429196413454E-2</v>
      </c>
      <c r="J85" s="247">
        <f ca="1">IF(I85="","",IF(COUNTIF($D$12:D85,D85)=1,IF(H85=1,I85*H85,IF(H85="X","X",0)),0))</f>
        <v>0</v>
      </c>
      <c r="K85" s="248">
        <f t="shared" ca="1" si="14"/>
        <v>0</v>
      </c>
      <c r="L85" s="238" t="s">
        <v>624</v>
      </c>
      <c r="M85" s="212" t="s">
        <v>616</v>
      </c>
      <c r="N85" s="212" t="s">
        <v>260</v>
      </c>
      <c r="O85" s="213">
        <v>32589</v>
      </c>
      <c r="P85" s="212" t="s">
        <v>625</v>
      </c>
      <c r="Q85" s="214">
        <v>100</v>
      </c>
      <c r="R85" s="212" t="s">
        <v>531</v>
      </c>
      <c r="S85" s="212" t="s">
        <v>531</v>
      </c>
      <c r="T85" s="212" t="s">
        <v>531</v>
      </c>
      <c r="U85" s="212" t="s">
        <v>531</v>
      </c>
      <c r="V85" s="214" t="b">
        <v>1</v>
      </c>
      <c r="W85" s="225"/>
      <c r="X85" s="225"/>
      <c r="Y85" s="225"/>
      <c r="Z85" s="225"/>
      <c r="AA85" s="212" t="s">
        <v>531</v>
      </c>
      <c r="AB85" s="212" t="s">
        <v>531</v>
      </c>
      <c r="AC85" s="212" t="s">
        <v>618</v>
      </c>
      <c r="AD85" s="214">
        <v>1.212415</v>
      </c>
      <c r="AE85" s="214">
        <v>248</v>
      </c>
      <c r="AF85" s="214">
        <v>0.83</v>
      </c>
      <c r="AG85" s="214">
        <v>-99</v>
      </c>
      <c r="AH85" s="212" t="s">
        <v>224</v>
      </c>
      <c r="AI85" s="212" t="s">
        <v>261</v>
      </c>
      <c r="AJ85" s="212" t="s">
        <v>328</v>
      </c>
      <c r="AK85" s="212" t="s">
        <v>531</v>
      </c>
      <c r="AL85" s="212" t="s">
        <v>391</v>
      </c>
      <c r="AM85" s="214" t="b">
        <v>1</v>
      </c>
      <c r="AN85" s="214" t="b">
        <v>0</v>
      </c>
      <c r="AO85" s="212" t="s">
        <v>329</v>
      </c>
      <c r="AP85" s="212" t="s">
        <v>330</v>
      </c>
      <c r="AQ85" s="214">
        <v>86.175359999999998</v>
      </c>
      <c r="AR85" s="214" t="b">
        <v>0</v>
      </c>
      <c r="AS85" s="212" t="s">
        <v>300</v>
      </c>
      <c r="AU85" s="222" t="s">
        <v>819</v>
      </c>
    </row>
    <row r="86" spans="1:47" s="219" customFormat="1" x14ac:dyDescent="0.25">
      <c r="A86" s="245">
        <f t="shared" si="15"/>
        <v>181</v>
      </c>
      <c r="B86" s="246" t="str">
        <f t="shared" si="8"/>
        <v>Oil Field - Well</v>
      </c>
      <c r="C86" s="246" t="str">
        <f ca="1">IF(B86="","",VLOOKUP(D86,'Species Data'!B:E,4,FALSE))</f>
        <v>ethane</v>
      </c>
      <c r="D86" s="246">
        <f t="shared" ca="1" si="9"/>
        <v>438</v>
      </c>
      <c r="E86" s="246">
        <f t="shared" ca="1" si="10"/>
        <v>0.12139999999999999</v>
      </c>
      <c r="F86" s="246" t="str">
        <f t="shared" ca="1" si="11"/>
        <v>Ethane</v>
      </c>
      <c r="G86" s="246">
        <f t="shared" ca="1" si="12"/>
        <v>30.069040000000005</v>
      </c>
      <c r="H86" s="204">
        <f ca="1">IF(G86="","",IF(VLOOKUP(Well_Head!F86,'Species Data'!D:F,3,FALSE)=0,"X",IF(G86&lt;44.1,2,1)))</f>
        <v>2</v>
      </c>
      <c r="I86" s="204">
        <f t="shared" ca="1" si="13"/>
        <v>7.2582977601417076</v>
      </c>
      <c r="J86" s="247">
        <f ca="1">IF(I86="","",IF(COUNTIF($D$12:D86,D86)=1,IF(H86=1,I86*H86,IF(H86="X","X",0)),0))</f>
        <v>0</v>
      </c>
      <c r="K86" s="248">
        <f t="shared" ca="1" si="14"/>
        <v>0</v>
      </c>
      <c r="L86" s="238" t="s">
        <v>624</v>
      </c>
      <c r="M86" s="212" t="s">
        <v>616</v>
      </c>
      <c r="N86" s="212" t="s">
        <v>260</v>
      </c>
      <c r="O86" s="213">
        <v>32589</v>
      </c>
      <c r="P86" s="212" t="s">
        <v>625</v>
      </c>
      <c r="Q86" s="214">
        <v>100</v>
      </c>
      <c r="R86" s="212" t="s">
        <v>531</v>
      </c>
      <c r="S86" s="212" t="s">
        <v>531</v>
      </c>
      <c r="T86" s="212" t="s">
        <v>531</v>
      </c>
      <c r="U86" s="212" t="s">
        <v>531</v>
      </c>
      <c r="V86" s="214" t="b">
        <v>1</v>
      </c>
      <c r="W86" s="225"/>
      <c r="X86" s="225"/>
      <c r="Y86" s="225"/>
      <c r="Z86" s="225"/>
      <c r="AA86" s="212" t="s">
        <v>531</v>
      </c>
      <c r="AB86" s="212" t="s">
        <v>531</v>
      </c>
      <c r="AC86" s="212" t="s">
        <v>618</v>
      </c>
      <c r="AD86" s="214">
        <v>1.212415</v>
      </c>
      <c r="AE86" s="214">
        <v>302</v>
      </c>
      <c r="AF86" s="214">
        <v>4.9999999999999996E-2</v>
      </c>
      <c r="AG86" s="214">
        <v>-99</v>
      </c>
      <c r="AH86" s="212" t="s">
        <v>224</v>
      </c>
      <c r="AI86" s="212" t="s">
        <v>261</v>
      </c>
      <c r="AJ86" s="212" t="s">
        <v>262</v>
      </c>
      <c r="AK86" s="212" t="s">
        <v>531</v>
      </c>
      <c r="AL86" s="212" t="s">
        <v>373</v>
      </c>
      <c r="AM86" s="214" t="b">
        <v>1</v>
      </c>
      <c r="AN86" s="214" t="b">
        <v>1</v>
      </c>
      <c r="AO86" s="212" t="s">
        <v>263</v>
      </c>
      <c r="AP86" s="212" t="s">
        <v>264</v>
      </c>
      <c r="AQ86" s="214">
        <v>78.111840000000001</v>
      </c>
      <c r="AR86" s="214" t="b">
        <v>0</v>
      </c>
      <c r="AS86" s="212" t="s">
        <v>300</v>
      </c>
      <c r="AU86" s="222" t="s">
        <v>819</v>
      </c>
    </row>
    <row r="87" spans="1:47" s="219" customFormat="1" x14ac:dyDescent="0.25">
      <c r="A87" s="245">
        <f t="shared" si="15"/>
        <v>182</v>
      </c>
      <c r="B87" s="246" t="str">
        <f t="shared" si="8"/>
        <v>Oil Field - Well</v>
      </c>
      <c r="C87" s="246" t="str">
        <f ca="1">IF(B87="","",VLOOKUP(D87,'Species Data'!B:E,4,FALSE))</f>
        <v>ethyl_benz</v>
      </c>
      <c r="D87" s="246">
        <f t="shared" ca="1" si="9"/>
        <v>449</v>
      </c>
      <c r="E87" s="246">
        <f t="shared" ca="1" si="10"/>
        <v>0.79630000000000001</v>
      </c>
      <c r="F87" s="246" t="str">
        <f t="shared" ca="1" si="11"/>
        <v>Ethylbenzene</v>
      </c>
      <c r="G87" s="246">
        <f t="shared" ca="1" si="12"/>
        <v>106.16500000000001</v>
      </c>
      <c r="H87" s="204">
        <f ca="1">IF(G87="","",IF(VLOOKUP(Well_Head!F87,'Species Data'!D:F,3,FALSE)=0,"X",IF(G87&lt;44.1,2,1)))</f>
        <v>1</v>
      </c>
      <c r="I87" s="204">
        <f t="shared" ca="1" si="13"/>
        <v>0.43623386650805906</v>
      </c>
      <c r="J87" s="247">
        <f ca="1">IF(I87="","",IF(COUNTIF($D$12:D87,D87)=1,IF(H87=1,I87*H87,IF(H87="X","X",0)),0))</f>
        <v>0</v>
      </c>
      <c r="K87" s="248">
        <f t="shared" ca="1" si="14"/>
        <v>0</v>
      </c>
      <c r="L87" s="238" t="s">
        <v>624</v>
      </c>
      <c r="M87" s="212" t="s">
        <v>616</v>
      </c>
      <c r="N87" s="212" t="s">
        <v>260</v>
      </c>
      <c r="O87" s="213">
        <v>32589</v>
      </c>
      <c r="P87" s="212" t="s">
        <v>625</v>
      </c>
      <c r="Q87" s="214">
        <v>100</v>
      </c>
      <c r="R87" s="212" t="s">
        <v>531</v>
      </c>
      <c r="S87" s="212" t="s">
        <v>531</v>
      </c>
      <c r="T87" s="212" t="s">
        <v>531</v>
      </c>
      <c r="U87" s="212" t="s">
        <v>531</v>
      </c>
      <c r="V87" s="214" t="b">
        <v>1</v>
      </c>
      <c r="W87" s="225"/>
      <c r="X87" s="225"/>
      <c r="Y87" s="225"/>
      <c r="Z87" s="225"/>
      <c r="AA87" s="212" t="s">
        <v>531</v>
      </c>
      <c r="AB87" s="212" t="s">
        <v>531</v>
      </c>
      <c r="AC87" s="212" t="s">
        <v>618</v>
      </c>
      <c r="AD87" s="214">
        <v>1.212415</v>
      </c>
      <c r="AE87" s="214">
        <v>385</v>
      </c>
      <c r="AF87" s="214">
        <v>0.67999999999999994</v>
      </c>
      <c r="AG87" s="214">
        <v>-99</v>
      </c>
      <c r="AH87" s="212" t="s">
        <v>224</v>
      </c>
      <c r="AI87" s="212" t="s">
        <v>261</v>
      </c>
      <c r="AJ87" s="212" t="s">
        <v>331</v>
      </c>
      <c r="AK87" s="212" t="s">
        <v>531</v>
      </c>
      <c r="AL87" s="212" t="s">
        <v>392</v>
      </c>
      <c r="AM87" s="214" t="b">
        <v>1</v>
      </c>
      <c r="AN87" s="214" t="b">
        <v>0</v>
      </c>
      <c r="AO87" s="212" t="s">
        <v>332</v>
      </c>
      <c r="AP87" s="212" t="s">
        <v>333</v>
      </c>
      <c r="AQ87" s="214">
        <v>84.159480000000002</v>
      </c>
      <c r="AR87" s="214" t="b">
        <v>0</v>
      </c>
      <c r="AS87" s="212" t="s">
        <v>300</v>
      </c>
      <c r="AU87" s="222" t="s">
        <v>819</v>
      </c>
    </row>
    <row r="88" spans="1:47" s="219" customFormat="1" x14ac:dyDescent="0.25">
      <c r="A88" s="245">
        <f t="shared" si="15"/>
        <v>183</v>
      </c>
      <c r="B88" s="246" t="str">
        <f t="shared" si="8"/>
        <v>Oil Field - Well</v>
      </c>
      <c r="C88" s="246" t="str">
        <f ca="1">IF(B88="","",VLOOKUP(D88,'Species Data'!B:E,4,FALSE))</f>
        <v>isobut</v>
      </c>
      <c r="D88" s="246">
        <f t="shared" ca="1" si="9"/>
        <v>491</v>
      </c>
      <c r="E88" s="246">
        <f t="shared" ca="1" si="10"/>
        <v>5.3100000000000001E-2</v>
      </c>
      <c r="F88" s="246" t="str">
        <f t="shared" ca="1" si="11"/>
        <v>Isobutane</v>
      </c>
      <c r="G88" s="246">
        <f t="shared" ca="1" si="12"/>
        <v>58.122199999999992</v>
      </c>
      <c r="H88" s="204">
        <f ca="1">IF(G88="","",IF(VLOOKUP(Well_Head!F88,'Species Data'!D:F,3,FALSE)=0,"X",IF(G88&lt;44.1,2,1)))</f>
        <v>1</v>
      </c>
      <c r="I88" s="204">
        <f t="shared" ca="1" si="13"/>
        <v>2.9024368807561878</v>
      </c>
      <c r="J88" s="247">
        <f ca="1">IF(I88="","",IF(COUNTIF($D$12:D88,D88)=1,IF(H88=1,I88*H88,IF(H88="X","X",0)),0))</f>
        <v>0</v>
      </c>
      <c r="K88" s="248">
        <f t="shared" ca="1" si="14"/>
        <v>0</v>
      </c>
      <c r="L88" s="238" t="s">
        <v>624</v>
      </c>
      <c r="M88" s="212" t="s">
        <v>616</v>
      </c>
      <c r="N88" s="212" t="s">
        <v>260</v>
      </c>
      <c r="O88" s="213">
        <v>32589</v>
      </c>
      <c r="P88" s="212" t="s">
        <v>625</v>
      </c>
      <c r="Q88" s="214">
        <v>100</v>
      </c>
      <c r="R88" s="212" t="s">
        <v>531</v>
      </c>
      <c r="S88" s="212" t="s">
        <v>531</v>
      </c>
      <c r="T88" s="212" t="s">
        <v>531</v>
      </c>
      <c r="U88" s="212" t="s">
        <v>531</v>
      </c>
      <c r="V88" s="214" t="b">
        <v>1</v>
      </c>
      <c r="W88" s="225"/>
      <c r="X88" s="225"/>
      <c r="Y88" s="225"/>
      <c r="Z88" s="225"/>
      <c r="AA88" s="212" t="s">
        <v>531</v>
      </c>
      <c r="AB88" s="212" t="s">
        <v>531</v>
      </c>
      <c r="AC88" s="212" t="s">
        <v>618</v>
      </c>
      <c r="AD88" s="214">
        <v>1.212415</v>
      </c>
      <c r="AE88" s="214">
        <v>390</v>
      </c>
      <c r="AF88" s="214">
        <v>0.37999999999999995</v>
      </c>
      <c r="AG88" s="214">
        <v>-99</v>
      </c>
      <c r="AH88" s="212" t="s">
        <v>224</v>
      </c>
      <c r="AI88" s="212" t="s">
        <v>261</v>
      </c>
      <c r="AJ88" s="212" t="s">
        <v>334</v>
      </c>
      <c r="AK88" s="212" t="s">
        <v>531</v>
      </c>
      <c r="AL88" s="212" t="s">
        <v>393</v>
      </c>
      <c r="AM88" s="214" t="b">
        <v>1</v>
      </c>
      <c r="AN88" s="214" t="b">
        <v>0</v>
      </c>
      <c r="AO88" s="212" t="s">
        <v>335</v>
      </c>
      <c r="AP88" s="212" t="s">
        <v>336</v>
      </c>
      <c r="AQ88" s="214">
        <v>70.132900000000006</v>
      </c>
      <c r="AR88" s="214" t="b">
        <v>0</v>
      </c>
      <c r="AS88" s="212" t="s">
        <v>300</v>
      </c>
      <c r="AU88" s="222" t="s">
        <v>819</v>
      </c>
    </row>
    <row r="89" spans="1:47" s="219" customFormat="1" x14ac:dyDescent="0.25">
      <c r="A89" s="245">
        <f t="shared" si="15"/>
        <v>184</v>
      </c>
      <c r="B89" s="246" t="str">
        <f t="shared" si="8"/>
        <v>Oil Field - Well</v>
      </c>
      <c r="C89" s="246" t="str">
        <f ca="1">IF(B89="","",VLOOKUP(D89,'Species Data'!B:E,4,FALSE))</f>
        <v>i_but</v>
      </c>
      <c r="D89" s="246">
        <f t="shared" ca="1" si="9"/>
        <v>499</v>
      </c>
      <c r="E89" s="246">
        <f t="shared" ca="1" si="10"/>
        <v>0.2455</v>
      </c>
      <c r="F89" s="246" t="str">
        <f t="shared" ca="1" si="11"/>
        <v>Isomers of butylbenzene</v>
      </c>
      <c r="G89" s="246">
        <f t="shared" ca="1" si="12"/>
        <v>134.21816000000001</v>
      </c>
      <c r="H89" s="204">
        <f ca="1">IF(G89="","",IF(VLOOKUP(Well_Head!F89,'Species Data'!D:F,3,FALSE)=0,"X",IF(G89&lt;44.1,2,1)))</f>
        <v>1</v>
      </c>
      <c r="I89" s="204">
        <f t="shared" ca="1" si="13"/>
        <v>0.12713348871870844</v>
      </c>
      <c r="J89" s="247">
        <f ca="1">IF(I89="","",IF(COUNTIF($D$12:D89,D89)=1,IF(H89=1,I89*H89,IF(H89="X","X",0)),0))</f>
        <v>0</v>
      </c>
      <c r="K89" s="248">
        <f t="shared" ca="1" si="14"/>
        <v>0</v>
      </c>
      <c r="L89" s="238" t="s">
        <v>624</v>
      </c>
      <c r="M89" s="212" t="s">
        <v>616</v>
      </c>
      <c r="N89" s="212" t="s">
        <v>260</v>
      </c>
      <c r="O89" s="213">
        <v>32589</v>
      </c>
      <c r="P89" s="212" t="s">
        <v>625</v>
      </c>
      <c r="Q89" s="214">
        <v>100</v>
      </c>
      <c r="R89" s="212" t="s">
        <v>531</v>
      </c>
      <c r="S89" s="212" t="s">
        <v>531</v>
      </c>
      <c r="T89" s="212" t="s">
        <v>531</v>
      </c>
      <c r="U89" s="212" t="s">
        <v>531</v>
      </c>
      <c r="V89" s="214" t="b">
        <v>1</v>
      </c>
      <c r="W89" s="225"/>
      <c r="X89" s="225"/>
      <c r="Y89" s="225"/>
      <c r="Z89" s="225"/>
      <c r="AA89" s="212" t="s">
        <v>531</v>
      </c>
      <c r="AB89" s="212" t="s">
        <v>531</v>
      </c>
      <c r="AC89" s="212" t="s">
        <v>618</v>
      </c>
      <c r="AD89" s="214">
        <v>1.212415</v>
      </c>
      <c r="AE89" s="214">
        <v>438</v>
      </c>
      <c r="AF89" s="214">
        <v>17.52</v>
      </c>
      <c r="AG89" s="214">
        <v>-99</v>
      </c>
      <c r="AH89" s="212" t="s">
        <v>224</v>
      </c>
      <c r="AI89" s="212" t="s">
        <v>261</v>
      </c>
      <c r="AJ89" s="212" t="s">
        <v>265</v>
      </c>
      <c r="AK89" s="212" t="s">
        <v>531</v>
      </c>
      <c r="AL89" s="212" t="s">
        <v>374</v>
      </c>
      <c r="AM89" s="214" t="b">
        <v>1</v>
      </c>
      <c r="AN89" s="214" t="b">
        <v>0</v>
      </c>
      <c r="AO89" s="212" t="s">
        <v>266</v>
      </c>
      <c r="AP89" s="212" t="s">
        <v>267</v>
      </c>
      <c r="AQ89" s="214">
        <v>30.069040000000005</v>
      </c>
      <c r="AR89" s="214" t="b">
        <v>1</v>
      </c>
      <c r="AS89" s="212" t="s">
        <v>300</v>
      </c>
      <c r="AU89" s="222" t="s">
        <v>819</v>
      </c>
    </row>
    <row r="90" spans="1:47" s="219" customFormat="1" x14ac:dyDescent="0.25">
      <c r="A90" s="245">
        <f t="shared" si="15"/>
        <v>185</v>
      </c>
      <c r="B90" s="246" t="str">
        <f t="shared" si="8"/>
        <v>Oil Field - Well</v>
      </c>
      <c r="C90" s="246" t="str">
        <f ca="1">IF(B90="","",VLOOKUP(D90,'Species Data'!B:E,4,FALSE))</f>
        <v>isopentane</v>
      </c>
      <c r="D90" s="246">
        <f t="shared" ca="1" si="9"/>
        <v>508</v>
      </c>
      <c r="E90" s="246">
        <f t="shared" ca="1" si="10"/>
        <v>0.15579999999999999</v>
      </c>
      <c r="F90" s="246" t="str">
        <f t="shared" ca="1" si="11"/>
        <v>Isopentane (2-Methylbutane)</v>
      </c>
      <c r="G90" s="246">
        <f t="shared" ca="1" si="12"/>
        <v>72.148780000000002</v>
      </c>
      <c r="H90" s="204">
        <f ca="1">IF(G90="","",IF(VLOOKUP(Well_Head!F90,'Species Data'!D:F,3,FALSE)=0,"X",IF(G90&lt;44.1,2,1)))</f>
        <v>1</v>
      </c>
      <c r="I90" s="204">
        <f t="shared" ca="1" si="13"/>
        <v>2.9334258075204316</v>
      </c>
      <c r="J90" s="247">
        <f ca="1">IF(I90="","",IF(COUNTIF($D$12:D90,D90)=1,IF(H90=1,I90*H90,IF(H90="X","X",0)),0))</f>
        <v>0</v>
      </c>
      <c r="K90" s="248">
        <f t="shared" ca="1" si="14"/>
        <v>0</v>
      </c>
      <c r="L90" s="238" t="s">
        <v>624</v>
      </c>
      <c r="M90" s="212" t="s">
        <v>616</v>
      </c>
      <c r="N90" s="212" t="s">
        <v>260</v>
      </c>
      <c r="O90" s="213">
        <v>32589</v>
      </c>
      <c r="P90" s="212" t="s">
        <v>625</v>
      </c>
      <c r="Q90" s="214">
        <v>100</v>
      </c>
      <c r="R90" s="212" t="s">
        <v>531</v>
      </c>
      <c r="S90" s="212" t="s">
        <v>531</v>
      </c>
      <c r="T90" s="212" t="s">
        <v>531</v>
      </c>
      <c r="U90" s="212" t="s">
        <v>531</v>
      </c>
      <c r="V90" s="214" t="b">
        <v>1</v>
      </c>
      <c r="W90" s="225"/>
      <c r="X90" s="225"/>
      <c r="Y90" s="225"/>
      <c r="Z90" s="225"/>
      <c r="AA90" s="212" t="s">
        <v>531</v>
      </c>
      <c r="AB90" s="212" t="s">
        <v>531</v>
      </c>
      <c r="AC90" s="212" t="s">
        <v>618</v>
      </c>
      <c r="AD90" s="214">
        <v>1.212415</v>
      </c>
      <c r="AE90" s="214">
        <v>449</v>
      </c>
      <c r="AF90" s="214">
        <v>1.9999999999999997E-2</v>
      </c>
      <c r="AG90" s="214">
        <v>-99</v>
      </c>
      <c r="AH90" s="212" t="s">
        <v>224</v>
      </c>
      <c r="AI90" s="212" t="s">
        <v>261</v>
      </c>
      <c r="AJ90" s="212" t="s">
        <v>337</v>
      </c>
      <c r="AK90" s="212" t="s">
        <v>531</v>
      </c>
      <c r="AL90" s="212" t="s">
        <v>394</v>
      </c>
      <c r="AM90" s="214" t="b">
        <v>1</v>
      </c>
      <c r="AN90" s="214" t="b">
        <v>1</v>
      </c>
      <c r="AO90" s="212" t="s">
        <v>338</v>
      </c>
      <c r="AP90" s="212" t="s">
        <v>339</v>
      </c>
      <c r="AQ90" s="214">
        <v>106.16500000000001</v>
      </c>
      <c r="AR90" s="214" t="b">
        <v>0</v>
      </c>
      <c r="AS90" s="212" t="s">
        <v>300</v>
      </c>
      <c r="AU90" s="222" t="s">
        <v>819</v>
      </c>
    </row>
    <row r="91" spans="1:47" s="219" customFormat="1" x14ac:dyDescent="0.25">
      <c r="A91" s="245">
        <f t="shared" si="15"/>
        <v>186</v>
      </c>
      <c r="B91" s="246" t="str">
        <f t="shared" si="8"/>
        <v>Oil Field - Well</v>
      </c>
      <c r="C91" s="246" t="str">
        <f ca="1">IF(B91="","",VLOOKUP(D91,'Species Data'!B:E,4,FALSE))</f>
        <v>isopben</v>
      </c>
      <c r="D91" s="246">
        <f t="shared" ca="1" si="9"/>
        <v>514</v>
      </c>
      <c r="E91" s="246">
        <f t="shared" ca="1" si="10"/>
        <v>0.12609999999999999</v>
      </c>
      <c r="F91" s="246" t="str">
        <f t="shared" ca="1" si="11"/>
        <v>Isopropylbenzene (cumene)</v>
      </c>
      <c r="G91" s="246">
        <f t="shared" ca="1" si="12"/>
        <v>120.19158</v>
      </c>
      <c r="H91" s="204">
        <f ca="1">IF(G91="","",IF(VLOOKUP(Well_Head!F91,'Species Data'!D:F,3,FALSE)=0,"X",IF(G91&lt;44.1,2,1)))</f>
        <v>1</v>
      </c>
      <c r="I91" s="204">
        <f t="shared" ca="1" si="13"/>
        <v>7.8922318682833947E-2</v>
      </c>
      <c r="J91" s="247">
        <f ca="1">IF(I91="","",IF(COUNTIF($D$12:D91,D91)=1,IF(H91=1,I91*H91,IF(H91="X","X",0)),0))</f>
        <v>0</v>
      </c>
      <c r="K91" s="248">
        <f t="shared" ca="1" si="14"/>
        <v>0</v>
      </c>
      <c r="L91" s="238" t="s">
        <v>624</v>
      </c>
      <c r="M91" s="212" t="s">
        <v>616</v>
      </c>
      <c r="N91" s="212" t="s">
        <v>260</v>
      </c>
      <c r="O91" s="213">
        <v>32589</v>
      </c>
      <c r="P91" s="212" t="s">
        <v>625</v>
      </c>
      <c r="Q91" s="214">
        <v>100</v>
      </c>
      <c r="R91" s="212" t="s">
        <v>531</v>
      </c>
      <c r="S91" s="212" t="s">
        <v>531</v>
      </c>
      <c r="T91" s="212" t="s">
        <v>531</v>
      </c>
      <c r="U91" s="212" t="s">
        <v>531</v>
      </c>
      <c r="V91" s="214" t="b">
        <v>1</v>
      </c>
      <c r="W91" s="225"/>
      <c r="X91" s="225"/>
      <c r="Y91" s="225"/>
      <c r="Z91" s="225"/>
      <c r="AA91" s="212" t="s">
        <v>531</v>
      </c>
      <c r="AB91" s="212" t="s">
        <v>531</v>
      </c>
      <c r="AC91" s="212" t="s">
        <v>618</v>
      </c>
      <c r="AD91" s="214">
        <v>1.212415</v>
      </c>
      <c r="AE91" s="214">
        <v>450</v>
      </c>
      <c r="AF91" s="214">
        <v>0.09</v>
      </c>
      <c r="AG91" s="214">
        <v>-99</v>
      </c>
      <c r="AH91" s="212" t="s">
        <v>224</v>
      </c>
      <c r="AI91" s="212" t="s">
        <v>261</v>
      </c>
      <c r="AJ91" s="212" t="s">
        <v>340</v>
      </c>
      <c r="AK91" s="212" t="s">
        <v>531</v>
      </c>
      <c r="AL91" s="212" t="s">
        <v>621</v>
      </c>
      <c r="AM91" s="214" t="b">
        <v>0</v>
      </c>
      <c r="AN91" s="214" t="b">
        <v>0</v>
      </c>
      <c r="AO91" s="212" t="s">
        <v>341</v>
      </c>
      <c r="AP91" s="212" t="s">
        <v>531</v>
      </c>
      <c r="AQ91" s="214">
        <v>112.21263999999999</v>
      </c>
      <c r="AR91" s="214" t="b">
        <v>0</v>
      </c>
      <c r="AS91" s="212" t="s">
        <v>300</v>
      </c>
      <c r="AU91" s="222" t="s">
        <v>819</v>
      </c>
    </row>
    <row r="92" spans="1:47" s="219" customFormat="1" ht="15" customHeight="1" x14ac:dyDescent="0.25">
      <c r="A92" s="245">
        <f t="shared" si="15"/>
        <v>187</v>
      </c>
      <c r="B92" s="246" t="str">
        <f t="shared" si="8"/>
        <v>Oil Field - Well</v>
      </c>
      <c r="C92" s="246" t="str">
        <f ca="1">IF(B92="","",VLOOKUP(D92,'Species Data'!B:E,4,FALSE))</f>
        <v>M_xylene</v>
      </c>
      <c r="D92" s="246">
        <f t="shared" ca="1" si="9"/>
        <v>524</v>
      </c>
      <c r="E92" s="246">
        <f t="shared" ca="1" si="10"/>
        <v>9.5999999999999992E-3</v>
      </c>
      <c r="F92" s="246" t="str">
        <f t="shared" ca="1" si="11"/>
        <v>M-xylene</v>
      </c>
      <c r="G92" s="246">
        <f t="shared" ca="1" si="12"/>
        <v>106.16500000000001</v>
      </c>
      <c r="H92" s="204">
        <f ca="1">IF(G92="","",IF(VLOOKUP(Well_Head!F92,'Species Data'!D:F,3,FALSE)=0,"X",IF(G92&lt;44.1,2,1)))</f>
        <v>1</v>
      </c>
      <c r="I92" s="204">
        <f t="shared" ca="1" si="13"/>
        <v>0.21376692793735641</v>
      </c>
      <c r="J92" s="247">
        <f ca="1">IF(I92="","",IF(COUNTIF($D$12:D92,D92)=1,IF(H92=1,I92*H92,IF(H92="X","X",0)),0))</f>
        <v>0</v>
      </c>
      <c r="K92" s="248">
        <f t="shared" ca="1" si="14"/>
        <v>0</v>
      </c>
      <c r="L92" s="238" t="s">
        <v>624</v>
      </c>
      <c r="M92" s="212" t="s">
        <v>616</v>
      </c>
      <c r="N92" s="212" t="s">
        <v>260</v>
      </c>
      <c r="O92" s="213">
        <v>32589</v>
      </c>
      <c r="P92" s="212" t="s">
        <v>625</v>
      </c>
      <c r="Q92" s="214">
        <v>100</v>
      </c>
      <c r="R92" s="212" t="s">
        <v>531</v>
      </c>
      <c r="S92" s="212" t="s">
        <v>531</v>
      </c>
      <c r="T92" s="212" t="s">
        <v>531</v>
      </c>
      <c r="U92" s="212" t="s">
        <v>531</v>
      </c>
      <c r="V92" s="214" t="b">
        <v>1</v>
      </c>
      <c r="W92" s="225"/>
      <c r="X92" s="225"/>
      <c r="Y92" s="225"/>
      <c r="Z92" s="225"/>
      <c r="AA92" s="212" t="s">
        <v>531</v>
      </c>
      <c r="AB92" s="212" t="s">
        <v>531</v>
      </c>
      <c r="AC92" s="212" t="s">
        <v>618</v>
      </c>
      <c r="AD92" s="214">
        <v>1.212415</v>
      </c>
      <c r="AE92" s="214">
        <v>491</v>
      </c>
      <c r="AF92" s="214">
        <v>6.4399999999999995</v>
      </c>
      <c r="AG92" s="214">
        <v>-99</v>
      </c>
      <c r="AH92" s="212" t="s">
        <v>224</v>
      </c>
      <c r="AI92" s="212" t="s">
        <v>261</v>
      </c>
      <c r="AJ92" s="212" t="s">
        <v>268</v>
      </c>
      <c r="AK92" s="212" t="s">
        <v>531</v>
      </c>
      <c r="AL92" s="212" t="s">
        <v>375</v>
      </c>
      <c r="AM92" s="214" t="b">
        <v>1</v>
      </c>
      <c r="AN92" s="214" t="b">
        <v>0</v>
      </c>
      <c r="AO92" s="212" t="s">
        <v>269</v>
      </c>
      <c r="AP92" s="212" t="s">
        <v>270</v>
      </c>
      <c r="AQ92" s="214">
        <v>58.122199999999992</v>
      </c>
      <c r="AR92" s="214" t="b">
        <v>0</v>
      </c>
      <c r="AS92" s="212" t="s">
        <v>300</v>
      </c>
      <c r="AU92" s="222" t="s">
        <v>819</v>
      </c>
    </row>
    <row r="93" spans="1:47" s="219" customFormat="1" x14ac:dyDescent="0.25">
      <c r="A93" s="245">
        <f t="shared" si="15"/>
        <v>188</v>
      </c>
      <c r="B93" s="246" t="str">
        <f t="shared" si="8"/>
        <v>Oil Field - Well</v>
      </c>
      <c r="C93" s="246" t="str">
        <f ca="1">IF(B93="","",VLOOKUP(D93,'Species Data'!B:E,4,FALSE))</f>
        <v>methane</v>
      </c>
      <c r="D93" s="246">
        <f t="shared" ca="1" si="9"/>
        <v>529</v>
      </c>
      <c r="E93" s="246">
        <f t="shared" ca="1" si="10"/>
        <v>62.094900000000003</v>
      </c>
      <c r="F93" s="246" t="str">
        <f t="shared" ca="1" si="11"/>
        <v>Methane</v>
      </c>
      <c r="G93" s="246">
        <f t="shared" ca="1" si="12"/>
        <v>16.042459999999998</v>
      </c>
      <c r="H93" s="204">
        <f ca="1">IF(G93="","",IF(VLOOKUP(Well_Head!F93,'Species Data'!D:F,3,FALSE)=0,"X",IF(G93&lt;44.1,2,1)))</f>
        <v>2</v>
      </c>
      <c r="I93" s="204">
        <f t="shared" ca="1" si="13"/>
        <v>36.272299888366533</v>
      </c>
      <c r="J93" s="247">
        <f ca="1">IF(I93="","",IF(COUNTIF($D$12:D93,D93)=1,IF(H93=1,I93*H93,IF(H93="X","X",0)),0))</f>
        <v>0</v>
      </c>
      <c r="K93" s="248">
        <f t="shared" ca="1" si="14"/>
        <v>0</v>
      </c>
      <c r="L93" s="238" t="s">
        <v>624</v>
      </c>
      <c r="M93" s="212" t="s">
        <v>616</v>
      </c>
      <c r="N93" s="212" t="s">
        <v>260</v>
      </c>
      <c r="O93" s="213">
        <v>32589</v>
      </c>
      <c r="P93" s="212" t="s">
        <v>625</v>
      </c>
      <c r="Q93" s="214">
        <v>100</v>
      </c>
      <c r="R93" s="212" t="s">
        <v>531</v>
      </c>
      <c r="S93" s="212" t="s">
        <v>531</v>
      </c>
      <c r="T93" s="212" t="s">
        <v>531</v>
      </c>
      <c r="U93" s="212" t="s">
        <v>531</v>
      </c>
      <c r="V93" s="214" t="b">
        <v>1</v>
      </c>
      <c r="W93" s="225"/>
      <c r="X93" s="225"/>
      <c r="Y93" s="225"/>
      <c r="Z93" s="225"/>
      <c r="AA93" s="212" t="s">
        <v>531</v>
      </c>
      <c r="AB93" s="212" t="s">
        <v>531</v>
      </c>
      <c r="AC93" s="212" t="s">
        <v>618</v>
      </c>
      <c r="AD93" s="214">
        <v>1.212415</v>
      </c>
      <c r="AE93" s="214">
        <v>508</v>
      </c>
      <c r="AF93" s="214">
        <v>5.56</v>
      </c>
      <c r="AG93" s="214">
        <v>-99</v>
      </c>
      <c r="AH93" s="212" t="s">
        <v>224</v>
      </c>
      <c r="AI93" s="212" t="s">
        <v>261</v>
      </c>
      <c r="AJ93" s="212" t="s">
        <v>342</v>
      </c>
      <c r="AK93" s="212" t="s">
        <v>531</v>
      </c>
      <c r="AL93" s="212" t="s">
        <v>395</v>
      </c>
      <c r="AM93" s="214" t="b">
        <v>1</v>
      </c>
      <c r="AN93" s="214" t="b">
        <v>0</v>
      </c>
      <c r="AO93" s="212" t="s">
        <v>343</v>
      </c>
      <c r="AP93" s="212" t="s">
        <v>344</v>
      </c>
      <c r="AQ93" s="214">
        <v>72.148780000000002</v>
      </c>
      <c r="AR93" s="214" t="b">
        <v>0</v>
      </c>
      <c r="AS93" s="212" t="s">
        <v>300</v>
      </c>
      <c r="AU93" s="222" t="s">
        <v>819</v>
      </c>
    </row>
    <row r="94" spans="1:47" s="219" customFormat="1" x14ac:dyDescent="0.25">
      <c r="A94" s="245">
        <f t="shared" si="15"/>
        <v>189</v>
      </c>
      <c r="B94" s="246" t="str">
        <f t="shared" si="8"/>
        <v>Oil Field - Well</v>
      </c>
      <c r="C94" s="246" t="str">
        <f ca="1">IF(B94="","",VLOOKUP(D94,'Species Data'!B:E,4,FALSE))</f>
        <v>methcychex</v>
      </c>
      <c r="D94" s="246">
        <f t="shared" ca="1" si="9"/>
        <v>550</v>
      </c>
      <c r="E94" s="246">
        <f t="shared" ca="1" si="10"/>
        <v>1.6899999999999998E-2</v>
      </c>
      <c r="F94" s="246" t="str">
        <f t="shared" ca="1" si="11"/>
        <v>Methylcyclohexane</v>
      </c>
      <c r="G94" s="246">
        <f t="shared" ca="1" si="12"/>
        <v>98.186059999999998</v>
      </c>
      <c r="H94" s="204">
        <f ca="1">IF(G94="","",IF(VLOOKUP(Well_Head!F94,'Species Data'!D:F,3,FALSE)=0,"X",IF(G94&lt;44.1,2,1)))</f>
        <v>1</v>
      </c>
      <c r="I94" s="204">
        <f t="shared" ca="1" si="13"/>
        <v>0.46704501527724096</v>
      </c>
      <c r="J94" s="247">
        <f ca="1">IF(I94="","",IF(COUNTIF($D$12:D94,D94)=1,IF(H94=1,I94*H94,IF(H94="X","X",0)),0))</f>
        <v>0</v>
      </c>
      <c r="K94" s="248">
        <f t="shared" ca="1" si="14"/>
        <v>0</v>
      </c>
      <c r="L94" s="238" t="s">
        <v>624</v>
      </c>
      <c r="M94" s="212" t="s">
        <v>616</v>
      </c>
      <c r="N94" s="212" t="s">
        <v>260</v>
      </c>
      <c r="O94" s="213">
        <v>32589</v>
      </c>
      <c r="P94" s="212" t="s">
        <v>625</v>
      </c>
      <c r="Q94" s="214">
        <v>100</v>
      </c>
      <c r="R94" s="212" t="s">
        <v>531</v>
      </c>
      <c r="S94" s="212" t="s">
        <v>531</v>
      </c>
      <c r="T94" s="212" t="s">
        <v>531</v>
      </c>
      <c r="U94" s="212" t="s">
        <v>531</v>
      </c>
      <c r="V94" s="214" t="b">
        <v>1</v>
      </c>
      <c r="W94" s="225"/>
      <c r="X94" s="225"/>
      <c r="Y94" s="225"/>
      <c r="Z94" s="225"/>
      <c r="AA94" s="212" t="s">
        <v>531</v>
      </c>
      <c r="AB94" s="212" t="s">
        <v>531</v>
      </c>
      <c r="AC94" s="212" t="s">
        <v>618</v>
      </c>
      <c r="AD94" s="214">
        <v>1.212415</v>
      </c>
      <c r="AE94" s="214">
        <v>522</v>
      </c>
      <c r="AF94" s="214">
        <v>0.12</v>
      </c>
      <c r="AG94" s="214">
        <v>-99</v>
      </c>
      <c r="AH94" s="212" t="s">
        <v>224</v>
      </c>
      <c r="AI94" s="212" t="s">
        <v>261</v>
      </c>
      <c r="AJ94" s="212" t="s">
        <v>345</v>
      </c>
      <c r="AK94" s="212" t="s">
        <v>531</v>
      </c>
      <c r="AL94" s="212" t="s">
        <v>622</v>
      </c>
      <c r="AM94" s="214" t="b">
        <v>1</v>
      </c>
      <c r="AN94" s="214" t="b">
        <v>1</v>
      </c>
      <c r="AO94" s="212" t="s">
        <v>346</v>
      </c>
      <c r="AP94" s="212" t="s">
        <v>347</v>
      </c>
      <c r="AQ94" s="214">
        <v>106.16500000000001</v>
      </c>
      <c r="AR94" s="214" t="b">
        <v>0</v>
      </c>
      <c r="AS94" s="212" t="s">
        <v>300</v>
      </c>
      <c r="AU94" s="222" t="s">
        <v>819</v>
      </c>
    </row>
    <row r="95" spans="1:47" s="219" customFormat="1" x14ac:dyDescent="0.25">
      <c r="A95" s="245">
        <f t="shared" si="15"/>
        <v>190</v>
      </c>
      <c r="B95" s="246" t="str">
        <f t="shared" si="8"/>
        <v>Oil Field - Well</v>
      </c>
      <c r="C95" s="246" t="str">
        <f ca="1">IF(B95="","",VLOOKUP(D95,'Species Data'!B:E,4,FALSE))</f>
        <v>methcycpen</v>
      </c>
      <c r="D95" s="246">
        <f t="shared" ca="1" si="9"/>
        <v>551</v>
      </c>
      <c r="E95" s="246">
        <f t="shared" ca="1" si="10"/>
        <v>0.14119999999999999</v>
      </c>
      <c r="F95" s="246" t="str">
        <f t="shared" ca="1" si="11"/>
        <v>Methylcyclopentane</v>
      </c>
      <c r="G95" s="246">
        <f t="shared" ca="1" si="12"/>
        <v>84.159480000000002</v>
      </c>
      <c r="H95" s="204">
        <f ca="1">IF(G95="","",IF(VLOOKUP(Well_Head!F95,'Species Data'!D:F,3,FALSE)=0,"X",IF(G95&lt;44.1,2,1)))</f>
        <v>1</v>
      </c>
      <c r="I95" s="204">
        <f t="shared" ca="1" si="13"/>
        <v>0.80952321163948093</v>
      </c>
      <c r="J95" s="247">
        <f ca="1">IF(I95="","",IF(COUNTIF($D$12:D95,D95)=1,IF(H95=1,I95*H95,IF(H95="X","X",0)),0))</f>
        <v>0</v>
      </c>
      <c r="K95" s="248">
        <f t="shared" ca="1" si="14"/>
        <v>0</v>
      </c>
      <c r="L95" s="238" t="s">
        <v>624</v>
      </c>
      <c r="M95" s="212" t="s">
        <v>616</v>
      </c>
      <c r="N95" s="212" t="s">
        <v>260</v>
      </c>
      <c r="O95" s="213">
        <v>32589</v>
      </c>
      <c r="P95" s="212" t="s">
        <v>625</v>
      </c>
      <c r="Q95" s="214">
        <v>100</v>
      </c>
      <c r="R95" s="212" t="s">
        <v>531</v>
      </c>
      <c r="S95" s="212" t="s">
        <v>531</v>
      </c>
      <c r="T95" s="212" t="s">
        <v>531</v>
      </c>
      <c r="U95" s="212" t="s">
        <v>531</v>
      </c>
      <c r="V95" s="214" t="b">
        <v>1</v>
      </c>
      <c r="W95" s="225"/>
      <c r="X95" s="225"/>
      <c r="Y95" s="225"/>
      <c r="Z95" s="225"/>
      <c r="AA95" s="212" t="s">
        <v>531</v>
      </c>
      <c r="AB95" s="212" t="s">
        <v>531</v>
      </c>
      <c r="AC95" s="212" t="s">
        <v>618</v>
      </c>
      <c r="AD95" s="214">
        <v>1.212415</v>
      </c>
      <c r="AE95" s="214">
        <v>550</v>
      </c>
      <c r="AF95" s="214">
        <v>0.74</v>
      </c>
      <c r="AG95" s="214">
        <v>-99</v>
      </c>
      <c r="AH95" s="212" t="s">
        <v>224</v>
      </c>
      <c r="AI95" s="212" t="s">
        <v>261</v>
      </c>
      <c r="AJ95" s="212" t="s">
        <v>348</v>
      </c>
      <c r="AK95" s="212" t="s">
        <v>531</v>
      </c>
      <c r="AL95" s="212" t="s">
        <v>396</v>
      </c>
      <c r="AM95" s="214" t="b">
        <v>1</v>
      </c>
      <c r="AN95" s="214" t="b">
        <v>0</v>
      </c>
      <c r="AO95" s="212" t="s">
        <v>349</v>
      </c>
      <c r="AP95" s="212" t="s">
        <v>350</v>
      </c>
      <c r="AQ95" s="214">
        <v>98.186059999999998</v>
      </c>
      <c r="AR95" s="214" t="b">
        <v>0</v>
      </c>
      <c r="AS95" s="212" t="s">
        <v>300</v>
      </c>
      <c r="AU95" s="222" t="s">
        <v>819</v>
      </c>
    </row>
    <row r="96" spans="1:47" s="219" customFormat="1" x14ac:dyDescent="0.25">
      <c r="A96" s="245">
        <f t="shared" si="15"/>
        <v>191</v>
      </c>
      <c r="B96" s="246" t="str">
        <f t="shared" si="8"/>
        <v>Oil Field - Well</v>
      </c>
      <c r="C96" s="246" t="str">
        <f ca="1">IF(B96="","",VLOOKUP(D96,'Species Data'!B:E,4,FALSE))</f>
        <v>N_but</v>
      </c>
      <c r="D96" s="246">
        <f t="shared" ca="1" si="9"/>
        <v>592</v>
      </c>
      <c r="E96" s="246">
        <f t="shared" ca="1" si="10"/>
        <v>6.8400000000000002E-2</v>
      </c>
      <c r="F96" s="246" t="str">
        <f t="shared" ca="1" si="11"/>
        <v>N-butane</v>
      </c>
      <c r="G96" s="246">
        <f t="shared" ca="1" si="12"/>
        <v>58.122199999999992</v>
      </c>
      <c r="H96" s="204">
        <f ca="1">IF(G96="","",IF(VLOOKUP(Well_Head!F96,'Species Data'!D:F,3,FALSE)=0,"X",IF(G96&lt;44.1,2,1)))</f>
        <v>1</v>
      </c>
      <c r="I96" s="204">
        <f t="shared" ca="1" si="13"/>
        <v>6.782997179218774</v>
      </c>
      <c r="J96" s="247">
        <f ca="1">IF(I96="","",IF(COUNTIF($D$12:D96,D96)=1,IF(H96=1,I96*H96,IF(H96="X","X",0)),0))</f>
        <v>0</v>
      </c>
      <c r="K96" s="248">
        <f t="shared" ca="1" si="14"/>
        <v>0</v>
      </c>
      <c r="L96" s="238" t="s">
        <v>624</v>
      </c>
      <c r="M96" s="212" t="s">
        <v>616</v>
      </c>
      <c r="N96" s="212" t="s">
        <v>260</v>
      </c>
      <c r="O96" s="213">
        <v>32589</v>
      </c>
      <c r="P96" s="212" t="s">
        <v>625</v>
      </c>
      <c r="Q96" s="214">
        <v>100</v>
      </c>
      <c r="R96" s="212" t="s">
        <v>531</v>
      </c>
      <c r="S96" s="212" t="s">
        <v>531</v>
      </c>
      <c r="T96" s="212" t="s">
        <v>531</v>
      </c>
      <c r="U96" s="212" t="s">
        <v>531</v>
      </c>
      <c r="V96" s="214" t="b">
        <v>1</v>
      </c>
      <c r="W96" s="225"/>
      <c r="X96" s="225"/>
      <c r="Y96" s="225"/>
      <c r="Z96" s="225"/>
      <c r="AA96" s="212" t="s">
        <v>531</v>
      </c>
      <c r="AB96" s="212" t="s">
        <v>531</v>
      </c>
      <c r="AC96" s="212" t="s">
        <v>618</v>
      </c>
      <c r="AD96" s="214">
        <v>1.212415</v>
      </c>
      <c r="AE96" s="214">
        <v>551</v>
      </c>
      <c r="AF96" s="214">
        <v>1.0399999999999998</v>
      </c>
      <c r="AG96" s="214">
        <v>-99</v>
      </c>
      <c r="AH96" s="212" t="s">
        <v>224</v>
      </c>
      <c r="AI96" s="212" t="s">
        <v>261</v>
      </c>
      <c r="AJ96" s="212" t="s">
        <v>351</v>
      </c>
      <c r="AK96" s="212" t="s">
        <v>531</v>
      </c>
      <c r="AL96" s="212" t="s">
        <v>397</v>
      </c>
      <c r="AM96" s="214" t="b">
        <v>1</v>
      </c>
      <c r="AN96" s="214" t="b">
        <v>0</v>
      </c>
      <c r="AO96" s="212" t="s">
        <v>352</v>
      </c>
      <c r="AP96" s="212" t="s">
        <v>353</v>
      </c>
      <c r="AQ96" s="214">
        <v>84.159480000000002</v>
      </c>
      <c r="AR96" s="214" t="b">
        <v>0</v>
      </c>
      <c r="AS96" s="212" t="s">
        <v>300</v>
      </c>
      <c r="AU96" s="222" t="s">
        <v>819</v>
      </c>
    </row>
    <row r="97" spans="1:47" s="219" customFormat="1" x14ac:dyDescent="0.25">
      <c r="A97" s="245">
        <f t="shared" si="15"/>
        <v>192</v>
      </c>
      <c r="B97" s="246" t="str">
        <f t="shared" si="8"/>
        <v>Oil Field - Well</v>
      </c>
      <c r="C97" s="246" t="str">
        <f ca="1">IF(B97="","",VLOOKUP(D97,'Species Data'!B:E,4,FALSE))</f>
        <v>N_dec</v>
      </c>
      <c r="D97" s="246">
        <f t="shared" ca="1" si="9"/>
        <v>598</v>
      </c>
      <c r="E97" s="246">
        <f t="shared" ca="1" si="10"/>
        <v>0.15279999999999999</v>
      </c>
      <c r="F97" s="246" t="str">
        <f t="shared" ca="1" si="11"/>
        <v>N-decane</v>
      </c>
      <c r="G97" s="246">
        <f t="shared" ca="1" si="12"/>
        <v>142.28167999999999</v>
      </c>
      <c r="H97" s="204">
        <f ca="1">IF(G97="","",IF(VLOOKUP(Well_Head!F97,'Species Data'!D:F,3,FALSE)=0,"X",IF(G97&lt;44.1,2,1)))</f>
        <v>1</v>
      </c>
      <c r="I97" s="204">
        <f t="shared" ca="1" si="13"/>
        <v>7.7733428340856864E-2</v>
      </c>
      <c r="J97" s="247">
        <f ca="1">IF(I97="","",IF(COUNTIF($D$12:D97,D97)=1,IF(H97=1,I97*H97,IF(H97="X","X",0)),0))</f>
        <v>0</v>
      </c>
      <c r="K97" s="248">
        <f t="shared" ca="1" si="14"/>
        <v>0</v>
      </c>
      <c r="L97" s="238" t="s">
        <v>624</v>
      </c>
      <c r="M97" s="212" t="s">
        <v>616</v>
      </c>
      <c r="N97" s="212" t="s">
        <v>260</v>
      </c>
      <c r="O97" s="213">
        <v>32589</v>
      </c>
      <c r="P97" s="212" t="s">
        <v>625</v>
      </c>
      <c r="Q97" s="214">
        <v>100</v>
      </c>
      <c r="R97" s="212" t="s">
        <v>531</v>
      </c>
      <c r="S97" s="212" t="s">
        <v>531</v>
      </c>
      <c r="T97" s="212" t="s">
        <v>531</v>
      </c>
      <c r="U97" s="212" t="s">
        <v>531</v>
      </c>
      <c r="V97" s="214" t="b">
        <v>1</v>
      </c>
      <c r="W97" s="225"/>
      <c r="X97" s="225"/>
      <c r="Y97" s="225"/>
      <c r="Z97" s="225"/>
      <c r="AA97" s="212" t="s">
        <v>531</v>
      </c>
      <c r="AB97" s="212" t="s">
        <v>531</v>
      </c>
      <c r="AC97" s="212" t="s">
        <v>618</v>
      </c>
      <c r="AD97" s="214">
        <v>1.212415</v>
      </c>
      <c r="AE97" s="214">
        <v>592</v>
      </c>
      <c r="AF97" s="214">
        <v>21.33</v>
      </c>
      <c r="AG97" s="214">
        <v>-99</v>
      </c>
      <c r="AH97" s="212" t="s">
        <v>224</v>
      </c>
      <c r="AI97" s="212" t="s">
        <v>261</v>
      </c>
      <c r="AJ97" s="212" t="s">
        <v>273</v>
      </c>
      <c r="AK97" s="212" t="s">
        <v>531</v>
      </c>
      <c r="AL97" s="212" t="s">
        <v>377</v>
      </c>
      <c r="AM97" s="214" t="b">
        <v>1</v>
      </c>
      <c r="AN97" s="214" t="b">
        <v>0</v>
      </c>
      <c r="AO97" s="212" t="s">
        <v>274</v>
      </c>
      <c r="AP97" s="212" t="s">
        <v>275</v>
      </c>
      <c r="AQ97" s="214">
        <v>58.122199999999992</v>
      </c>
      <c r="AR97" s="214" t="b">
        <v>0</v>
      </c>
      <c r="AS97" s="212" t="s">
        <v>300</v>
      </c>
      <c r="AU97" s="222" t="s">
        <v>819</v>
      </c>
    </row>
    <row r="98" spans="1:47" s="219" customFormat="1" x14ac:dyDescent="0.25">
      <c r="A98" s="245">
        <f t="shared" si="15"/>
        <v>193</v>
      </c>
      <c r="B98" s="246" t="str">
        <f t="shared" si="8"/>
        <v>Oil Field - Well</v>
      </c>
      <c r="C98" s="246" t="str">
        <f ca="1">IF(B98="","",VLOOKUP(D98,'Species Data'!B:E,4,FALSE))</f>
        <v>N_hex</v>
      </c>
      <c r="D98" s="246">
        <f t="shared" ca="1" si="9"/>
        <v>601</v>
      </c>
      <c r="E98" s="246">
        <f t="shared" ca="1" si="10"/>
        <v>8.2000000000000007E-3</v>
      </c>
      <c r="F98" s="246" t="str">
        <f t="shared" ca="1" si="11"/>
        <v>N-hexane</v>
      </c>
      <c r="G98" s="246">
        <f t="shared" ca="1" si="12"/>
        <v>86.175359999999998</v>
      </c>
      <c r="H98" s="204">
        <f ca="1">IF(G98="","",IF(VLOOKUP(Well_Head!F98,'Species Data'!D:F,3,FALSE)=0,"X",IF(G98&lt;44.1,2,1)))</f>
        <v>1</v>
      </c>
      <c r="I98" s="204">
        <f t="shared" ca="1" si="13"/>
        <v>0.89334553631121094</v>
      </c>
      <c r="J98" s="247">
        <f ca="1">IF(I98="","",IF(COUNTIF($D$12:D98,D98)=1,IF(H98=1,I98*H98,IF(H98="X","X",0)),0))</f>
        <v>0</v>
      </c>
      <c r="K98" s="248">
        <f t="shared" ca="1" si="14"/>
        <v>0</v>
      </c>
      <c r="L98" s="238" t="s">
        <v>624</v>
      </c>
      <c r="M98" s="212" t="s">
        <v>616</v>
      </c>
      <c r="N98" s="212" t="s">
        <v>260</v>
      </c>
      <c r="O98" s="213">
        <v>32589</v>
      </c>
      <c r="P98" s="212" t="s">
        <v>625</v>
      </c>
      <c r="Q98" s="214">
        <v>100</v>
      </c>
      <c r="R98" s="212" t="s">
        <v>531</v>
      </c>
      <c r="S98" s="212" t="s">
        <v>531</v>
      </c>
      <c r="T98" s="212" t="s">
        <v>531</v>
      </c>
      <c r="U98" s="212" t="s">
        <v>531</v>
      </c>
      <c r="V98" s="214" t="b">
        <v>1</v>
      </c>
      <c r="W98" s="225"/>
      <c r="X98" s="225"/>
      <c r="Y98" s="225"/>
      <c r="Z98" s="225"/>
      <c r="AA98" s="212" t="s">
        <v>531</v>
      </c>
      <c r="AB98" s="212" t="s">
        <v>531</v>
      </c>
      <c r="AC98" s="212" t="s">
        <v>618</v>
      </c>
      <c r="AD98" s="214">
        <v>1.212415</v>
      </c>
      <c r="AE98" s="214">
        <v>600</v>
      </c>
      <c r="AF98" s="214">
        <v>0.67999999999999994</v>
      </c>
      <c r="AG98" s="214">
        <v>-99</v>
      </c>
      <c r="AH98" s="212" t="s">
        <v>224</v>
      </c>
      <c r="AI98" s="212" t="s">
        <v>261</v>
      </c>
      <c r="AJ98" s="212" t="s">
        <v>276</v>
      </c>
      <c r="AK98" s="212" t="s">
        <v>531</v>
      </c>
      <c r="AL98" s="212" t="s">
        <v>378</v>
      </c>
      <c r="AM98" s="214" t="b">
        <v>1</v>
      </c>
      <c r="AN98" s="214" t="b">
        <v>0</v>
      </c>
      <c r="AO98" s="212" t="s">
        <v>277</v>
      </c>
      <c r="AP98" s="212" t="s">
        <v>278</v>
      </c>
      <c r="AQ98" s="214">
        <v>100.20194000000001</v>
      </c>
      <c r="AR98" s="214" t="b">
        <v>0</v>
      </c>
      <c r="AS98" s="212" t="s">
        <v>300</v>
      </c>
      <c r="AU98" s="222" t="s">
        <v>819</v>
      </c>
    </row>
    <row r="99" spans="1:47" s="219" customFormat="1" x14ac:dyDescent="0.25">
      <c r="A99" s="245">
        <f t="shared" si="15"/>
        <v>194</v>
      </c>
      <c r="B99" s="246" t="str">
        <f t="shared" si="8"/>
        <v>Oil Field - Well</v>
      </c>
      <c r="C99" s="246" t="str">
        <f ca="1">IF(B99="","",VLOOKUP(D99,'Species Data'!B:E,4,FALSE))</f>
        <v>N_nonane</v>
      </c>
      <c r="D99" s="246">
        <f t="shared" ca="1" si="9"/>
        <v>603</v>
      </c>
      <c r="E99" s="246">
        <f t="shared" ca="1" si="10"/>
        <v>0.14630000000000001</v>
      </c>
      <c r="F99" s="246" t="str">
        <f t="shared" ca="1" si="11"/>
        <v>N-nonane</v>
      </c>
      <c r="G99" s="246">
        <f t="shared" ca="1" si="12"/>
        <v>128.2551</v>
      </c>
      <c r="H99" s="204">
        <f ca="1">IF(G99="","",IF(VLOOKUP(Well_Head!F99,'Species Data'!D:F,3,FALSE)=0,"X",IF(G99&lt;44.1,2,1)))</f>
        <v>1</v>
      </c>
      <c r="I99" s="204">
        <f t="shared" ca="1" si="13"/>
        <v>0.35487821151781407</v>
      </c>
      <c r="J99" s="247">
        <f ca="1">IF(I99="","",IF(COUNTIF($D$12:D99,D99)=1,IF(H99=1,I99*H99,IF(H99="X","X",0)),0))</f>
        <v>0</v>
      </c>
      <c r="K99" s="248">
        <f t="shared" ca="1" si="14"/>
        <v>0</v>
      </c>
      <c r="L99" s="238" t="s">
        <v>624</v>
      </c>
      <c r="M99" s="212" t="s">
        <v>616</v>
      </c>
      <c r="N99" s="212" t="s">
        <v>260</v>
      </c>
      <c r="O99" s="213">
        <v>32589</v>
      </c>
      <c r="P99" s="212" t="s">
        <v>625</v>
      </c>
      <c r="Q99" s="214">
        <v>100</v>
      </c>
      <c r="R99" s="212" t="s">
        <v>531</v>
      </c>
      <c r="S99" s="212" t="s">
        <v>531</v>
      </c>
      <c r="T99" s="212" t="s">
        <v>531</v>
      </c>
      <c r="U99" s="212" t="s">
        <v>531</v>
      </c>
      <c r="V99" s="214" t="b">
        <v>1</v>
      </c>
      <c r="W99" s="225"/>
      <c r="X99" s="225"/>
      <c r="Y99" s="225"/>
      <c r="Z99" s="225"/>
      <c r="AA99" s="212" t="s">
        <v>531</v>
      </c>
      <c r="AB99" s="212" t="s">
        <v>531</v>
      </c>
      <c r="AC99" s="212" t="s">
        <v>618</v>
      </c>
      <c r="AD99" s="214">
        <v>1.212415</v>
      </c>
      <c r="AE99" s="214">
        <v>601</v>
      </c>
      <c r="AF99" s="214">
        <v>1.68</v>
      </c>
      <c r="AG99" s="214">
        <v>-99</v>
      </c>
      <c r="AH99" s="212" t="s">
        <v>224</v>
      </c>
      <c r="AI99" s="212" t="s">
        <v>261</v>
      </c>
      <c r="AJ99" s="212" t="s">
        <v>279</v>
      </c>
      <c r="AK99" s="212" t="s">
        <v>531</v>
      </c>
      <c r="AL99" s="212" t="s">
        <v>379</v>
      </c>
      <c r="AM99" s="214" t="b">
        <v>1</v>
      </c>
      <c r="AN99" s="214" t="b">
        <v>1</v>
      </c>
      <c r="AO99" s="212" t="s">
        <v>280</v>
      </c>
      <c r="AP99" s="212" t="s">
        <v>281</v>
      </c>
      <c r="AQ99" s="214">
        <v>86.175359999999998</v>
      </c>
      <c r="AR99" s="214" t="b">
        <v>0</v>
      </c>
      <c r="AS99" s="212" t="s">
        <v>300</v>
      </c>
      <c r="AU99" s="222" t="s">
        <v>819</v>
      </c>
    </row>
    <row r="100" spans="1:47" s="219" customFormat="1" x14ac:dyDescent="0.25">
      <c r="A100" s="245">
        <f t="shared" si="15"/>
        <v>195</v>
      </c>
      <c r="B100" s="246" t="str">
        <f t="shared" si="8"/>
        <v>Oil Field - Well</v>
      </c>
      <c r="C100" s="246" t="str">
        <f ca="1">IF(B100="","",VLOOKUP(D100,'Species Data'!B:E,4,FALSE))</f>
        <v>N_octane</v>
      </c>
      <c r="D100" s="246">
        <f t="shared" ca="1" si="9"/>
        <v>604</v>
      </c>
      <c r="E100" s="246">
        <f t="shared" ca="1" si="10"/>
        <v>1.4280999999999999</v>
      </c>
      <c r="F100" s="246" t="str">
        <f t="shared" ca="1" si="11"/>
        <v>N-octane</v>
      </c>
      <c r="G100" s="246">
        <f t="shared" ca="1" si="12"/>
        <v>114.22852</v>
      </c>
      <c r="H100" s="204">
        <f ca="1">IF(G100="","",IF(VLOOKUP(Well_Head!F100,'Species Data'!D:F,3,FALSE)=0,"X",IF(G100&lt;44.1,2,1)))</f>
        <v>1</v>
      </c>
      <c r="I100" s="204">
        <f t="shared" ca="1" si="13"/>
        <v>0.67063415299729812</v>
      </c>
      <c r="J100" s="247">
        <f ca="1">IF(I100="","",IF(COUNTIF($D$12:D100,D100)=1,IF(H100=1,I100*H100,IF(H100="X","X",0)),0))</f>
        <v>0</v>
      </c>
      <c r="K100" s="248">
        <f t="shared" ca="1" si="14"/>
        <v>0</v>
      </c>
      <c r="L100" s="238" t="s">
        <v>624</v>
      </c>
      <c r="M100" s="212" t="s">
        <v>616</v>
      </c>
      <c r="N100" s="212" t="s">
        <v>260</v>
      </c>
      <c r="O100" s="213">
        <v>32589</v>
      </c>
      <c r="P100" s="212" t="s">
        <v>625</v>
      </c>
      <c r="Q100" s="214">
        <v>100</v>
      </c>
      <c r="R100" s="212" t="s">
        <v>531</v>
      </c>
      <c r="S100" s="212" t="s">
        <v>531</v>
      </c>
      <c r="T100" s="212" t="s">
        <v>531</v>
      </c>
      <c r="U100" s="212" t="s">
        <v>531</v>
      </c>
      <c r="V100" s="214" t="b">
        <v>1</v>
      </c>
      <c r="W100" s="225"/>
      <c r="X100" s="225"/>
      <c r="Y100" s="225"/>
      <c r="Z100" s="225"/>
      <c r="AA100" s="212" t="s">
        <v>531</v>
      </c>
      <c r="AB100" s="212" t="s">
        <v>531</v>
      </c>
      <c r="AC100" s="212" t="s">
        <v>618</v>
      </c>
      <c r="AD100" s="214">
        <v>1.212415</v>
      </c>
      <c r="AE100" s="214">
        <v>604</v>
      </c>
      <c r="AF100" s="214">
        <v>0.25</v>
      </c>
      <c r="AG100" s="214">
        <v>-99</v>
      </c>
      <c r="AH100" s="212" t="s">
        <v>224</v>
      </c>
      <c r="AI100" s="212" t="s">
        <v>261</v>
      </c>
      <c r="AJ100" s="212" t="s">
        <v>282</v>
      </c>
      <c r="AK100" s="212" t="s">
        <v>531</v>
      </c>
      <c r="AL100" s="212" t="s">
        <v>380</v>
      </c>
      <c r="AM100" s="214" t="b">
        <v>1</v>
      </c>
      <c r="AN100" s="214" t="b">
        <v>0</v>
      </c>
      <c r="AO100" s="212" t="s">
        <v>283</v>
      </c>
      <c r="AP100" s="212" t="s">
        <v>284</v>
      </c>
      <c r="AQ100" s="214">
        <v>114.22852</v>
      </c>
      <c r="AR100" s="214" t="b">
        <v>0</v>
      </c>
      <c r="AS100" s="212" t="s">
        <v>300</v>
      </c>
      <c r="AU100" s="222" t="s">
        <v>819</v>
      </c>
    </row>
    <row r="101" spans="1:47" s="219" customFormat="1" ht="15" customHeight="1" x14ac:dyDescent="0.25">
      <c r="A101" s="245">
        <f t="shared" si="15"/>
        <v>196</v>
      </c>
      <c r="B101" s="246" t="str">
        <f t="shared" si="8"/>
        <v>Oil Field - Well</v>
      </c>
      <c r="C101" s="246" t="str">
        <f ca="1">IF(B101="","",VLOOKUP(D101,'Species Data'!B:E,4,FALSE))</f>
        <v>N_pentane</v>
      </c>
      <c r="D101" s="246">
        <f t="shared" ca="1" si="9"/>
        <v>605</v>
      </c>
      <c r="E101" s="246">
        <f t="shared" ca="1" si="10"/>
        <v>2.5000000000000001E-2</v>
      </c>
      <c r="F101" s="246" t="str">
        <f t="shared" ca="1" si="11"/>
        <v>N-pentane</v>
      </c>
      <c r="G101" s="246">
        <f t="shared" ca="1" si="12"/>
        <v>72.148780000000002</v>
      </c>
      <c r="H101" s="204">
        <f ca="1">IF(G101="","",IF(VLOOKUP(Well_Head!F101,'Species Data'!D:F,3,FALSE)=0,"X",IF(G101&lt;44.1,2,1)))</f>
        <v>1</v>
      </c>
      <c r="I101" s="204">
        <f t="shared" ca="1" si="13"/>
        <v>2.2200360467107241</v>
      </c>
      <c r="J101" s="247">
        <f ca="1">IF(I101="","",IF(COUNTIF($D$12:D101,D101)=1,IF(H101=1,I101*H101,IF(H101="X","X",0)),0))</f>
        <v>0</v>
      </c>
      <c r="K101" s="248">
        <f t="shared" ca="1" si="14"/>
        <v>0</v>
      </c>
      <c r="L101" s="238" t="s">
        <v>624</v>
      </c>
      <c r="M101" s="212" t="s">
        <v>616</v>
      </c>
      <c r="N101" s="212" t="s">
        <v>260</v>
      </c>
      <c r="O101" s="213">
        <v>32589</v>
      </c>
      <c r="P101" s="212" t="s">
        <v>625</v>
      </c>
      <c r="Q101" s="214">
        <v>100</v>
      </c>
      <c r="R101" s="212" t="s">
        <v>531</v>
      </c>
      <c r="S101" s="212" t="s">
        <v>531</v>
      </c>
      <c r="T101" s="212" t="s">
        <v>531</v>
      </c>
      <c r="U101" s="212" t="s">
        <v>531</v>
      </c>
      <c r="V101" s="214" t="b">
        <v>1</v>
      </c>
      <c r="W101" s="225"/>
      <c r="X101" s="225"/>
      <c r="Y101" s="225"/>
      <c r="Z101" s="225"/>
      <c r="AA101" s="212" t="s">
        <v>531</v>
      </c>
      <c r="AB101" s="212" t="s">
        <v>531</v>
      </c>
      <c r="AC101" s="212" t="s">
        <v>618</v>
      </c>
      <c r="AD101" s="214">
        <v>1.212415</v>
      </c>
      <c r="AE101" s="214">
        <v>605</v>
      </c>
      <c r="AF101" s="214">
        <v>6.46</v>
      </c>
      <c r="AG101" s="214">
        <v>-99</v>
      </c>
      <c r="AH101" s="212" t="s">
        <v>224</v>
      </c>
      <c r="AI101" s="212" t="s">
        <v>261</v>
      </c>
      <c r="AJ101" s="212" t="s">
        <v>285</v>
      </c>
      <c r="AK101" s="212" t="s">
        <v>531</v>
      </c>
      <c r="AL101" s="212" t="s">
        <v>381</v>
      </c>
      <c r="AM101" s="214" t="b">
        <v>1</v>
      </c>
      <c r="AN101" s="214" t="b">
        <v>0</v>
      </c>
      <c r="AO101" s="212" t="s">
        <v>286</v>
      </c>
      <c r="AP101" s="212" t="s">
        <v>287</v>
      </c>
      <c r="AQ101" s="214">
        <v>72.148780000000002</v>
      </c>
      <c r="AR101" s="214" t="b">
        <v>0</v>
      </c>
      <c r="AS101" s="212" t="s">
        <v>300</v>
      </c>
      <c r="AU101" s="222" t="s">
        <v>819</v>
      </c>
    </row>
    <row r="102" spans="1:47" s="219" customFormat="1" x14ac:dyDescent="0.25">
      <c r="A102" s="245">
        <f t="shared" si="15"/>
        <v>197</v>
      </c>
      <c r="B102" s="246" t="str">
        <f t="shared" si="8"/>
        <v>Oil Field - Well</v>
      </c>
      <c r="C102" s="246" t="str">
        <f ca="1">IF(B102="","",VLOOKUP(D102,'Species Data'!B:E,4,FALSE))</f>
        <v>N_proben</v>
      </c>
      <c r="D102" s="246">
        <f t="shared" ca="1" si="9"/>
        <v>608</v>
      </c>
      <c r="E102" s="246">
        <f t="shared" ca="1" si="10"/>
        <v>0.14319999999999999</v>
      </c>
      <c r="F102" s="246" t="str">
        <f t="shared" ca="1" si="11"/>
        <v>N-propylbenzene</v>
      </c>
      <c r="G102" s="246">
        <f t="shared" ca="1" si="12"/>
        <v>120.19158</v>
      </c>
      <c r="H102" s="204">
        <f ca="1">IF(G102="","",IF(VLOOKUP(Well_Head!F102,'Species Data'!D:F,3,FALSE)=0,"X",IF(G102&lt;44.1,2,1)))</f>
        <v>1</v>
      </c>
      <c r="I102" s="204">
        <f t="shared" ca="1" si="13"/>
        <v>0.16350019983357761</v>
      </c>
      <c r="J102" s="247">
        <f ca="1">IF(I102="","",IF(COUNTIF($D$12:D102,D102)=1,IF(H102=1,I102*H102,IF(H102="X","X",0)),0))</f>
        <v>0</v>
      </c>
      <c r="K102" s="248">
        <f t="shared" ca="1" si="14"/>
        <v>0</v>
      </c>
      <c r="L102" s="238" t="s">
        <v>624</v>
      </c>
      <c r="M102" s="212" t="s">
        <v>616</v>
      </c>
      <c r="N102" s="212" t="s">
        <v>260</v>
      </c>
      <c r="O102" s="213">
        <v>32589</v>
      </c>
      <c r="P102" s="212" t="s">
        <v>625</v>
      </c>
      <c r="Q102" s="214">
        <v>100</v>
      </c>
      <c r="R102" s="212" t="s">
        <v>531</v>
      </c>
      <c r="S102" s="212" t="s">
        <v>531</v>
      </c>
      <c r="T102" s="212" t="s">
        <v>531</v>
      </c>
      <c r="U102" s="212" t="s">
        <v>531</v>
      </c>
      <c r="V102" s="214" t="b">
        <v>1</v>
      </c>
      <c r="W102" s="225"/>
      <c r="X102" s="225"/>
      <c r="Y102" s="225"/>
      <c r="Z102" s="225"/>
      <c r="AA102" s="212" t="s">
        <v>531</v>
      </c>
      <c r="AB102" s="212" t="s">
        <v>531</v>
      </c>
      <c r="AC102" s="212" t="s">
        <v>618</v>
      </c>
      <c r="AD102" s="214">
        <v>1.212415</v>
      </c>
      <c r="AE102" s="214">
        <v>620</v>
      </c>
      <c r="AF102" s="214">
        <v>0.03</v>
      </c>
      <c r="AG102" s="214">
        <v>-99</v>
      </c>
      <c r="AH102" s="212" t="s">
        <v>224</v>
      </c>
      <c r="AI102" s="212" t="s">
        <v>261</v>
      </c>
      <c r="AJ102" s="212" t="s">
        <v>354</v>
      </c>
      <c r="AK102" s="212" t="s">
        <v>531</v>
      </c>
      <c r="AL102" s="212" t="s">
        <v>398</v>
      </c>
      <c r="AM102" s="214" t="b">
        <v>1</v>
      </c>
      <c r="AN102" s="214" t="b">
        <v>1</v>
      </c>
      <c r="AO102" s="212" t="s">
        <v>355</v>
      </c>
      <c r="AP102" s="212" t="s">
        <v>356</v>
      </c>
      <c r="AQ102" s="214">
        <v>106.16500000000001</v>
      </c>
      <c r="AR102" s="214" t="b">
        <v>0</v>
      </c>
      <c r="AS102" s="212" t="s">
        <v>300</v>
      </c>
      <c r="AU102" s="222" t="s">
        <v>819</v>
      </c>
    </row>
    <row r="103" spans="1:47" s="219" customFormat="1" x14ac:dyDescent="0.25">
      <c r="A103" s="245">
        <f t="shared" ref="A103:A166" si="16">IF(B103="","",A102+1)</f>
        <v>198</v>
      </c>
      <c r="B103" s="246" t="str">
        <f t="shared" si="8"/>
        <v>Oil Field - Well</v>
      </c>
      <c r="C103" s="246" t="str">
        <f ca="1">IF(B103="","",VLOOKUP(D103,'Species Data'!B:E,4,FALSE))</f>
        <v>N_und</v>
      </c>
      <c r="D103" s="246">
        <f t="shared" ca="1" si="9"/>
        <v>610</v>
      </c>
      <c r="E103" s="246">
        <f t="shared" ca="1" si="10"/>
        <v>0.11509999999999999</v>
      </c>
      <c r="F103" s="246" t="str">
        <f t="shared" ca="1" si="11"/>
        <v>N-undecane</v>
      </c>
      <c r="G103" s="246">
        <f t="shared" ca="1" si="12"/>
        <v>156.30826000000002</v>
      </c>
      <c r="H103" s="204">
        <f ca="1">IF(G103="","",IF(VLOOKUP(Well_Head!F103,'Species Data'!D:F,3,FALSE)=0,"X",IF(G103&lt;44.1,2,1)))</f>
        <v>1</v>
      </c>
      <c r="I103" s="204">
        <f t="shared" ca="1" si="13"/>
        <v>0.14906684885948196</v>
      </c>
      <c r="J103" s="247">
        <f ca="1">IF(I103="","",IF(COUNTIF($D$12:D103,D103)=1,IF(H103=1,I103*H103,IF(H103="X","X",0)),0))</f>
        <v>0.14906684885948196</v>
      </c>
      <c r="K103" s="248">
        <f t="shared" ca="1" si="14"/>
        <v>0.31318142229092583</v>
      </c>
      <c r="L103" s="238" t="s">
        <v>624</v>
      </c>
      <c r="M103" s="212" t="s">
        <v>616</v>
      </c>
      <c r="N103" s="212" t="s">
        <v>260</v>
      </c>
      <c r="O103" s="213">
        <v>32589</v>
      </c>
      <c r="P103" s="212" t="s">
        <v>625</v>
      </c>
      <c r="Q103" s="214">
        <v>100</v>
      </c>
      <c r="R103" s="212" t="s">
        <v>531</v>
      </c>
      <c r="S103" s="212" t="s">
        <v>531</v>
      </c>
      <c r="T103" s="212" t="s">
        <v>531</v>
      </c>
      <c r="U103" s="212" t="s">
        <v>531</v>
      </c>
      <c r="V103" s="214" t="b">
        <v>1</v>
      </c>
      <c r="W103" s="225"/>
      <c r="X103" s="225"/>
      <c r="Y103" s="225"/>
      <c r="Z103" s="225"/>
      <c r="AA103" s="212" t="s">
        <v>531</v>
      </c>
      <c r="AB103" s="212" t="s">
        <v>531</v>
      </c>
      <c r="AC103" s="212" t="s">
        <v>618</v>
      </c>
      <c r="AD103" s="214">
        <v>1.212415</v>
      </c>
      <c r="AE103" s="214">
        <v>671</v>
      </c>
      <c r="AF103" s="214">
        <v>32.629999999999995</v>
      </c>
      <c r="AG103" s="214">
        <v>-99</v>
      </c>
      <c r="AH103" s="212" t="s">
        <v>224</v>
      </c>
      <c r="AI103" s="212" t="s">
        <v>261</v>
      </c>
      <c r="AJ103" s="212" t="s">
        <v>288</v>
      </c>
      <c r="AK103" s="212" t="s">
        <v>531</v>
      </c>
      <c r="AL103" s="212" t="s">
        <v>382</v>
      </c>
      <c r="AM103" s="214" t="b">
        <v>1</v>
      </c>
      <c r="AN103" s="214" t="b">
        <v>0</v>
      </c>
      <c r="AO103" s="212" t="s">
        <v>289</v>
      </c>
      <c r="AP103" s="212" t="s">
        <v>290</v>
      </c>
      <c r="AQ103" s="214">
        <v>44.095619999999997</v>
      </c>
      <c r="AR103" s="214" t="b">
        <v>0</v>
      </c>
      <c r="AS103" s="212" t="s">
        <v>300</v>
      </c>
      <c r="AU103" s="222" t="s">
        <v>819</v>
      </c>
    </row>
    <row r="104" spans="1:47" s="219" customFormat="1" x14ac:dyDescent="0.25">
      <c r="A104" s="245">
        <f t="shared" si="16"/>
        <v>199</v>
      </c>
      <c r="B104" s="246" t="str">
        <f t="shared" si="8"/>
        <v>Oil Field - Well</v>
      </c>
      <c r="C104" s="246" t="str">
        <f ca="1">IF(B104="","",VLOOKUP(D104,'Species Data'!B:E,4,FALSE))</f>
        <v>O_xylene</v>
      </c>
      <c r="D104" s="246">
        <f t="shared" ca="1" si="9"/>
        <v>620</v>
      </c>
      <c r="E104" s="246">
        <f t="shared" ca="1" si="10"/>
        <v>0.20399999999999999</v>
      </c>
      <c r="F104" s="246" t="str">
        <f t="shared" ca="1" si="11"/>
        <v>O-xylene</v>
      </c>
      <c r="G104" s="246">
        <f t="shared" ca="1" si="12"/>
        <v>106.16500000000001</v>
      </c>
      <c r="H104" s="204">
        <f ca="1">IF(G104="","",IF(VLOOKUP(Well_Head!F104,'Species Data'!D:F,3,FALSE)=0,"X",IF(G104&lt;44.1,2,1)))</f>
        <v>1</v>
      </c>
      <c r="I104" s="204">
        <f t="shared" ca="1" si="13"/>
        <v>0.25780031508927398</v>
      </c>
      <c r="J104" s="247">
        <f ca="1">IF(I104="","",IF(COUNTIF($D$12:D104,D104)=1,IF(H104=1,I104*H104,IF(H104="X","X",0)),0))</f>
        <v>0</v>
      </c>
      <c r="K104" s="248">
        <f t="shared" ca="1" si="14"/>
        <v>0</v>
      </c>
      <c r="L104" s="238" t="s">
        <v>624</v>
      </c>
      <c r="M104" s="212" t="s">
        <v>616</v>
      </c>
      <c r="N104" s="212" t="s">
        <v>260</v>
      </c>
      <c r="O104" s="213">
        <v>32589</v>
      </c>
      <c r="P104" s="212" t="s">
        <v>625</v>
      </c>
      <c r="Q104" s="214">
        <v>100</v>
      </c>
      <c r="R104" s="212" t="s">
        <v>531</v>
      </c>
      <c r="S104" s="212" t="s">
        <v>531</v>
      </c>
      <c r="T104" s="212" t="s">
        <v>531</v>
      </c>
      <c r="U104" s="212" t="s">
        <v>531</v>
      </c>
      <c r="V104" s="214" t="b">
        <v>1</v>
      </c>
      <c r="W104" s="225"/>
      <c r="X104" s="225"/>
      <c r="Y104" s="225"/>
      <c r="Z104" s="225"/>
      <c r="AA104" s="212" t="s">
        <v>531</v>
      </c>
      <c r="AB104" s="212" t="s">
        <v>531</v>
      </c>
      <c r="AC104" s="212" t="s">
        <v>618</v>
      </c>
      <c r="AD104" s="214">
        <v>1.212415</v>
      </c>
      <c r="AE104" s="214">
        <v>717</v>
      </c>
      <c r="AF104" s="214">
        <v>0.09</v>
      </c>
      <c r="AG104" s="214">
        <v>-99</v>
      </c>
      <c r="AH104" s="212" t="s">
        <v>224</v>
      </c>
      <c r="AI104" s="212" t="s">
        <v>261</v>
      </c>
      <c r="AJ104" s="212" t="s">
        <v>294</v>
      </c>
      <c r="AK104" s="212" t="s">
        <v>531</v>
      </c>
      <c r="AL104" s="212" t="s">
        <v>383</v>
      </c>
      <c r="AM104" s="214" t="b">
        <v>1</v>
      </c>
      <c r="AN104" s="214" t="b">
        <v>1</v>
      </c>
      <c r="AO104" s="212" t="s">
        <v>295</v>
      </c>
      <c r="AP104" s="212" t="s">
        <v>296</v>
      </c>
      <c r="AQ104" s="214">
        <v>92.138419999999996</v>
      </c>
      <c r="AR104" s="214" t="b">
        <v>0</v>
      </c>
      <c r="AS104" s="212" t="s">
        <v>300</v>
      </c>
      <c r="AU104" s="222" t="s">
        <v>819</v>
      </c>
    </row>
    <row r="105" spans="1:47" s="219" customFormat="1" ht="15" customHeight="1" x14ac:dyDescent="0.25">
      <c r="A105" s="245">
        <f t="shared" si="16"/>
        <v>200</v>
      </c>
      <c r="B105" s="246" t="str">
        <f t="shared" si="8"/>
        <v>Oil Field - Well</v>
      </c>
      <c r="C105" s="246" t="str">
        <f ca="1">IF(B105="","",VLOOKUP(D105,'Species Data'!B:E,4,FALSE))</f>
        <v>P_xylene</v>
      </c>
      <c r="D105" s="246">
        <f t="shared" ca="1" si="9"/>
        <v>648</v>
      </c>
      <c r="E105" s="246">
        <f t="shared" ca="1" si="10"/>
        <v>2.5000000000000001E-2</v>
      </c>
      <c r="F105" s="246" t="str">
        <f t="shared" ca="1" si="11"/>
        <v>P-xylene</v>
      </c>
      <c r="G105" s="246">
        <f t="shared" ca="1" si="12"/>
        <v>106.16500000000001</v>
      </c>
      <c r="H105" s="204">
        <f ca="1">IF(G105="","",IF(VLOOKUP(Well_Head!F105,'Species Data'!D:F,3,FALSE)=0,"X",IF(G105&lt;44.1,2,1)))</f>
        <v>1</v>
      </c>
      <c r="I105" s="204">
        <f t="shared" ca="1" si="13"/>
        <v>8.6622328093956577E-2</v>
      </c>
      <c r="J105" s="247">
        <f ca="1">IF(I105="","",IF(COUNTIF($D$12:D105,D105)=1,IF(H105=1,I105*H105,IF(H105="X","X",0)),0))</f>
        <v>0</v>
      </c>
      <c r="K105" s="248">
        <f t="shared" ca="1" si="14"/>
        <v>0</v>
      </c>
      <c r="L105" s="238" t="s">
        <v>624</v>
      </c>
      <c r="M105" s="212" t="s">
        <v>616</v>
      </c>
      <c r="N105" s="212" t="s">
        <v>260</v>
      </c>
      <c r="O105" s="213">
        <v>32589</v>
      </c>
      <c r="P105" s="212" t="s">
        <v>625</v>
      </c>
      <c r="Q105" s="214">
        <v>100</v>
      </c>
      <c r="R105" s="212" t="s">
        <v>531</v>
      </c>
      <c r="S105" s="212" t="s">
        <v>531</v>
      </c>
      <c r="T105" s="212" t="s">
        <v>531</v>
      </c>
      <c r="U105" s="212" t="s">
        <v>531</v>
      </c>
      <c r="V105" s="214" t="b">
        <v>1</v>
      </c>
      <c r="W105" s="225"/>
      <c r="X105" s="225"/>
      <c r="Y105" s="225"/>
      <c r="Z105" s="225"/>
      <c r="AA105" s="212" t="s">
        <v>531</v>
      </c>
      <c r="AB105" s="212" t="s">
        <v>531</v>
      </c>
      <c r="AC105" s="212" t="s">
        <v>618</v>
      </c>
      <c r="AD105" s="214">
        <v>1.212415</v>
      </c>
      <c r="AE105" s="214">
        <v>2283</v>
      </c>
      <c r="AF105" s="214">
        <v>0.31</v>
      </c>
      <c r="AG105" s="214">
        <v>-99</v>
      </c>
      <c r="AH105" s="212" t="s">
        <v>224</v>
      </c>
      <c r="AI105" s="212" t="s">
        <v>261</v>
      </c>
      <c r="AJ105" s="212" t="s">
        <v>224</v>
      </c>
      <c r="AK105" s="212" t="s">
        <v>531</v>
      </c>
      <c r="AL105" s="212" t="s">
        <v>531</v>
      </c>
      <c r="AM105" s="214" t="b">
        <v>0</v>
      </c>
      <c r="AN105" s="214" t="b">
        <v>0</v>
      </c>
      <c r="AO105" s="212" t="s">
        <v>357</v>
      </c>
      <c r="AP105" s="212" t="s">
        <v>358</v>
      </c>
      <c r="AQ105" s="214">
        <v>137.19212445472201</v>
      </c>
      <c r="AR105" s="214" t="b">
        <v>0</v>
      </c>
      <c r="AS105" s="212" t="s">
        <v>300</v>
      </c>
      <c r="AU105" s="222" t="s">
        <v>819</v>
      </c>
    </row>
    <row r="106" spans="1:47" s="219" customFormat="1" ht="15" customHeight="1" x14ac:dyDescent="0.25">
      <c r="A106" s="245">
        <f t="shared" si="16"/>
        <v>201</v>
      </c>
      <c r="B106" s="246" t="str">
        <f t="shared" si="8"/>
        <v>Oil Field - Well</v>
      </c>
      <c r="C106" s="246" t="str">
        <f ca="1">IF(B106="","",VLOOKUP(D106,'Species Data'!B:E,4,FALSE))</f>
        <v>propane</v>
      </c>
      <c r="D106" s="246">
        <f t="shared" ca="1" si="9"/>
        <v>671</v>
      </c>
      <c r="E106" s="246">
        <f t="shared" ca="1" si="10"/>
        <v>7.8100000000000003E-2</v>
      </c>
      <c r="F106" s="246" t="str">
        <f t="shared" ca="1" si="11"/>
        <v>Propane</v>
      </c>
      <c r="G106" s="246">
        <f t="shared" ca="1" si="12"/>
        <v>44.095619999999997</v>
      </c>
      <c r="H106" s="204">
        <f ca="1">IF(G106="","",IF(VLOOKUP(Well_Head!F106,'Species Data'!D:F,3,FALSE)=0,"X",IF(G106&lt;44.1,2,1)))</f>
        <v>2</v>
      </c>
      <c r="I106" s="204">
        <f t="shared" ca="1" si="13"/>
        <v>8.8717997321996727</v>
      </c>
      <c r="J106" s="247">
        <f ca="1">IF(I106="","",IF(COUNTIF($D$12:D106,D106)=1,IF(H106=1,I106*H106,IF(H106="X","X",0)),0))</f>
        <v>0</v>
      </c>
      <c r="K106" s="248">
        <f t="shared" ca="1" si="14"/>
        <v>0</v>
      </c>
      <c r="L106" s="238"/>
      <c r="M106" s="212"/>
      <c r="N106" s="212"/>
      <c r="O106" s="213"/>
      <c r="P106" s="212"/>
      <c r="Q106" s="214"/>
      <c r="R106" s="212"/>
      <c r="S106" s="212"/>
      <c r="T106" s="212"/>
      <c r="U106" s="212"/>
      <c r="V106" s="214"/>
      <c r="W106" s="225"/>
      <c r="X106" s="225"/>
      <c r="Y106" s="225"/>
      <c r="Z106" s="225"/>
      <c r="AA106" s="212"/>
      <c r="AB106" s="212"/>
      <c r="AC106" s="212"/>
      <c r="AD106" s="214"/>
      <c r="AE106" s="214"/>
      <c r="AF106" s="214"/>
      <c r="AG106" s="214"/>
      <c r="AH106" s="212"/>
      <c r="AI106" s="212"/>
      <c r="AJ106" s="212"/>
      <c r="AK106" s="212"/>
      <c r="AL106" s="212"/>
      <c r="AM106" s="214"/>
      <c r="AN106" s="214"/>
      <c r="AO106" s="212"/>
      <c r="AP106" s="212"/>
      <c r="AQ106" s="214"/>
      <c r="AR106" s="214"/>
      <c r="AS106" s="212"/>
      <c r="AU106" s="222" t="s">
        <v>819</v>
      </c>
    </row>
    <row r="107" spans="1:47" s="219" customFormat="1" ht="15" customHeight="1" x14ac:dyDescent="0.25">
      <c r="A107" s="245">
        <f t="shared" si="16"/>
        <v>202</v>
      </c>
      <c r="B107" s="246" t="str">
        <f t="shared" si="8"/>
        <v>Oil Field - Well</v>
      </c>
      <c r="C107" s="246" t="str">
        <f ca="1">IF(B107="","",VLOOKUP(D107,'Species Data'!B:E,4,FALSE))</f>
        <v>T_butben</v>
      </c>
      <c r="D107" s="246">
        <f t="shared" ca="1" si="9"/>
        <v>703</v>
      </c>
      <c r="E107" s="246">
        <f t="shared" ca="1" si="10"/>
        <v>0.26419999999999999</v>
      </c>
      <c r="F107" s="246" t="str">
        <f t="shared" ca="1" si="11"/>
        <v>T-butylbenzene</v>
      </c>
      <c r="G107" s="246">
        <f t="shared" ca="1" si="12"/>
        <v>134.21816000000001</v>
      </c>
      <c r="H107" s="204" t="str">
        <f ca="1">IF(G107="","",IF(VLOOKUP(Well_Head!F107,'Species Data'!D:F,3,FALSE)=0,"X",IF(G107&lt;44.1,2,1)))</f>
        <v>X</v>
      </c>
      <c r="I107" s="204">
        <f t="shared" ca="1" si="13"/>
        <v>0.15110018467800349</v>
      </c>
      <c r="J107" s="247">
        <f ca="1">IF(I107="","",IF(COUNTIF($D$12:D107,D107)=1,IF(H107=1,I107*H107,IF(H107="X","X",0)),0))</f>
        <v>0</v>
      </c>
      <c r="K107" s="248">
        <f t="shared" ca="1" si="14"/>
        <v>0</v>
      </c>
      <c r="L107" s="238" t="s">
        <v>626</v>
      </c>
      <c r="M107" s="212" t="s">
        <v>448</v>
      </c>
      <c r="N107" s="212" t="s">
        <v>470</v>
      </c>
      <c r="O107" s="213">
        <v>41419</v>
      </c>
      <c r="P107" s="212" t="s">
        <v>531</v>
      </c>
      <c r="Q107" s="214">
        <v>100</v>
      </c>
      <c r="R107" s="212" t="s">
        <v>445</v>
      </c>
      <c r="S107" s="212" t="s">
        <v>532</v>
      </c>
      <c r="T107" s="212" t="s">
        <v>445</v>
      </c>
      <c r="U107" s="212" t="s">
        <v>446</v>
      </c>
      <c r="V107" s="214" t="b">
        <v>1</v>
      </c>
      <c r="W107" s="214">
        <v>1989</v>
      </c>
      <c r="X107" s="214">
        <v>5</v>
      </c>
      <c r="Y107" s="214">
        <v>2</v>
      </c>
      <c r="Z107" s="214">
        <v>4</v>
      </c>
      <c r="AA107" s="212" t="s">
        <v>447</v>
      </c>
      <c r="AB107" s="212" t="s">
        <v>531</v>
      </c>
      <c r="AC107" s="212" t="s">
        <v>533</v>
      </c>
      <c r="AD107" s="214">
        <v>5.4219059999999999</v>
      </c>
      <c r="AE107" s="214">
        <v>25</v>
      </c>
      <c r="AF107" s="214">
        <v>0.1167</v>
      </c>
      <c r="AG107" s="214">
        <v>-99</v>
      </c>
      <c r="AH107" s="212" t="s">
        <v>224</v>
      </c>
      <c r="AI107" s="212" t="s">
        <v>449</v>
      </c>
      <c r="AJ107" s="212" t="s">
        <v>627</v>
      </c>
      <c r="AK107" s="212" t="s">
        <v>531</v>
      </c>
      <c r="AL107" s="212" t="s">
        <v>628</v>
      </c>
      <c r="AM107" s="214" t="b">
        <v>1</v>
      </c>
      <c r="AN107" s="214" t="b">
        <v>0</v>
      </c>
      <c r="AO107" s="212" t="s">
        <v>629</v>
      </c>
      <c r="AP107" s="212" t="s">
        <v>630</v>
      </c>
      <c r="AQ107" s="214">
        <v>120.19158</v>
      </c>
      <c r="AR107" s="214" t="b">
        <v>0</v>
      </c>
      <c r="AS107" s="212" t="s">
        <v>534</v>
      </c>
      <c r="AU107" s="222" t="s">
        <v>819</v>
      </c>
    </row>
    <row r="108" spans="1:47" s="219" customFormat="1" ht="15" customHeight="1" x14ac:dyDescent="0.25">
      <c r="A108" s="245">
        <f t="shared" si="16"/>
        <v>203</v>
      </c>
      <c r="B108" s="246" t="str">
        <f t="shared" si="8"/>
        <v>Oil Field - Well</v>
      </c>
      <c r="C108" s="246" t="str">
        <f ca="1">IF(B108="","",VLOOKUP(D108,'Species Data'!B:E,4,FALSE))</f>
        <v>toluene</v>
      </c>
      <c r="D108" s="246">
        <f t="shared" ca="1" si="9"/>
        <v>717</v>
      </c>
      <c r="E108" s="246">
        <f t="shared" ca="1" si="10"/>
        <v>0.1192</v>
      </c>
      <c r="F108" s="246" t="str">
        <f t="shared" ca="1" si="11"/>
        <v>Toluene</v>
      </c>
      <c r="G108" s="246">
        <f t="shared" ca="1" si="12"/>
        <v>92.138419999999996</v>
      </c>
      <c r="H108" s="204">
        <f ca="1">IF(G108="","",IF(VLOOKUP(Well_Head!F108,'Species Data'!D:F,3,FALSE)=0,"X",IF(G108&lt;44.1,2,1)))</f>
        <v>1</v>
      </c>
      <c r="I108" s="204">
        <f t="shared" ca="1" si="13"/>
        <v>0.47057835292909805</v>
      </c>
      <c r="J108" s="247">
        <f ca="1">IF(I108="","",IF(COUNTIF($D$12:D108,D108)=1,IF(H108=1,I108*H108,IF(H108="X","X",0)),0))</f>
        <v>0</v>
      </c>
      <c r="K108" s="248">
        <f t="shared" ca="1" si="14"/>
        <v>0</v>
      </c>
      <c r="L108" s="238" t="s">
        <v>626</v>
      </c>
      <c r="M108" s="212" t="s">
        <v>448</v>
      </c>
      <c r="N108" s="212" t="s">
        <v>470</v>
      </c>
      <c r="O108" s="213">
        <v>41419</v>
      </c>
      <c r="P108" s="212" t="s">
        <v>531</v>
      </c>
      <c r="Q108" s="214">
        <v>100</v>
      </c>
      <c r="R108" s="212" t="s">
        <v>445</v>
      </c>
      <c r="S108" s="212" t="s">
        <v>532</v>
      </c>
      <c r="T108" s="212" t="s">
        <v>445</v>
      </c>
      <c r="U108" s="212" t="s">
        <v>446</v>
      </c>
      <c r="V108" s="214" t="b">
        <v>1</v>
      </c>
      <c r="W108" s="214">
        <v>1989</v>
      </c>
      <c r="X108" s="214">
        <v>5</v>
      </c>
      <c r="Y108" s="214">
        <v>2</v>
      </c>
      <c r="Z108" s="214">
        <v>4</v>
      </c>
      <c r="AA108" s="212" t="s">
        <v>447</v>
      </c>
      <c r="AB108" s="212" t="s">
        <v>531</v>
      </c>
      <c r="AC108" s="212" t="s">
        <v>533</v>
      </c>
      <c r="AD108" s="214">
        <v>5.4219059999999999</v>
      </c>
      <c r="AE108" s="214">
        <v>30</v>
      </c>
      <c r="AF108" s="214">
        <v>0.1777</v>
      </c>
      <c r="AG108" s="214">
        <v>-99</v>
      </c>
      <c r="AH108" s="212" t="s">
        <v>224</v>
      </c>
      <c r="AI108" s="212" t="s">
        <v>449</v>
      </c>
      <c r="AJ108" s="212" t="s">
        <v>359</v>
      </c>
      <c r="AK108" s="212" t="s">
        <v>531</v>
      </c>
      <c r="AL108" s="212" t="s">
        <v>531</v>
      </c>
      <c r="AM108" s="214" t="b">
        <v>1</v>
      </c>
      <c r="AN108" s="214" t="b">
        <v>0</v>
      </c>
      <c r="AO108" s="212" t="s">
        <v>360</v>
      </c>
      <c r="AP108" s="212" t="s">
        <v>361</v>
      </c>
      <c r="AQ108" s="214">
        <v>120.19158</v>
      </c>
      <c r="AR108" s="214" t="b">
        <v>0</v>
      </c>
      <c r="AS108" s="212" t="s">
        <v>534</v>
      </c>
      <c r="AU108" s="222" t="s">
        <v>819</v>
      </c>
    </row>
    <row r="109" spans="1:47" s="219" customFormat="1" x14ac:dyDescent="0.25">
      <c r="A109" s="245">
        <f t="shared" si="16"/>
        <v>204</v>
      </c>
      <c r="B109" s="246" t="str">
        <f t="shared" si="8"/>
        <v>Oil Field - Well</v>
      </c>
      <c r="C109" s="246" t="str">
        <f ca="1">IF(B109="","",VLOOKUP(D109,'Species Data'!B:E,4,FALSE))</f>
        <v>betben</v>
      </c>
      <c r="D109" s="246">
        <f t="shared" ca="1" si="9"/>
        <v>981</v>
      </c>
      <c r="E109" s="246">
        <f t="shared" ca="1" si="10"/>
        <v>0.1696</v>
      </c>
      <c r="F109" s="246" t="str">
        <f t="shared" ca="1" si="11"/>
        <v>Butylbenzene</v>
      </c>
      <c r="G109" s="246">
        <f t="shared" ca="1" si="12"/>
        <v>134.21816000000001</v>
      </c>
      <c r="H109" s="204">
        <f ca="1">IF(G109="","",IF(VLOOKUP(Well_Head!F109,'Species Data'!D:F,3,FALSE)=0,"X",IF(G109&lt;44.1,2,1)))</f>
        <v>1</v>
      </c>
      <c r="I109" s="204">
        <f t="shared" ca="1" si="13"/>
        <v>6.3200077244538855E-2</v>
      </c>
      <c r="J109" s="247">
        <f ca="1">IF(I109="","",IF(COUNTIF($D$12:D109,D109)=1,IF(H109=1,I109*H109,IF(H109="X","X",0)),0))</f>
        <v>0</v>
      </c>
      <c r="K109" s="248">
        <f t="shared" ca="1" si="14"/>
        <v>0</v>
      </c>
      <c r="L109" s="238" t="s">
        <v>626</v>
      </c>
      <c r="M109" s="212" t="s">
        <v>448</v>
      </c>
      <c r="N109" s="212" t="s">
        <v>470</v>
      </c>
      <c r="O109" s="213">
        <v>41419</v>
      </c>
      <c r="P109" s="212" t="s">
        <v>531</v>
      </c>
      <c r="Q109" s="214">
        <v>100</v>
      </c>
      <c r="R109" s="212" t="s">
        <v>445</v>
      </c>
      <c r="S109" s="212" t="s">
        <v>532</v>
      </c>
      <c r="T109" s="212" t="s">
        <v>445</v>
      </c>
      <c r="U109" s="212" t="s">
        <v>446</v>
      </c>
      <c r="V109" s="214" t="b">
        <v>1</v>
      </c>
      <c r="W109" s="214">
        <v>1989</v>
      </c>
      <c r="X109" s="214">
        <v>5</v>
      </c>
      <c r="Y109" s="214">
        <v>2</v>
      </c>
      <c r="Z109" s="214">
        <v>4</v>
      </c>
      <c r="AA109" s="212" t="s">
        <v>447</v>
      </c>
      <c r="AB109" s="212" t="s">
        <v>531</v>
      </c>
      <c r="AC109" s="212" t="s">
        <v>533</v>
      </c>
      <c r="AD109" s="214">
        <v>5.4219059999999999</v>
      </c>
      <c r="AE109" s="214">
        <v>36</v>
      </c>
      <c r="AF109" s="214">
        <v>7.2900000000000006E-2</v>
      </c>
      <c r="AG109" s="214">
        <v>-99</v>
      </c>
      <c r="AH109" s="212" t="s">
        <v>224</v>
      </c>
      <c r="AI109" s="212" t="s">
        <v>449</v>
      </c>
      <c r="AJ109" s="212" t="s">
        <v>631</v>
      </c>
      <c r="AK109" s="212" t="s">
        <v>531</v>
      </c>
      <c r="AL109" s="212" t="s">
        <v>632</v>
      </c>
      <c r="AM109" s="214" t="b">
        <v>0</v>
      </c>
      <c r="AN109" s="214" t="b">
        <v>0</v>
      </c>
      <c r="AO109" s="212" t="s">
        <v>633</v>
      </c>
      <c r="AP109" s="212" t="s">
        <v>531</v>
      </c>
      <c r="AQ109" s="214">
        <v>134.21816000000001</v>
      </c>
      <c r="AR109" s="214" t="b">
        <v>0</v>
      </c>
      <c r="AS109" s="212" t="s">
        <v>534</v>
      </c>
      <c r="AU109" s="222" t="s">
        <v>819</v>
      </c>
    </row>
    <row r="110" spans="1:47" s="219" customFormat="1" ht="15" customHeight="1" x14ac:dyDescent="0.25">
      <c r="A110" s="245">
        <f t="shared" si="16"/>
        <v>205</v>
      </c>
      <c r="B110" s="246" t="str">
        <f t="shared" si="8"/>
        <v>Oil Field - Well</v>
      </c>
      <c r="C110" s="246" t="str">
        <f ca="1">IF(B110="","",VLOOKUP(D110,'Species Data'!B:E,4,FALSE))</f>
        <v>c10_comp</v>
      </c>
      <c r="D110" s="246">
        <f t="shared" ca="1" si="9"/>
        <v>1924</v>
      </c>
      <c r="E110" s="246">
        <f t="shared" ca="1" si="10"/>
        <v>6.0922999999999998</v>
      </c>
      <c r="F110" s="246" t="str">
        <f t="shared" ca="1" si="11"/>
        <v>C-10 Compounds</v>
      </c>
      <c r="G110" s="246">
        <f t="shared" ca="1" si="12"/>
        <v>142.28167999999999</v>
      </c>
      <c r="H110" s="204" t="str">
        <f ca="1">IF(G110="","",IF(VLOOKUP(Well_Head!F110,'Species Data'!D:F,3,FALSE)=0,"X",IF(G110&lt;44.1,2,1)))</f>
        <v>X</v>
      </c>
      <c r="I110" s="204">
        <f t="shared" ca="1" si="13"/>
        <v>2.3240139515726077</v>
      </c>
      <c r="J110" s="247">
        <f ca="1">IF(I110="","",IF(COUNTIF($D$12:D110,D110)=1,IF(H110=1,I110*H110,IF(H110="X","X",0)),0))</f>
        <v>0</v>
      </c>
      <c r="K110" s="248">
        <f t="shared" ca="1" si="14"/>
        <v>0</v>
      </c>
      <c r="L110" s="238" t="s">
        <v>626</v>
      </c>
      <c r="M110" s="212" t="s">
        <v>448</v>
      </c>
      <c r="N110" s="212" t="s">
        <v>470</v>
      </c>
      <c r="O110" s="213">
        <v>41419</v>
      </c>
      <c r="P110" s="212" t="s">
        <v>531</v>
      </c>
      <c r="Q110" s="214">
        <v>100</v>
      </c>
      <c r="R110" s="212" t="s">
        <v>445</v>
      </c>
      <c r="S110" s="212" t="s">
        <v>532</v>
      </c>
      <c r="T110" s="212" t="s">
        <v>445</v>
      </c>
      <c r="U110" s="212" t="s">
        <v>446</v>
      </c>
      <c r="V110" s="214" t="b">
        <v>1</v>
      </c>
      <c r="W110" s="214">
        <v>1989</v>
      </c>
      <c r="X110" s="214">
        <v>5</v>
      </c>
      <c r="Y110" s="214">
        <v>2</v>
      </c>
      <c r="Z110" s="214">
        <v>4</v>
      </c>
      <c r="AA110" s="212" t="s">
        <v>447</v>
      </c>
      <c r="AB110" s="212" t="s">
        <v>531</v>
      </c>
      <c r="AC110" s="212" t="s">
        <v>533</v>
      </c>
      <c r="AD110" s="214">
        <v>5.4219059999999999</v>
      </c>
      <c r="AE110" s="214">
        <v>44</v>
      </c>
      <c r="AF110" s="214">
        <v>0.10589999999999999</v>
      </c>
      <c r="AG110" s="214">
        <v>-99</v>
      </c>
      <c r="AH110" s="212" t="s">
        <v>224</v>
      </c>
      <c r="AI110" s="212" t="s">
        <v>449</v>
      </c>
      <c r="AJ110" s="212" t="s">
        <v>400</v>
      </c>
      <c r="AK110" s="212" t="s">
        <v>531</v>
      </c>
      <c r="AL110" s="212" t="s">
        <v>401</v>
      </c>
      <c r="AM110" s="214" t="b">
        <v>1</v>
      </c>
      <c r="AN110" s="214" t="b">
        <v>0</v>
      </c>
      <c r="AO110" s="212" t="s">
        <v>402</v>
      </c>
      <c r="AP110" s="212" t="s">
        <v>403</v>
      </c>
      <c r="AQ110" s="214">
        <v>120.19158</v>
      </c>
      <c r="AR110" s="214" t="b">
        <v>0</v>
      </c>
      <c r="AS110" s="212" t="s">
        <v>534</v>
      </c>
      <c r="AU110" s="222" t="s">
        <v>819</v>
      </c>
    </row>
    <row r="111" spans="1:47" s="219" customFormat="1" x14ac:dyDescent="0.25">
      <c r="A111" s="245">
        <f t="shared" si="16"/>
        <v>206</v>
      </c>
      <c r="B111" s="246" t="str">
        <f t="shared" si="8"/>
        <v>Oil Field - Well</v>
      </c>
      <c r="C111" s="246" t="str">
        <f ca="1">IF(B111="","",VLOOKUP(D111,'Species Data'!B:E,4,FALSE))</f>
        <v>c11_comp</v>
      </c>
      <c r="D111" s="246">
        <f t="shared" ca="1" si="9"/>
        <v>1929</v>
      </c>
      <c r="E111" s="246">
        <f t="shared" ca="1" si="10"/>
        <v>5.4074</v>
      </c>
      <c r="F111" s="246" t="str">
        <f t="shared" ca="1" si="11"/>
        <v>C-11 Compounds</v>
      </c>
      <c r="G111" s="246">
        <f t="shared" ca="1" si="12"/>
        <v>156.30826000000002</v>
      </c>
      <c r="H111" s="204" t="str">
        <f ca="1">IF(G111="","",IF(VLOOKUP(Well_Head!F111,'Species Data'!D:F,3,FALSE)=0,"X",IF(G111&lt;44.1,2,1)))</f>
        <v>X</v>
      </c>
      <c r="I111" s="204">
        <f t="shared" ca="1" si="13"/>
        <v>0.83128990490988375</v>
      </c>
      <c r="J111" s="247">
        <f ca="1">IF(I111="","",IF(COUNTIF($D$12:D111,D111)=1,IF(H111=1,I111*H111,IF(H111="X","X",0)),0))</f>
        <v>0</v>
      </c>
      <c r="K111" s="248">
        <f t="shared" ca="1" si="14"/>
        <v>0</v>
      </c>
      <c r="L111" s="238" t="s">
        <v>626</v>
      </c>
      <c r="M111" s="212" t="s">
        <v>448</v>
      </c>
      <c r="N111" s="212" t="s">
        <v>470</v>
      </c>
      <c r="O111" s="213">
        <v>41419</v>
      </c>
      <c r="P111" s="212" t="s">
        <v>531</v>
      </c>
      <c r="Q111" s="214">
        <v>100</v>
      </c>
      <c r="R111" s="212" t="s">
        <v>445</v>
      </c>
      <c r="S111" s="212" t="s">
        <v>532</v>
      </c>
      <c r="T111" s="212" t="s">
        <v>445</v>
      </c>
      <c r="U111" s="212" t="s">
        <v>446</v>
      </c>
      <c r="V111" s="214" t="b">
        <v>1</v>
      </c>
      <c r="W111" s="214">
        <v>1989</v>
      </c>
      <c r="X111" s="214">
        <v>5</v>
      </c>
      <c r="Y111" s="214">
        <v>2</v>
      </c>
      <c r="Z111" s="214">
        <v>4</v>
      </c>
      <c r="AA111" s="212" t="s">
        <v>447</v>
      </c>
      <c r="AB111" s="212" t="s">
        <v>531</v>
      </c>
      <c r="AC111" s="212" t="s">
        <v>533</v>
      </c>
      <c r="AD111" s="214">
        <v>5.4219059999999999</v>
      </c>
      <c r="AE111" s="214">
        <v>51</v>
      </c>
      <c r="AF111" s="214">
        <v>8.8300000000000003E-2</v>
      </c>
      <c r="AG111" s="214">
        <v>-99</v>
      </c>
      <c r="AH111" s="212" t="s">
        <v>224</v>
      </c>
      <c r="AI111" s="212" t="s">
        <v>449</v>
      </c>
      <c r="AJ111" s="212" t="s">
        <v>634</v>
      </c>
      <c r="AK111" s="212" t="s">
        <v>531</v>
      </c>
      <c r="AL111" s="212" t="s">
        <v>635</v>
      </c>
      <c r="AM111" s="214" t="b">
        <v>1</v>
      </c>
      <c r="AN111" s="214" t="b">
        <v>0</v>
      </c>
      <c r="AO111" s="212" t="s">
        <v>636</v>
      </c>
      <c r="AP111" s="212" t="s">
        <v>637</v>
      </c>
      <c r="AQ111" s="214">
        <v>134.21816000000001</v>
      </c>
      <c r="AR111" s="214" t="b">
        <v>0</v>
      </c>
      <c r="AS111" s="212" t="s">
        <v>534</v>
      </c>
      <c r="AU111" s="222" t="s">
        <v>819</v>
      </c>
    </row>
    <row r="112" spans="1:47" s="219" customFormat="1" x14ac:dyDescent="0.25">
      <c r="A112" s="245">
        <f t="shared" si="16"/>
        <v>207</v>
      </c>
      <c r="B112" s="246" t="str">
        <f t="shared" si="8"/>
        <v>Oil Field - Well</v>
      </c>
      <c r="C112" s="246" t="str">
        <f ca="1">IF(B112="","",VLOOKUP(D112,'Species Data'!B:E,4,FALSE))</f>
        <v>c6_comp</v>
      </c>
      <c r="D112" s="246">
        <f t="shared" ca="1" si="9"/>
        <v>1999</v>
      </c>
      <c r="E112" s="246">
        <f t="shared" ca="1" si="10"/>
        <v>0.70740000000000003</v>
      </c>
      <c r="F112" s="246" t="str">
        <f t="shared" ca="1" si="11"/>
        <v>C-6 Compounds</v>
      </c>
      <c r="G112" s="246">
        <f t="shared" ca="1" si="12"/>
        <v>86.175359999999998</v>
      </c>
      <c r="H112" s="204" t="str">
        <f ca="1">IF(G112="","",IF(VLOOKUP(Well_Head!F112,'Species Data'!D:F,3,FALSE)=0,"X",IF(G112&lt;44.1,2,1)))</f>
        <v>X</v>
      </c>
      <c r="I112" s="204">
        <f t="shared" ca="1" si="13"/>
        <v>2.1343803864649171</v>
      </c>
      <c r="J112" s="247">
        <f ca="1">IF(I112="","",IF(COUNTIF($D$12:D112,D112)=1,IF(H112=1,I112*H112,IF(H112="X","X",0)),0))</f>
        <v>0</v>
      </c>
      <c r="K112" s="248">
        <f t="shared" ca="1" si="14"/>
        <v>0</v>
      </c>
      <c r="L112" s="238" t="s">
        <v>626</v>
      </c>
      <c r="M112" s="212" t="s">
        <v>448</v>
      </c>
      <c r="N112" s="212" t="s">
        <v>470</v>
      </c>
      <c r="O112" s="213">
        <v>41419</v>
      </c>
      <c r="P112" s="212" t="s">
        <v>531</v>
      </c>
      <c r="Q112" s="214">
        <v>100</v>
      </c>
      <c r="R112" s="212" t="s">
        <v>445</v>
      </c>
      <c r="S112" s="212" t="s">
        <v>532</v>
      </c>
      <c r="T112" s="212" t="s">
        <v>445</v>
      </c>
      <c r="U112" s="212" t="s">
        <v>446</v>
      </c>
      <c r="V112" s="214" t="b">
        <v>1</v>
      </c>
      <c r="W112" s="214">
        <v>1989</v>
      </c>
      <c r="X112" s="214">
        <v>5</v>
      </c>
      <c r="Y112" s="214">
        <v>2</v>
      </c>
      <c r="Z112" s="214">
        <v>4</v>
      </c>
      <c r="AA112" s="212" t="s">
        <v>447</v>
      </c>
      <c r="AB112" s="212" t="s">
        <v>531</v>
      </c>
      <c r="AC112" s="212" t="s">
        <v>533</v>
      </c>
      <c r="AD112" s="214">
        <v>5.4219059999999999</v>
      </c>
      <c r="AE112" s="214">
        <v>59</v>
      </c>
      <c r="AF112" s="214">
        <v>8.7400000000000005E-2</v>
      </c>
      <c r="AG112" s="214">
        <v>-99</v>
      </c>
      <c r="AH112" s="212" t="s">
        <v>224</v>
      </c>
      <c r="AI112" s="212" t="s">
        <v>449</v>
      </c>
      <c r="AJ112" s="212" t="s">
        <v>638</v>
      </c>
      <c r="AK112" s="212" t="s">
        <v>531</v>
      </c>
      <c r="AL112" s="212" t="s">
        <v>639</v>
      </c>
      <c r="AM112" s="214" t="b">
        <v>1</v>
      </c>
      <c r="AN112" s="214" t="b">
        <v>0</v>
      </c>
      <c r="AO112" s="212" t="s">
        <v>640</v>
      </c>
      <c r="AP112" s="212" t="s">
        <v>641</v>
      </c>
      <c r="AQ112" s="214">
        <v>134.21816000000001</v>
      </c>
      <c r="AR112" s="214" t="b">
        <v>0</v>
      </c>
      <c r="AS112" s="212" t="s">
        <v>534</v>
      </c>
      <c r="AU112" s="222" t="s">
        <v>819</v>
      </c>
    </row>
    <row r="113" spans="1:47" s="219" customFormat="1" x14ac:dyDescent="0.25">
      <c r="A113" s="245">
        <f t="shared" si="16"/>
        <v>208</v>
      </c>
      <c r="B113" s="246" t="str">
        <f t="shared" si="8"/>
        <v>Oil Field - Well</v>
      </c>
      <c r="C113" s="246" t="str">
        <f ca="1">IF(B113="","",VLOOKUP(D113,'Species Data'!B:E,4,FALSE))</f>
        <v>c7_comp</v>
      </c>
      <c r="D113" s="246">
        <f t="shared" ca="1" si="9"/>
        <v>2005</v>
      </c>
      <c r="E113" s="246">
        <f t="shared" ca="1" si="10"/>
        <v>4.5831999999999997</v>
      </c>
      <c r="F113" s="246" t="str">
        <f t="shared" ca="1" si="11"/>
        <v>C-7 Compounds</v>
      </c>
      <c r="G113" s="246">
        <f t="shared" ca="1" si="12"/>
        <v>100.20194000000001</v>
      </c>
      <c r="H113" s="204" t="str">
        <f ca="1">IF(G113="","",IF(VLOOKUP(Well_Head!F113,'Species Data'!D:F,3,FALSE)=0,"X",IF(G113&lt;44.1,2,1)))</f>
        <v>X</v>
      </c>
      <c r="I113" s="204">
        <f t="shared" ca="1" si="13"/>
        <v>4.8450170327985953</v>
      </c>
      <c r="J113" s="247">
        <f ca="1">IF(I113="","",IF(COUNTIF($D$12:D113,D113)=1,IF(H113=1,I113*H113,IF(H113="X","X",0)),0))</f>
        <v>0</v>
      </c>
      <c r="K113" s="248">
        <f t="shared" ca="1" si="14"/>
        <v>0</v>
      </c>
      <c r="L113" s="238" t="s">
        <v>626</v>
      </c>
      <c r="M113" s="212" t="s">
        <v>448</v>
      </c>
      <c r="N113" s="212" t="s">
        <v>470</v>
      </c>
      <c r="O113" s="213">
        <v>41419</v>
      </c>
      <c r="P113" s="212" t="s">
        <v>531</v>
      </c>
      <c r="Q113" s="214">
        <v>100</v>
      </c>
      <c r="R113" s="212" t="s">
        <v>445</v>
      </c>
      <c r="S113" s="212" t="s">
        <v>532</v>
      </c>
      <c r="T113" s="212" t="s">
        <v>445</v>
      </c>
      <c r="U113" s="212" t="s">
        <v>446</v>
      </c>
      <c r="V113" s="214" t="b">
        <v>1</v>
      </c>
      <c r="W113" s="214">
        <v>1989</v>
      </c>
      <c r="X113" s="214">
        <v>5</v>
      </c>
      <c r="Y113" s="214">
        <v>2</v>
      </c>
      <c r="Z113" s="214">
        <v>4</v>
      </c>
      <c r="AA113" s="212" t="s">
        <v>447</v>
      </c>
      <c r="AB113" s="212" t="s">
        <v>531</v>
      </c>
      <c r="AC113" s="212" t="s">
        <v>533</v>
      </c>
      <c r="AD113" s="214">
        <v>5.4219059999999999</v>
      </c>
      <c r="AE113" s="214">
        <v>80</v>
      </c>
      <c r="AF113" s="214">
        <v>0.1053</v>
      </c>
      <c r="AG113" s="214">
        <v>-99</v>
      </c>
      <c r="AH113" s="212" t="s">
        <v>224</v>
      </c>
      <c r="AI113" s="212" t="s">
        <v>449</v>
      </c>
      <c r="AJ113" s="212" t="s">
        <v>408</v>
      </c>
      <c r="AK113" s="212" t="s">
        <v>531</v>
      </c>
      <c r="AL113" s="212" t="s">
        <v>450</v>
      </c>
      <c r="AM113" s="214" t="b">
        <v>1</v>
      </c>
      <c r="AN113" s="214" t="b">
        <v>0</v>
      </c>
      <c r="AO113" s="212" t="s">
        <v>409</v>
      </c>
      <c r="AP113" s="212" t="s">
        <v>410</v>
      </c>
      <c r="AQ113" s="214">
        <v>120.19158</v>
      </c>
      <c r="AR113" s="214" t="b">
        <v>0</v>
      </c>
      <c r="AS113" s="212" t="s">
        <v>534</v>
      </c>
      <c r="AU113" s="222" t="s">
        <v>819</v>
      </c>
    </row>
    <row r="114" spans="1:47" s="219" customFormat="1" ht="15" customHeight="1" x14ac:dyDescent="0.25">
      <c r="A114" s="245">
        <f t="shared" si="16"/>
        <v>209</v>
      </c>
      <c r="B114" s="246" t="str">
        <f t="shared" si="8"/>
        <v>Oil Field - Well</v>
      </c>
      <c r="C114" s="246" t="str">
        <f ca="1">IF(B114="","",VLOOKUP(D114,'Species Data'!B:E,4,FALSE))</f>
        <v>c8_comp</v>
      </c>
      <c r="D114" s="246">
        <f t="shared" ca="1" si="9"/>
        <v>2011</v>
      </c>
      <c r="E114" s="246">
        <f t="shared" ca="1" si="10"/>
        <v>5.1638999999999999</v>
      </c>
      <c r="F114" s="246" t="str">
        <f t="shared" ca="1" si="11"/>
        <v>C-8 Compounds</v>
      </c>
      <c r="G114" s="246">
        <f t="shared" ca="1" si="12"/>
        <v>113.21160686946486</v>
      </c>
      <c r="H114" s="204" t="str">
        <f ca="1">IF(G114="","",IF(VLOOKUP(Well_Head!F114,'Species Data'!D:F,3,FALSE)=0,"X",IF(G114&lt;44.1,2,1)))</f>
        <v>X</v>
      </c>
      <c r="I114" s="204">
        <f t="shared" ca="1" si="13"/>
        <v>5.0392950480272818</v>
      </c>
      <c r="J114" s="247">
        <f ca="1">IF(I114="","",IF(COUNTIF($D$12:D114,D114)=1,IF(H114=1,I114*H114,IF(H114="X","X",0)),0))</f>
        <v>0</v>
      </c>
      <c r="K114" s="248">
        <f t="shared" ca="1" si="14"/>
        <v>0</v>
      </c>
      <c r="L114" s="238" t="s">
        <v>626</v>
      </c>
      <c r="M114" s="212" t="s">
        <v>448</v>
      </c>
      <c r="N114" s="212" t="s">
        <v>470</v>
      </c>
      <c r="O114" s="213">
        <v>41419</v>
      </c>
      <c r="P114" s="212" t="s">
        <v>531</v>
      </c>
      <c r="Q114" s="214">
        <v>100</v>
      </c>
      <c r="R114" s="212" t="s">
        <v>445</v>
      </c>
      <c r="S114" s="212" t="s">
        <v>532</v>
      </c>
      <c r="T114" s="212" t="s">
        <v>445</v>
      </c>
      <c r="U114" s="212" t="s">
        <v>446</v>
      </c>
      <c r="V114" s="214" t="b">
        <v>1</v>
      </c>
      <c r="W114" s="214">
        <v>1989</v>
      </c>
      <c r="X114" s="214">
        <v>5</v>
      </c>
      <c r="Y114" s="214">
        <v>2</v>
      </c>
      <c r="Z114" s="214">
        <v>4</v>
      </c>
      <c r="AA114" s="212" t="s">
        <v>447</v>
      </c>
      <c r="AB114" s="212" t="s">
        <v>531</v>
      </c>
      <c r="AC114" s="212" t="s">
        <v>533</v>
      </c>
      <c r="AD114" s="214">
        <v>5.4219059999999999</v>
      </c>
      <c r="AE114" s="214">
        <v>89</v>
      </c>
      <c r="AF114" s="214">
        <v>7.5399999999999995E-2</v>
      </c>
      <c r="AG114" s="214">
        <v>-99</v>
      </c>
      <c r="AH114" s="212" t="s">
        <v>224</v>
      </c>
      <c r="AI114" s="212" t="s">
        <v>449</v>
      </c>
      <c r="AJ114" s="212" t="s">
        <v>411</v>
      </c>
      <c r="AK114" s="212" t="s">
        <v>531</v>
      </c>
      <c r="AL114" s="212" t="s">
        <v>451</v>
      </c>
      <c r="AM114" s="214" t="b">
        <v>1</v>
      </c>
      <c r="AN114" s="214" t="b">
        <v>0</v>
      </c>
      <c r="AO114" s="212" t="s">
        <v>412</v>
      </c>
      <c r="AP114" s="212" t="s">
        <v>413</v>
      </c>
      <c r="AQ114" s="214">
        <v>120.19158</v>
      </c>
      <c r="AR114" s="214" t="b">
        <v>0</v>
      </c>
      <c r="AS114" s="212" t="s">
        <v>534</v>
      </c>
      <c r="AU114" s="222" t="s">
        <v>819</v>
      </c>
    </row>
    <row r="115" spans="1:47" s="219" customFormat="1" x14ac:dyDescent="0.25">
      <c r="A115" s="245">
        <f t="shared" si="16"/>
        <v>210</v>
      </c>
      <c r="B115" s="246" t="str">
        <f t="shared" si="8"/>
        <v>Oil Field - Well</v>
      </c>
      <c r="C115" s="246" t="str">
        <f ca="1">IF(B115="","",VLOOKUP(D115,'Species Data'!B:E,4,FALSE))</f>
        <v>c9_comp</v>
      </c>
      <c r="D115" s="246">
        <f t="shared" ca="1" si="9"/>
        <v>2018</v>
      </c>
      <c r="E115" s="246">
        <f t="shared" ca="1" si="10"/>
        <v>5.6391</v>
      </c>
      <c r="F115" s="246" t="str">
        <f t="shared" ca="1" si="11"/>
        <v>C-9 Compounds</v>
      </c>
      <c r="G115" s="246">
        <f t="shared" ca="1" si="12"/>
        <v>127.23917598649743</v>
      </c>
      <c r="H115" s="204" t="str">
        <f ca="1">IF(G115="","",IF(VLOOKUP(Well_Head!F115,'Species Data'!D:F,3,FALSE)=0,"X",IF(G115&lt;44.1,2,1)))</f>
        <v>X</v>
      </c>
      <c r="I115" s="204">
        <f t="shared" ca="1" si="13"/>
        <v>4.5871944954599391</v>
      </c>
      <c r="J115" s="247">
        <f ca="1">IF(I115="","",IF(COUNTIF($D$12:D115,D115)=1,IF(H115=1,I115*H115,IF(H115="X","X",0)),0))</f>
        <v>0</v>
      </c>
      <c r="K115" s="248">
        <f t="shared" ca="1" si="14"/>
        <v>0</v>
      </c>
      <c r="L115" s="238" t="s">
        <v>626</v>
      </c>
      <c r="M115" s="212" t="s">
        <v>448</v>
      </c>
      <c r="N115" s="212" t="s">
        <v>470</v>
      </c>
      <c r="O115" s="213">
        <v>41419</v>
      </c>
      <c r="P115" s="212" t="s">
        <v>531</v>
      </c>
      <c r="Q115" s="214">
        <v>100</v>
      </c>
      <c r="R115" s="212" t="s">
        <v>445</v>
      </c>
      <c r="S115" s="212" t="s">
        <v>532</v>
      </c>
      <c r="T115" s="212" t="s">
        <v>445</v>
      </c>
      <c r="U115" s="212" t="s">
        <v>446</v>
      </c>
      <c r="V115" s="214" t="b">
        <v>1</v>
      </c>
      <c r="W115" s="214">
        <v>1989</v>
      </c>
      <c r="X115" s="214">
        <v>5</v>
      </c>
      <c r="Y115" s="214">
        <v>2</v>
      </c>
      <c r="Z115" s="214">
        <v>4</v>
      </c>
      <c r="AA115" s="212" t="s">
        <v>447</v>
      </c>
      <c r="AB115" s="212" t="s">
        <v>531</v>
      </c>
      <c r="AC115" s="212" t="s">
        <v>533</v>
      </c>
      <c r="AD115" s="214">
        <v>5.4219059999999999</v>
      </c>
      <c r="AE115" s="214">
        <v>122</v>
      </c>
      <c r="AF115" s="214">
        <v>0.37940000000000002</v>
      </c>
      <c r="AG115" s="214">
        <v>-99</v>
      </c>
      <c r="AH115" s="212" t="s">
        <v>224</v>
      </c>
      <c r="AI115" s="212" t="s">
        <v>449</v>
      </c>
      <c r="AJ115" s="212" t="s">
        <v>301</v>
      </c>
      <c r="AK115" s="212" t="s">
        <v>531</v>
      </c>
      <c r="AL115" s="212" t="s">
        <v>384</v>
      </c>
      <c r="AM115" s="214" t="b">
        <v>1</v>
      </c>
      <c r="AN115" s="214" t="b">
        <v>0</v>
      </c>
      <c r="AO115" s="212" t="s">
        <v>302</v>
      </c>
      <c r="AP115" s="212" t="s">
        <v>303</v>
      </c>
      <c r="AQ115" s="214">
        <v>86.175359999999998</v>
      </c>
      <c r="AR115" s="214" t="b">
        <v>0</v>
      </c>
      <c r="AS115" s="212" t="s">
        <v>534</v>
      </c>
      <c r="AU115" s="222" t="s">
        <v>819</v>
      </c>
    </row>
    <row r="116" spans="1:47" s="219" customFormat="1" ht="15" customHeight="1" x14ac:dyDescent="0.25">
      <c r="A116" s="245">
        <f t="shared" si="16"/>
        <v>211</v>
      </c>
      <c r="B116" s="246" t="str">
        <f t="shared" si="8"/>
        <v>Oil Field - Well</v>
      </c>
      <c r="C116" s="246" t="str">
        <f ca="1">IF(B116="","",VLOOKUP(D116,'Species Data'!B:E,4,FALSE))</f>
        <v>trimethben123</v>
      </c>
      <c r="D116" s="246">
        <f t="shared" ca="1" si="9"/>
        <v>25</v>
      </c>
      <c r="E116" s="246">
        <f t="shared" ca="1" si="10"/>
        <v>0.5393</v>
      </c>
      <c r="F116" s="246" t="str">
        <f t="shared" ca="1" si="11"/>
        <v>1,2,3-trimethylbenzene</v>
      </c>
      <c r="G116" s="246">
        <f t="shared" ca="1" si="12"/>
        <v>120.19158</v>
      </c>
      <c r="H116" s="204">
        <f ca="1">IF(G116="","",IF(VLOOKUP(Well_Head!F116,'Species Data'!D:F,3,FALSE)=0,"X",IF(G116&lt;44.1,2,1)))</f>
        <v>1</v>
      </c>
      <c r="I116" s="204">
        <f t="shared" ca="1" si="13"/>
        <v>0.15947797269529998</v>
      </c>
      <c r="J116" s="247">
        <f ca="1">IF(I116="","",IF(COUNTIF($D$12:D116,D116)=1,IF(H116=1,I116*H116,IF(H116="X","X",0)),0))</f>
        <v>0</v>
      </c>
      <c r="K116" s="248">
        <f t="shared" ca="1" si="14"/>
        <v>0</v>
      </c>
      <c r="L116" s="238" t="s">
        <v>626</v>
      </c>
      <c r="M116" s="212" t="s">
        <v>448</v>
      </c>
      <c r="N116" s="212" t="s">
        <v>470</v>
      </c>
      <c r="O116" s="213">
        <v>41419</v>
      </c>
      <c r="P116" s="212" t="s">
        <v>531</v>
      </c>
      <c r="Q116" s="214">
        <v>100</v>
      </c>
      <c r="R116" s="212" t="s">
        <v>445</v>
      </c>
      <c r="S116" s="212" t="s">
        <v>532</v>
      </c>
      <c r="T116" s="212" t="s">
        <v>445</v>
      </c>
      <c r="U116" s="212" t="s">
        <v>446</v>
      </c>
      <c r="V116" s="214" t="b">
        <v>1</v>
      </c>
      <c r="W116" s="214">
        <v>1989</v>
      </c>
      <c r="X116" s="214">
        <v>5</v>
      </c>
      <c r="Y116" s="214">
        <v>2</v>
      </c>
      <c r="Z116" s="214">
        <v>4</v>
      </c>
      <c r="AA116" s="212" t="s">
        <v>447</v>
      </c>
      <c r="AB116" s="212" t="s">
        <v>531</v>
      </c>
      <c r="AC116" s="212" t="s">
        <v>533</v>
      </c>
      <c r="AD116" s="214">
        <v>5.4219059999999999</v>
      </c>
      <c r="AE116" s="214">
        <v>127</v>
      </c>
      <c r="AF116" s="214">
        <v>0.30830000000000002</v>
      </c>
      <c r="AG116" s="214">
        <v>-99</v>
      </c>
      <c r="AH116" s="212" t="s">
        <v>224</v>
      </c>
      <c r="AI116" s="212" t="s">
        <v>449</v>
      </c>
      <c r="AJ116" s="212" t="s">
        <v>441</v>
      </c>
      <c r="AK116" s="212" t="s">
        <v>531</v>
      </c>
      <c r="AL116" s="212" t="s">
        <v>462</v>
      </c>
      <c r="AM116" s="214" t="b">
        <v>0</v>
      </c>
      <c r="AN116" s="214" t="b">
        <v>0</v>
      </c>
      <c r="AO116" s="212" t="s">
        <v>442</v>
      </c>
      <c r="AP116" s="212" t="s">
        <v>531</v>
      </c>
      <c r="AQ116" s="214">
        <v>72.148780000000002</v>
      </c>
      <c r="AR116" s="214" t="b">
        <v>0</v>
      </c>
      <c r="AS116" s="212" t="s">
        <v>534</v>
      </c>
      <c r="AU116" s="222" t="s">
        <v>819</v>
      </c>
    </row>
    <row r="117" spans="1:47" s="219" customFormat="1" x14ac:dyDescent="0.25">
      <c r="A117" s="245">
        <f t="shared" si="16"/>
        <v>212</v>
      </c>
      <c r="B117" s="246" t="str">
        <f t="shared" si="8"/>
        <v>Oil Field - Well</v>
      </c>
      <c r="C117" s="246" t="str">
        <f ca="1">IF(B117="","",VLOOKUP(D117,'Species Data'!B:E,4,FALSE))</f>
        <v>trimetben124</v>
      </c>
      <c r="D117" s="246">
        <f t="shared" ca="1" si="9"/>
        <v>30</v>
      </c>
      <c r="E117" s="246">
        <f t="shared" ca="1" si="10"/>
        <v>0.15759999999999999</v>
      </c>
      <c r="F117" s="246" t="str">
        <f t="shared" ca="1" si="11"/>
        <v>1,2,4-trimethylbenzene  (1,3,4-trimethylbenzene)</v>
      </c>
      <c r="G117" s="246">
        <f t="shared" ca="1" si="12"/>
        <v>120.19158</v>
      </c>
      <c r="H117" s="204">
        <f ca="1">IF(G117="","",IF(VLOOKUP(Well_Head!F117,'Species Data'!D:F,3,FALSE)=0,"X",IF(G117&lt;44.1,2,1)))</f>
        <v>1</v>
      </c>
      <c r="I117" s="204">
        <f t="shared" ca="1" si="13"/>
        <v>0.18081133210273925</v>
      </c>
      <c r="J117" s="247">
        <f ca="1">IF(I117="","",IF(COUNTIF($D$12:D117,D117)=1,IF(H117=1,I117*H117,IF(H117="X","X",0)),0))</f>
        <v>0</v>
      </c>
      <c r="K117" s="248">
        <f t="shared" ca="1" si="14"/>
        <v>0</v>
      </c>
      <c r="L117" s="238" t="s">
        <v>626</v>
      </c>
      <c r="M117" s="212" t="s">
        <v>448</v>
      </c>
      <c r="N117" s="212" t="s">
        <v>470</v>
      </c>
      <c r="O117" s="213">
        <v>41419</v>
      </c>
      <c r="P117" s="212" t="s">
        <v>531</v>
      </c>
      <c r="Q117" s="214">
        <v>100</v>
      </c>
      <c r="R117" s="212" t="s">
        <v>445</v>
      </c>
      <c r="S117" s="212" t="s">
        <v>532</v>
      </c>
      <c r="T117" s="212" t="s">
        <v>445</v>
      </c>
      <c r="U117" s="212" t="s">
        <v>446</v>
      </c>
      <c r="V117" s="214" t="b">
        <v>1</v>
      </c>
      <c r="W117" s="214">
        <v>1989</v>
      </c>
      <c r="X117" s="214">
        <v>5</v>
      </c>
      <c r="Y117" s="214">
        <v>2</v>
      </c>
      <c r="Z117" s="214">
        <v>4</v>
      </c>
      <c r="AA117" s="212" t="s">
        <v>447</v>
      </c>
      <c r="AB117" s="212" t="s">
        <v>531</v>
      </c>
      <c r="AC117" s="212" t="s">
        <v>533</v>
      </c>
      <c r="AD117" s="214">
        <v>5.4219059999999999</v>
      </c>
      <c r="AE117" s="214">
        <v>130</v>
      </c>
      <c r="AF117" s="214">
        <v>0.19850000000000001</v>
      </c>
      <c r="AG117" s="214">
        <v>-99</v>
      </c>
      <c r="AH117" s="212" t="s">
        <v>224</v>
      </c>
      <c r="AI117" s="212" t="s">
        <v>449</v>
      </c>
      <c r="AJ117" s="212" t="s">
        <v>404</v>
      </c>
      <c r="AK117" s="212" t="s">
        <v>531</v>
      </c>
      <c r="AL117" s="212" t="s">
        <v>405</v>
      </c>
      <c r="AM117" s="214" t="b">
        <v>1</v>
      </c>
      <c r="AN117" s="214" t="b">
        <v>0</v>
      </c>
      <c r="AO117" s="212" t="s">
        <v>406</v>
      </c>
      <c r="AP117" s="212" t="s">
        <v>407</v>
      </c>
      <c r="AQ117" s="214">
        <v>114.22852</v>
      </c>
      <c r="AR117" s="214" t="b">
        <v>0</v>
      </c>
      <c r="AS117" s="212" t="s">
        <v>534</v>
      </c>
      <c r="AU117" s="222" t="s">
        <v>819</v>
      </c>
    </row>
    <row r="118" spans="1:47" s="219" customFormat="1" x14ac:dyDescent="0.25">
      <c r="A118" s="245">
        <f t="shared" si="16"/>
        <v>213</v>
      </c>
      <c r="B118" s="246" t="str">
        <f t="shared" si="8"/>
        <v>Oil Field - Well</v>
      </c>
      <c r="C118" s="246" t="str">
        <f ca="1">IF(B118="","",VLOOKUP(D118,'Species Data'!B:E,4,FALSE))</f>
        <v>dietben12</v>
      </c>
      <c r="D118" s="246">
        <f t="shared" ca="1" si="9"/>
        <v>36</v>
      </c>
      <c r="E118" s="246">
        <f t="shared" ca="1" si="10"/>
        <v>0.496</v>
      </c>
      <c r="F118" s="246" t="str">
        <f t="shared" ca="1" si="11"/>
        <v>1,2-diethylbenzene (ortho)</v>
      </c>
      <c r="G118" s="246">
        <f t="shared" ca="1" si="12"/>
        <v>134.21816000000001</v>
      </c>
      <c r="H118" s="204" t="str">
        <f ca="1">IF(G118="","",IF(VLOOKUP(Well_Head!F118,'Species Data'!D:F,3,FALSE)=0,"X",IF(G118&lt;44.1,2,1)))</f>
        <v>X</v>
      </c>
      <c r="I118" s="204">
        <f t="shared" ca="1" si="13"/>
        <v>8.0366764892712661E-2</v>
      </c>
      <c r="J118" s="247">
        <f ca="1">IF(I118="","",IF(COUNTIF($D$12:D118,D118)=1,IF(H118=1,I118*H118,IF(H118="X","X",0)),0))</f>
        <v>0</v>
      </c>
      <c r="K118" s="248">
        <f t="shared" ca="1" si="14"/>
        <v>0</v>
      </c>
      <c r="L118" s="238" t="s">
        <v>626</v>
      </c>
      <c r="M118" s="212" t="s">
        <v>448</v>
      </c>
      <c r="N118" s="212" t="s">
        <v>470</v>
      </c>
      <c r="O118" s="213">
        <v>41419</v>
      </c>
      <c r="P118" s="212" t="s">
        <v>531</v>
      </c>
      <c r="Q118" s="214">
        <v>100</v>
      </c>
      <c r="R118" s="212" t="s">
        <v>445</v>
      </c>
      <c r="S118" s="212" t="s">
        <v>532</v>
      </c>
      <c r="T118" s="212" t="s">
        <v>445</v>
      </c>
      <c r="U118" s="212" t="s">
        <v>446</v>
      </c>
      <c r="V118" s="214" t="b">
        <v>1</v>
      </c>
      <c r="W118" s="214">
        <v>1989</v>
      </c>
      <c r="X118" s="214">
        <v>5</v>
      </c>
      <c r="Y118" s="214">
        <v>2</v>
      </c>
      <c r="Z118" s="214">
        <v>4</v>
      </c>
      <c r="AA118" s="212" t="s">
        <v>447</v>
      </c>
      <c r="AB118" s="212" t="s">
        <v>531</v>
      </c>
      <c r="AC118" s="212" t="s">
        <v>533</v>
      </c>
      <c r="AD118" s="214">
        <v>5.4219059999999999</v>
      </c>
      <c r="AE118" s="214">
        <v>136</v>
      </c>
      <c r="AF118" s="214">
        <v>1.3302</v>
      </c>
      <c r="AG118" s="214">
        <v>-99</v>
      </c>
      <c r="AH118" s="212" t="s">
        <v>224</v>
      </c>
      <c r="AI118" s="212" t="s">
        <v>449</v>
      </c>
      <c r="AJ118" s="212" t="s">
        <v>304</v>
      </c>
      <c r="AK118" s="212" t="s">
        <v>531</v>
      </c>
      <c r="AL118" s="212" t="s">
        <v>620</v>
      </c>
      <c r="AM118" s="214" t="b">
        <v>1</v>
      </c>
      <c r="AN118" s="214" t="b">
        <v>0</v>
      </c>
      <c r="AO118" s="212" t="s">
        <v>305</v>
      </c>
      <c r="AP118" s="212" t="s">
        <v>306</v>
      </c>
      <c r="AQ118" s="214">
        <v>86.175359999999998</v>
      </c>
      <c r="AR118" s="214" t="b">
        <v>0</v>
      </c>
      <c r="AS118" s="212" t="s">
        <v>534</v>
      </c>
      <c r="AU118" s="222" t="s">
        <v>819</v>
      </c>
    </row>
    <row r="119" spans="1:47" s="219" customFormat="1" x14ac:dyDescent="0.25">
      <c r="A119" s="245">
        <f t="shared" si="16"/>
        <v>214</v>
      </c>
      <c r="B119" s="246" t="str">
        <f t="shared" si="8"/>
        <v>Oil Field - Well</v>
      </c>
      <c r="C119" s="246" t="str">
        <f ca="1">IF(B119="","",VLOOKUP(D119,'Species Data'!B:E,4,FALSE))</f>
        <v>trimethben135</v>
      </c>
      <c r="D119" s="246">
        <f t="shared" ca="1" si="9"/>
        <v>44</v>
      </c>
      <c r="E119" s="246">
        <f t="shared" ca="1" si="10"/>
        <v>0.60529999999999995</v>
      </c>
      <c r="F119" s="246" t="str">
        <f t="shared" ca="1" si="11"/>
        <v>1,3,5-trimethylbenzene</v>
      </c>
      <c r="G119" s="246">
        <f t="shared" ca="1" si="12"/>
        <v>120.19158</v>
      </c>
      <c r="H119" s="204">
        <f ca="1">IF(G119="","",IF(VLOOKUP(Well_Head!F119,'Species Data'!D:F,3,FALSE)=0,"X",IF(G119&lt;44.1,2,1)))</f>
        <v>1</v>
      </c>
      <c r="I119" s="204">
        <f t="shared" ca="1" si="13"/>
        <v>0.11778903285326239</v>
      </c>
      <c r="J119" s="247">
        <f ca="1">IF(I119="","",IF(COUNTIF($D$12:D119,D119)=1,IF(H119=1,I119*H119,IF(H119="X","X",0)),0))</f>
        <v>0</v>
      </c>
      <c r="K119" s="248">
        <f t="shared" ca="1" si="14"/>
        <v>0</v>
      </c>
      <c r="L119" s="238" t="s">
        <v>626</v>
      </c>
      <c r="M119" s="212" t="s">
        <v>448</v>
      </c>
      <c r="N119" s="212" t="s">
        <v>470</v>
      </c>
      <c r="O119" s="213">
        <v>41419</v>
      </c>
      <c r="P119" s="212" t="s">
        <v>531</v>
      </c>
      <c r="Q119" s="214">
        <v>100</v>
      </c>
      <c r="R119" s="212" t="s">
        <v>445</v>
      </c>
      <c r="S119" s="212" t="s">
        <v>532</v>
      </c>
      <c r="T119" s="212" t="s">
        <v>445</v>
      </c>
      <c r="U119" s="212" t="s">
        <v>446</v>
      </c>
      <c r="V119" s="214" t="b">
        <v>1</v>
      </c>
      <c r="W119" s="214">
        <v>1989</v>
      </c>
      <c r="X119" s="214">
        <v>5</v>
      </c>
      <c r="Y119" s="214">
        <v>2</v>
      </c>
      <c r="Z119" s="214">
        <v>4</v>
      </c>
      <c r="AA119" s="212" t="s">
        <v>447</v>
      </c>
      <c r="AB119" s="212" t="s">
        <v>531</v>
      </c>
      <c r="AC119" s="212" t="s">
        <v>533</v>
      </c>
      <c r="AD119" s="214">
        <v>5.4219059999999999</v>
      </c>
      <c r="AE119" s="214">
        <v>138</v>
      </c>
      <c r="AF119" s="214">
        <v>4.6600000000000003E-2</v>
      </c>
      <c r="AG119" s="214">
        <v>-99</v>
      </c>
      <c r="AH119" s="212" t="s">
        <v>224</v>
      </c>
      <c r="AI119" s="212" t="s">
        <v>449</v>
      </c>
      <c r="AJ119" s="212" t="s">
        <v>443</v>
      </c>
      <c r="AK119" s="212" t="s">
        <v>531</v>
      </c>
      <c r="AL119" s="212" t="s">
        <v>463</v>
      </c>
      <c r="AM119" s="214" t="b">
        <v>0</v>
      </c>
      <c r="AN119" s="214" t="b">
        <v>0</v>
      </c>
      <c r="AO119" s="212" t="s">
        <v>444</v>
      </c>
      <c r="AP119" s="212" t="s">
        <v>531</v>
      </c>
      <c r="AQ119" s="214">
        <v>114.22852</v>
      </c>
      <c r="AR119" s="214" t="b">
        <v>0</v>
      </c>
      <c r="AS119" s="212" t="s">
        <v>534</v>
      </c>
      <c r="AU119" s="222" t="s">
        <v>819</v>
      </c>
    </row>
    <row r="120" spans="1:47" s="219" customFormat="1" x14ac:dyDescent="0.25">
      <c r="A120" s="245">
        <f t="shared" si="16"/>
        <v>215</v>
      </c>
      <c r="B120" s="246" t="str">
        <f t="shared" si="8"/>
        <v>Oil Field - Well</v>
      </c>
      <c r="C120" s="246" t="str">
        <f ca="1">IF(B120="","",VLOOKUP(D120,'Species Data'!B:E,4,FALSE))</f>
        <v>dietben13</v>
      </c>
      <c r="D120" s="246">
        <f t="shared" ca="1" si="9"/>
        <v>51</v>
      </c>
      <c r="E120" s="246">
        <f t="shared" ca="1" si="10"/>
        <v>0.34179999999999999</v>
      </c>
      <c r="F120" s="246" t="str">
        <f t="shared" ca="1" si="11"/>
        <v>1,3-diethylbenzene (meta)</v>
      </c>
      <c r="G120" s="246">
        <f t="shared" ca="1" si="12"/>
        <v>134.21816000000001</v>
      </c>
      <c r="H120" s="204" t="str">
        <f ca="1">IF(G120="","",IF(VLOOKUP(Well_Head!F120,'Species Data'!D:F,3,FALSE)=0,"X",IF(G120&lt;44.1,2,1)))</f>
        <v>X</v>
      </c>
      <c r="I120" s="204">
        <f t="shared" ca="1" si="13"/>
        <v>0.1341112750248917</v>
      </c>
      <c r="J120" s="247">
        <f ca="1">IF(I120="","",IF(COUNTIF($D$12:D120,D120)=1,IF(H120=1,I120*H120,IF(H120="X","X",0)),0))</f>
        <v>0</v>
      </c>
      <c r="K120" s="248">
        <f t="shared" ca="1" si="14"/>
        <v>0</v>
      </c>
      <c r="L120" s="238" t="s">
        <v>626</v>
      </c>
      <c r="M120" s="212" t="s">
        <v>448</v>
      </c>
      <c r="N120" s="212" t="s">
        <v>470</v>
      </c>
      <c r="O120" s="213">
        <v>41419</v>
      </c>
      <c r="P120" s="212" t="s">
        <v>531</v>
      </c>
      <c r="Q120" s="214">
        <v>100</v>
      </c>
      <c r="R120" s="212" t="s">
        <v>445</v>
      </c>
      <c r="S120" s="212" t="s">
        <v>532</v>
      </c>
      <c r="T120" s="212" t="s">
        <v>445</v>
      </c>
      <c r="U120" s="212" t="s">
        <v>446</v>
      </c>
      <c r="V120" s="214" t="b">
        <v>1</v>
      </c>
      <c r="W120" s="214">
        <v>1989</v>
      </c>
      <c r="X120" s="214">
        <v>5</v>
      </c>
      <c r="Y120" s="214">
        <v>2</v>
      </c>
      <c r="Z120" s="214">
        <v>4</v>
      </c>
      <c r="AA120" s="212" t="s">
        <v>447</v>
      </c>
      <c r="AB120" s="212" t="s">
        <v>531</v>
      </c>
      <c r="AC120" s="212" t="s">
        <v>533</v>
      </c>
      <c r="AD120" s="214">
        <v>5.4219059999999999</v>
      </c>
      <c r="AE120" s="214">
        <v>149</v>
      </c>
      <c r="AF120" s="214">
        <v>0.17799999999999999</v>
      </c>
      <c r="AG120" s="214">
        <v>-99</v>
      </c>
      <c r="AH120" s="212" t="s">
        <v>224</v>
      </c>
      <c r="AI120" s="212" t="s">
        <v>449</v>
      </c>
      <c r="AJ120" s="212" t="s">
        <v>427</v>
      </c>
      <c r="AK120" s="212" t="s">
        <v>531</v>
      </c>
      <c r="AL120" s="212" t="s">
        <v>457</v>
      </c>
      <c r="AM120" s="214" t="b">
        <v>0</v>
      </c>
      <c r="AN120" s="214" t="b">
        <v>0</v>
      </c>
      <c r="AO120" s="212" t="s">
        <v>428</v>
      </c>
      <c r="AP120" s="212" t="s">
        <v>429</v>
      </c>
      <c r="AQ120" s="214">
        <v>114.22852</v>
      </c>
      <c r="AR120" s="214" t="b">
        <v>0</v>
      </c>
      <c r="AS120" s="212" t="s">
        <v>534</v>
      </c>
      <c r="AU120" s="222" t="s">
        <v>819</v>
      </c>
    </row>
    <row r="121" spans="1:47" s="219" customFormat="1" x14ac:dyDescent="0.25">
      <c r="A121" s="245">
        <f t="shared" si="16"/>
        <v>216</v>
      </c>
      <c r="B121" s="246" t="str">
        <f t="shared" si="8"/>
        <v>Oil Field - Well</v>
      </c>
      <c r="C121" s="246" t="str">
        <f ca="1">IF(B121="","",VLOOKUP(D121,'Species Data'!B:E,4,FALSE))</f>
        <v>dietben14</v>
      </c>
      <c r="D121" s="246">
        <f t="shared" ca="1" si="9"/>
        <v>59</v>
      </c>
      <c r="E121" s="246">
        <f t="shared" ca="1" si="10"/>
        <v>0.34970000000000001</v>
      </c>
      <c r="F121" s="246" t="str">
        <f t="shared" ca="1" si="11"/>
        <v>1,4-diethylbenzene (para)</v>
      </c>
      <c r="G121" s="246">
        <f t="shared" ca="1" si="12"/>
        <v>134.21816000000001</v>
      </c>
      <c r="H121" s="204" t="str">
        <f ca="1">IF(G121="","",IF(VLOOKUP(Well_Head!F121,'Species Data'!D:F,3,FALSE)=0,"X",IF(G121&lt;44.1,2,1)))</f>
        <v>X</v>
      </c>
      <c r="I121" s="204">
        <f t="shared" ca="1" si="13"/>
        <v>7.9233430174192432E-2</v>
      </c>
      <c r="J121" s="247">
        <f ca="1">IF(I121="","",IF(COUNTIF($D$12:D121,D121)=1,IF(H121=1,I121*H121,IF(H121="X","X",0)),0))</f>
        <v>0</v>
      </c>
      <c r="K121" s="248">
        <f t="shared" ca="1" si="14"/>
        <v>0</v>
      </c>
      <c r="L121" s="238" t="s">
        <v>626</v>
      </c>
      <c r="M121" s="212" t="s">
        <v>448</v>
      </c>
      <c r="N121" s="212" t="s">
        <v>470</v>
      </c>
      <c r="O121" s="213">
        <v>41419</v>
      </c>
      <c r="P121" s="212" t="s">
        <v>531</v>
      </c>
      <c r="Q121" s="214">
        <v>100</v>
      </c>
      <c r="R121" s="212" t="s">
        <v>445</v>
      </c>
      <c r="S121" s="212" t="s">
        <v>532</v>
      </c>
      <c r="T121" s="212" t="s">
        <v>445</v>
      </c>
      <c r="U121" s="212" t="s">
        <v>446</v>
      </c>
      <c r="V121" s="214" t="b">
        <v>1</v>
      </c>
      <c r="W121" s="214">
        <v>1989</v>
      </c>
      <c r="X121" s="214">
        <v>5</v>
      </c>
      <c r="Y121" s="214">
        <v>2</v>
      </c>
      <c r="Z121" s="214">
        <v>4</v>
      </c>
      <c r="AA121" s="212" t="s">
        <v>447</v>
      </c>
      <c r="AB121" s="212" t="s">
        <v>531</v>
      </c>
      <c r="AC121" s="212" t="s">
        <v>533</v>
      </c>
      <c r="AD121" s="214">
        <v>5.4219059999999999</v>
      </c>
      <c r="AE121" s="214">
        <v>152</v>
      </c>
      <c r="AF121" s="214">
        <v>0.23169999999999999</v>
      </c>
      <c r="AG121" s="214">
        <v>-99</v>
      </c>
      <c r="AH121" s="212" t="s">
        <v>224</v>
      </c>
      <c r="AI121" s="212" t="s">
        <v>449</v>
      </c>
      <c r="AJ121" s="212" t="s">
        <v>310</v>
      </c>
      <c r="AK121" s="212" t="s">
        <v>531</v>
      </c>
      <c r="AL121" s="212" t="s">
        <v>386</v>
      </c>
      <c r="AM121" s="214" t="b">
        <v>1</v>
      </c>
      <c r="AN121" s="214" t="b">
        <v>0</v>
      </c>
      <c r="AO121" s="212" t="s">
        <v>311</v>
      </c>
      <c r="AP121" s="212" t="s">
        <v>312</v>
      </c>
      <c r="AQ121" s="214">
        <v>100.20194000000001</v>
      </c>
      <c r="AR121" s="214" t="b">
        <v>0</v>
      </c>
      <c r="AS121" s="212" t="s">
        <v>534</v>
      </c>
      <c r="AU121" s="222" t="s">
        <v>819</v>
      </c>
    </row>
    <row r="122" spans="1:47" s="219" customFormat="1" x14ac:dyDescent="0.25">
      <c r="A122" s="245">
        <f t="shared" si="16"/>
        <v>217</v>
      </c>
      <c r="B122" s="246" t="str">
        <f t="shared" si="8"/>
        <v>Oil Field - Well</v>
      </c>
      <c r="C122" s="246" t="str">
        <f ca="1">IF(B122="","",VLOOKUP(D122,'Species Data'!B:E,4,FALSE))</f>
        <v>ethben12</v>
      </c>
      <c r="D122" s="246">
        <f t="shared" ca="1" si="9"/>
        <v>80</v>
      </c>
      <c r="E122" s="246">
        <f t="shared" ca="1" si="10"/>
        <v>0.69189999999999996</v>
      </c>
      <c r="F122" s="246" t="str">
        <f t="shared" ca="1" si="11"/>
        <v>1-Methyl-2-ethylbenzene</v>
      </c>
      <c r="G122" s="246">
        <f t="shared" ca="1" si="12"/>
        <v>120.19158</v>
      </c>
      <c r="H122" s="204">
        <f ca="1">IF(G122="","",IF(VLOOKUP(Well_Head!F122,'Species Data'!D:F,3,FALSE)=0,"X",IF(G122&lt;44.1,2,1)))</f>
        <v>1</v>
      </c>
      <c r="I122" s="204">
        <f t="shared" ca="1" si="13"/>
        <v>0.13882239189403453</v>
      </c>
      <c r="J122" s="247">
        <f ca="1">IF(I122="","",IF(COUNTIF($D$12:D122,D122)=1,IF(H122=1,I122*H122,IF(H122="X","X",0)),0))</f>
        <v>0</v>
      </c>
      <c r="K122" s="248">
        <f t="shared" ca="1" si="14"/>
        <v>0</v>
      </c>
      <c r="L122" s="238" t="s">
        <v>626</v>
      </c>
      <c r="M122" s="212" t="s">
        <v>448</v>
      </c>
      <c r="N122" s="212" t="s">
        <v>470</v>
      </c>
      <c r="O122" s="213">
        <v>41419</v>
      </c>
      <c r="P122" s="212" t="s">
        <v>531</v>
      </c>
      <c r="Q122" s="214">
        <v>100</v>
      </c>
      <c r="R122" s="212" t="s">
        <v>445</v>
      </c>
      <c r="S122" s="212" t="s">
        <v>532</v>
      </c>
      <c r="T122" s="212" t="s">
        <v>445</v>
      </c>
      <c r="U122" s="212" t="s">
        <v>446</v>
      </c>
      <c r="V122" s="214" t="b">
        <v>1</v>
      </c>
      <c r="W122" s="214">
        <v>1989</v>
      </c>
      <c r="X122" s="214">
        <v>5</v>
      </c>
      <c r="Y122" s="214">
        <v>2</v>
      </c>
      <c r="Z122" s="214">
        <v>4</v>
      </c>
      <c r="AA122" s="212" t="s">
        <v>447</v>
      </c>
      <c r="AB122" s="212" t="s">
        <v>531</v>
      </c>
      <c r="AC122" s="212" t="s">
        <v>533</v>
      </c>
      <c r="AD122" s="214">
        <v>5.4219059999999999</v>
      </c>
      <c r="AE122" s="214">
        <v>193</v>
      </c>
      <c r="AF122" s="214">
        <v>2.98E-2</v>
      </c>
      <c r="AG122" s="214">
        <v>-99</v>
      </c>
      <c r="AH122" s="212" t="s">
        <v>224</v>
      </c>
      <c r="AI122" s="212" t="s">
        <v>449</v>
      </c>
      <c r="AJ122" s="212" t="s">
        <v>313</v>
      </c>
      <c r="AK122" s="212" t="s">
        <v>531</v>
      </c>
      <c r="AL122" s="212" t="s">
        <v>387</v>
      </c>
      <c r="AM122" s="214" t="b">
        <v>1</v>
      </c>
      <c r="AN122" s="214" t="b">
        <v>0</v>
      </c>
      <c r="AO122" s="212" t="s">
        <v>314</v>
      </c>
      <c r="AP122" s="212" t="s">
        <v>315</v>
      </c>
      <c r="AQ122" s="214">
        <v>114.22852</v>
      </c>
      <c r="AR122" s="214" t="b">
        <v>0</v>
      </c>
      <c r="AS122" s="212" t="s">
        <v>534</v>
      </c>
      <c r="AU122" s="222" t="s">
        <v>819</v>
      </c>
    </row>
    <row r="123" spans="1:47" s="219" customFormat="1" x14ac:dyDescent="0.25">
      <c r="A123" s="245">
        <f t="shared" si="16"/>
        <v>218</v>
      </c>
      <c r="B123" s="246" t="str">
        <f t="shared" si="8"/>
        <v>Oil Field - Well</v>
      </c>
      <c r="C123" s="246" t="str">
        <f ca="1">IF(B123="","",VLOOKUP(D123,'Species Data'!B:E,4,FALSE))</f>
        <v>ethben13</v>
      </c>
      <c r="D123" s="246">
        <f t="shared" ca="1" si="9"/>
        <v>89</v>
      </c>
      <c r="E123" s="246">
        <f t="shared" ca="1" si="10"/>
        <v>0.29270000000000002</v>
      </c>
      <c r="F123" s="246" t="str">
        <f t="shared" ca="1" si="11"/>
        <v>1-Methyl-3-ethylbenzene (3-Ethyltoluene)</v>
      </c>
      <c r="G123" s="246">
        <f t="shared" ca="1" si="12"/>
        <v>120.19158</v>
      </c>
      <c r="H123" s="204">
        <f ca="1">IF(G123="","",IF(VLOOKUP(Well_Head!F123,'Species Data'!D:F,3,FALSE)=0,"X",IF(G123&lt;44.1,2,1)))</f>
        <v>1</v>
      </c>
      <c r="I123" s="204">
        <f t="shared" ca="1" si="13"/>
        <v>0.1338446080322987</v>
      </c>
      <c r="J123" s="247">
        <f ca="1">IF(I123="","",IF(COUNTIF($D$12:D123,D123)=1,IF(H123=1,I123*H123,IF(H123="X","X",0)),0))</f>
        <v>0</v>
      </c>
      <c r="K123" s="248">
        <f t="shared" ca="1" si="14"/>
        <v>0</v>
      </c>
      <c r="L123" s="238" t="s">
        <v>626</v>
      </c>
      <c r="M123" s="212" t="s">
        <v>448</v>
      </c>
      <c r="N123" s="212" t="s">
        <v>470</v>
      </c>
      <c r="O123" s="213">
        <v>41419</v>
      </c>
      <c r="P123" s="212" t="s">
        <v>531</v>
      </c>
      <c r="Q123" s="214">
        <v>100</v>
      </c>
      <c r="R123" s="212" t="s">
        <v>445</v>
      </c>
      <c r="S123" s="212" t="s">
        <v>532</v>
      </c>
      <c r="T123" s="212" t="s">
        <v>445</v>
      </c>
      <c r="U123" s="212" t="s">
        <v>446</v>
      </c>
      <c r="V123" s="214" t="b">
        <v>1</v>
      </c>
      <c r="W123" s="214">
        <v>1989</v>
      </c>
      <c r="X123" s="214">
        <v>5</v>
      </c>
      <c r="Y123" s="214">
        <v>2</v>
      </c>
      <c r="Z123" s="214">
        <v>4</v>
      </c>
      <c r="AA123" s="212" t="s">
        <v>447</v>
      </c>
      <c r="AB123" s="212" t="s">
        <v>531</v>
      </c>
      <c r="AC123" s="212" t="s">
        <v>533</v>
      </c>
      <c r="AD123" s="214">
        <v>5.4219059999999999</v>
      </c>
      <c r="AE123" s="214">
        <v>194</v>
      </c>
      <c r="AF123" s="214">
        <v>0.63990000000000002</v>
      </c>
      <c r="AG123" s="214">
        <v>-99</v>
      </c>
      <c r="AH123" s="212" t="s">
        <v>224</v>
      </c>
      <c r="AI123" s="212" t="s">
        <v>449</v>
      </c>
      <c r="AJ123" s="212" t="s">
        <v>316</v>
      </c>
      <c r="AK123" s="212" t="s">
        <v>531</v>
      </c>
      <c r="AL123" s="212" t="s">
        <v>388</v>
      </c>
      <c r="AM123" s="214" t="b">
        <v>1</v>
      </c>
      <c r="AN123" s="214" t="b">
        <v>0</v>
      </c>
      <c r="AO123" s="212" t="s">
        <v>317</v>
      </c>
      <c r="AP123" s="212" t="s">
        <v>318</v>
      </c>
      <c r="AQ123" s="214">
        <v>100.20194000000001</v>
      </c>
      <c r="AR123" s="214" t="b">
        <v>0</v>
      </c>
      <c r="AS123" s="212" t="s">
        <v>534</v>
      </c>
      <c r="AU123" s="222" t="s">
        <v>819</v>
      </c>
    </row>
    <row r="124" spans="1:47" s="219" customFormat="1" x14ac:dyDescent="0.25">
      <c r="A124" s="245">
        <f t="shared" si="16"/>
        <v>219</v>
      </c>
      <c r="B124" s="246" t="str">
        <f t="shared" si="8"/>
        <v>Oil Field - Well</v>
      </c>
      <c r="C124" s="246" t="str">
        <f ca="1">IF(B124="","",VLOOKUP(D124,'Species Data'!B:E,4,FALSE))</f>
        <v>dimetbut22</v>
      </c>
      <c r="D124" s="246">
        <f t="shared" ca="1" si="9"/>
        <v>122</v>
      </c>
      <c r="E124" s="246">
        <f t="shared" ca="1" si="10"/>
        <v>0.9194</v>
      </c>
      <c r="F124" s="246" t="str">
        <f t="shared" ca="1" si="11"/>
        <v>2,2-dimethylbutane</v>
      </c>
      <c r="G124" s="246">
        <f t="shared" ca="1" si="12"/>
        <v>86.175359999999998</v>
      </c>
      <c r="H124" s="204">
        <f ca="1">IF(G124="","",IF(VLOOKUP(Well_Head!F124,'Species Data'!D:F,3,FALSE)=0,"X",IF(G124&lt;44.1,2,1)))</f>
        <v>1</v>
      </c>
      <c r="I124" s="204">
        <f t="shared" ca="1" si="13"/>
        <v>0.21534470764353159</v>
      </c>
      <c r="J124" s="247">
        <f ca="1">IF(I124="","",IF(COUNTIF($D$12:D124,D124)=1,IF(H124=1,I124*H124,IF(H124="X","X",0)),0))</f>
        <v>0</v>
      </c>
      <c r="K124" s="248">
        <f t="shared" ca="1" si="14"/>
        <v>0</v>
      </c>
      <c r="L124" s="238" t="s">
        <v>626</v>
      </c>
      <c r="M124" s="212" t="s">
        <v>448</v>
      </c>
      <c r="N124" s="212" t="s">
        <v>470</v>
      </c>
      <c r="O124" s="213">
        <v>41419</v>
      </c>
      <c r="P124" s="212" t="s">
        <v>531</v>
      </c>
      <c r="Q124" s="214">
        <v>100</v>
      </c>
      <c r="R124" s="212" t="s">
        <v>445</v>
      </c>
      <c r="S124" s="212" t="s">
        <v>532</v>
      </c>
      <c r="T124" s="212" t="s">
        <v>445</v>
      </c>
      <c r="U124" s="212" t="s">
        <v>446</v>
      </c>
      <c r="V124" s="214" t="b">
        <v>1</v>
      </c>
      <c r="W124" s="214">
        <v>1989</v>
      </c>
      <c r="X124" s="214">
        <v>5</v>
      </c>
      <c r="Y124" s="214">
        <v>2</v>
      </c>
      <c r="Z124" s="214">
        <v>4</v>
      </c>
      <c r="AA124" s="212" t="s">
        <v>447</v>
      </c>
      <c r="AB124" s="212" t="s">
        <v>531</v>
      </c>
      <c r="AC124" s="212" t="s">
        <v>533</v>
      </c>
      <c r="AD124" s="214">
        <v>5.4219059999999999</v>
      </c>
      <c r="AE124" s="214">
        <v>199</v>
      </c>
      <c r="AF124" s="214">
        <v>2.0299999999999999E-2</v>
      </c>
      <c r="AG124" s="214">
        <v>-99</v>
      </c>
      <c r="AH124" s="212" t="s">
        <v>224</v>
      </c>
      <c r="AI124" s="212" t="s">
        <v>449</v>
      </c>
      <c r="AJ124" s="212" t="s">
        <v>319</v>
      </c>
      <c r="AK124" s="212" t="s">
        <v>531</v>
      </c>
      <c r="AL124" s="212" t="s">
        <v>389</v>
      </c>
      <c r="AM124" s="214" t="b">
        <v>1</v>
      </c>
      <c r="AN124" s="214" t="b">
        <v>0</v>
      </c>
      <c r="AO124" s="212" t="s">
        <v>320</v>
      </c>
      <c r="AP124" s="212" t="s">
        <v>321</v>
      </c>
      <c r="AQ124" s="214">
        <v>86.175359999999998</v>
      </c>
      <c r="AR124" s="214" t="b">
        <v>0</v>
      </c>
      <c r="AS124" s="212" t="s">
        <v>534</v>
      </c>
      <c r="AU124" s="222" t="s">
        <v>819</v>
      </c>
    </row>
    <row r="125" spans="1:47" s="219" customFormat="1" x14ac:dyDescent="0.25">
      <c r="A125" s="245">
        <f t="shared" si="16"/>
        <v>220</v>
      </c>
      <c r="B125" s="246" t="str">
        <f t="shared" si="8"/>
        <v>Oil Field - Well</v>
      </c>
      <c r="C125" s="246" t="str">
        <f ca="1">IF(B125="","",VLOOKUP(D125,'Species Data'!B:E,4,FALSE))</f>
        <v>dimethpro</v>
      </c>
      <c r="D125" s="246">
        <f t="shared" ca="1" si="9"/>
        <v>127</v>
      </c>
      <c r="E125" s="246">
        <f t="shared" ca="1" si="10"/>
        <v>0.38969999999999999</v>
      </c>
      <c r="F125" s="246" t="str">
        <f t="shared" ca="1" si="11"/>
        <v>2,2-dimethylpropane</v>
      </c>
      <c r="G125" s="246">
        <f t="shared" ca="1" si="12"/>
        <v>72.148780000000002</v>
      </c>
      <c r="H125" s="204">
        <f ca="1">IF(G125="","",IF(VLOOKUP(Well_Head!F125,'Species Data'!D:F,3,FALSE)=0,"X",IF(G125&lt;44.1,2,1)))</f>
        <v>1</v>
      </c>
      <c r="I125" s="204">
        <f t="shared" ca="1" si="13"/>
        <v>0.12532237539401436</v>
      </c>
      <c r="J125" s="247">
        <f ca="1">IF(I125="","",IF(COUNTIF($D$12:D125,D125)=1,IF(H125=1,I125*H125,IF(H125="X","X",0)),0))</f>
        <v>0</v>
      </c>
      <c r="K125" s="248">
        <f t="shared" ca="1" si="14"/>
        <v>0</v>
      </c>
      <c r="L125" s="238" t="s">
        <v>626</v>
      </c>
      <c r="M125" s="212" t="s">
        <v>448</v>
      </c>
      <c r="N125" s="212" t="s">
        <v>470</v>
      </c>
      <c r="O125" s="213">
        <v>41419</v>
      </c>
      <c r="P125" s="212" t="s">
        <v>531</v>
      </c>
      <c r="Q125" s="214">
        <v>100</v>
      </c>
      <c r="R125" s="212" t="s">
        <v>445</v>
      </c>
      <c r="S125" s="212" t="s">
        <v>532</v>
      </c>
      <c r="T125" s="212" t="s">
        <v>445</v>
      </c>
      <c r="U125" s="212" t="s">
        <v>446</v>
      </c>
      <c r="V125" s="214" t="b">
        <v>1</v>
      </c>
      <c r="W125" s="214">
        <v>1989</v>
      </c>
      <c r="X125" s="214">
        <v>5</v>
      </c>
      <c r="Y125" s="214">
        <v>2</v>
      </c>
      <c r="Z125" s="214">
        <v>4</v>
      </c>
      <c r="AA125" s="212" t="s">
        <v>447</v>
      </c>
      <c r="AB125" s="212" t="s">
        <v>531</v>
      </c>
      <c r="AC125" s="212" t="s">
        <v>533</v>
      </c>
      <c r="AD125" s="214">
        <v>5.4219059999999999</v>
      </c>
      <c r="AE125" s="214">
        <v>226</v>
      </c>
      <c r="AF125" s="214">
        <v>0.1108</v>
      </c>
      <c r="AG125" s="214">
        <v>-99</v>
      </c>
      <c r="AH125" s="212" t="s">
        <v>224</v>
      </c>
      <c r="AI125" s="212" t="s">
        <v>449</v>
      </c>
      <c r="AJ125" s="212" t="s">
        <v>439</v>
      </c>
      <c r="AK125" s="212" t="s">
        <v>531</v>
      </c>
      <c r="AL125" s="212" t="s">
        <v>461</v>
      </c>
      <c r="AM125" s="214" t="b">
        <v>0</v>
      </c>
      <c r="AN125" s="214" t="b">
        <v>0</v>
      </c>
      <c r="AO125" s="212" t="s">
        <v>440</v>
      </c>
      <c r="AP125" s="212" t="s">
        <v>531</v>
      </c>
      <c r="AQ125" s="214">
        <v>114.22852</v>
      </c>
      <c r="AR125" s="214" t="b">
        <v>0</v>
      </c>
      <c r="AS125" s="212" t="s">
        <v>534</v>
      </c>
      <c r="AU125" s="222" t="s">
        <v>819</v>
      </c>
    </row>
    <row r="126" spans="1:47" s="219" customFormat="1" x14ac:dyDescent="0.25">
      <c r="A126" s="245">
        <f t="shared" si="16"/>
        <v>221</v>
      </c>
      <c r="B126" s="246" t="str">
        <f t="shared" si="8"/>
        <v>Oil Field - Well</v>
      </c>
      <c r="C126" s="246" t="str">
        <f ca="1">IF(B126="","",VLOOKUP(D126,'Species Data'!B:E,4,FALSE))</f>
        <v>trimentpen3</v>
      </c>
      <c r="D126" s="246">
        <f t="shared" ca="1" si="9"/>
        <v>130</v>
      </c>
      <c r="E126" s="246">
        <f t="shared" ca="1" si="10"/>
        <v>0.66310000000000002</v>
      </c>
      <c r="F126" s="246" t="str">
        <f t="shared" ca="1" si="11"/>
        <v>2,3,4-trimethylpentane</v>
      </c>
      <c r="G126" s="246">
        <f t="shared" ca="1" si="12"/>
        <v>114.22852</v>
      </c>
      <c r="H126" s="204">
        <f ca="1">IF(G126="","",IF(VLOOKUP(Well_Head!F126,'Species Data'!D:F,3,FALSE)=0,"X",IF(G126&lt;44.1,2,1)))</f>
        <v>1</v>
      </c>
      <c r="I126" s="204">
        <f t="shared" ca="1" si="13"/>
        <v>0.18992245434966645</v>
      </c>
      <c r="J126" s="247">
        <f ca="1">IF(I126="","",IF(COUNTIF($D$12:D126,D126)=1,IF(H126=1,I126*H126,IF(H126="X","X",0)),0))</f>
        <v>0</v>
      </c>
      <c r="K126" s="248">
        <f t="shared" ca="1" si="14"/>
        <v>0</v>
      </c>
      <c r="L126" s="238" t="s">
        <v>626</v>
      </c>
      <c r="M126" s="212" t="s">
        <v>448</v>
      </c>
      <c r="N126" s="212" t="s">
        <v>470</v>
      </c>
      <c r="O126" s="213">
        <v>41419</v>
      </c>
      <c r="P126" s="212" t="s">
        <v>531</v>
      </c>
      <c r="Q126" s="214">
        <v>100</v>
      </c>
      <c r="R126" s="212" t="s">
        <v>445</v>
      </c>
      <c r="S126" s="212" t="s">
        <v>532</v>
      </c>
      <c r="T126" s="212" t="s">
        <v>445</v>
      </c>
      <c r="U126" s="212" t="s">
        <v>446</v>
      </c>
      <c r="V126" s="214" t="b">
        <v>1</v>
      </c>
      <c r="W126" s="214">
        <v>1989</v>
      </c>
      <c r="X126" s="214">
        <v>5</v>
      </c>
      <c r="Y126" s="214">
        <v>2</v>
      </c>
      <c r="Z126" s="214">
        <v>4</v>
      </c>
      <c r="AA126" s="212" t="s">
        <v>447</v>
      </c>
      <c r="AB126" s="212" t="s">
        <v>531</v>
      </c>
      <c r="AC126" s="212" t="s">
        <v>533</v>
      </c>
      <c r="AD126" s="214">
        <v>5.4219059999999999</v>
      </c>
      <c r="AE126" s="214">
        <v>245</v>
      </c>
      <c r="AF126" s="214">
        <v>2.23E-2</v>
      </c>
      <c r="AG126" s="214">
        <v>-99</v>
      </c>
      <c r="AH126" s="212" t="s">
        <v>224</v>
      </c>
      <c r="AI126" s="212" t="s">
        <v>449</v>
      </c>
      <c r="AJ126" s="212" t="s">
        <v>325</v>
      </c>
      <c r="AK126" s="212" t="s">
        <v>531</v>
      </c>
      <c r="AL126" s="212" t="s">
        <v>390</v>
      </c>
      <c r="AM126" s="214" t="b">
        <v>1</v>
      </c>
      <c r="AN126" s="214" t="b">
        <v>0</v>
      </c>
      <c r="AO126" s="212" t="s">
        <v>326</v>
      </c>
      <c r="AP126" s="212" t="s">
        <v>327</v>
      </c>
      <c r="AQ126" s="214">
        <v>100.20194000000001</v>
      </c>
      <c r="AR126" s="214" t="b">
        <v>0</v>
      </c>
      <c r="AS126" s="212" t="s">
        <v>534</v>
      </c>
      <c r="AU126" s="222" t="s">
        <v>819</v>
      </c>
    </row>
    <row r="127" spans="1:47" s="219" customFormat="1" x14ac:dyDescent="0.25">
      <c r="A127" s="245">
        <f t="shared" si="16"/>
        <v>222</v>
      </c>
      <c r="B127" s="246" t="str">
        <f t="shared" si="8"/>
        <v>Oil Field - Well</v>
      </c>
      <c r="C127" s="246" t="str">
        <f ca="1">IF(B127="","",VLOOKUP(D127,'Species Data'!B:E,4,FALSE))</f>
        <v>dimetbut</v>
      </c>
      <c r="D127" s="246">
        <f t="shared" ca="1" si="9"/>
        <v>136</v>
      </c>
      <c r="E127" s="246">
        <f t="shared" ca="1" si="10"/>
        <v>2.9941</v>
      </c>
      <c r="F127" s="246" t="str">
        <f t="shared" ca="1" si="11"/>
        <v>2,3-dimethylbutane</v>
      </c>
      <c r="G127" s="246">
        <f t="shared" ca="1" si="12"/>
        <v>86.175359999999998</v>
      </c>
      <c r="H127" s="204">
        <f ca="1">IF(G127="","",IF(VLOOKUP(Well_Head!F127,'Species Data'!D:F,3,FALSE)=0,"X",IF(G127&lt;44.1,2,1)))</f>
        <v>1</v>
      </c>
      <c r="I127" s="204">
        <f t="shared" ca="1" si="13"/>
        <v>0.77192316568386921</v>
      </c>
      <c r="J127" s="247">
        <f ca="1">IF(I127="","",IF(COUNTIF($D$12:D127,D127)=1,IF(H127=1,I127*H127,IF(H127="X","X",0)),0))</f>
        <v>0</v>
      </c>
      <c r="K127" s="248">
        <f t="shared" ca="1" si="14"/>
        <v>0</v>
      </c>
      <c r="L127" s="238" t="s">
        <v>626</v>
      </c>
      <c r="M127" s="212" t="s">
        <v>448</v>
      </c>
      <c r="N127" s="212" t="s">
        <v>470</v>
      </c>
      <c r="O127" s="213">
        <v>41419</v>
      </c>
      <c r="P127" s="212" t="s">
        <v>531</v>
      </c>
      <c r="Q127" s="214">
        <v>100</v>
      </c>
      <c r="R127" s="212" t="s">
        <v>445</v>
      </c>
      <c r="S127" s="212" t="s">
        <v>532</v>
      </c>
      <c r="T127" s="212" t="s">
        <v>445</v>
      </c>
      <c r="U127" s="212" t="s">
        <v>446</v>
      </c>
      <c r="V127" s="214" t="b">
        <v>1</v>
      </c>
      <c r="W127" s="214">
        <v>1989</v>
      </c>
      <c r="X127" s="214">
        <v>5</v>
      </c>
      <c r="Y127" s="214">
        <v>2</v>
      </c>
      <c r="Z127" s="214">
        <v>4</v>
      </c>
      <c r="AA127" s="212" t="s">
        <v>447</v>
      </c>
      <c r="AB127" s="212" t="s">
        <v>531</v>
      </c>
      <c r="AC127" s="212" t="s">
        <v>533</v>
      </c>
      <c r="AD127" s="214">
        <v>5.4219059999999999</v>
      </c>
      <c r="AE127" s="214">
        <v>248</v>
      </c>
      <c r="AF127" s="214">
        <v>7.3700000000000002E-2</v>
      </c>
      <c r="AG127" s="214">
        <v>-99</v>
      </c>
      <c r="AH127" s="212" t="s">
        <v>224</v>
      </c>
      <c r="AI127" s="212" t="s">
        <v>449</v>
      </c>
      <c r="AJ127" s="212" t="s">
        <v>328</v>
      </c>
      <c r="AK127" s="212" t="s">
        <v>531</v>
      </c>
      <c r="AL127" s="212" t="s">
        <v>391</v>
      </c>
      <c r="AM127" s="214" t="b">
        <v>1</v>
      </c>
      <c r="AN127" s="214" t="b">
        <v>0</v>
      </c>
      <c r="AO127" s="212" t="s">
        <v>329</v>
      </c>
      <c r="AP127" s="212" t="s">
        <v>330</v>
      </c>
      <c r="AQ127" s="214">
        <v>86.175359999999998</v>
      </c>
      <c r="AR127" s="214" t="b">
        <v>0</v>
      </c>
      <c r="AS127" s="212" t="s">
        <v>534</v>
      </c>
      <c r="AU127" s="222" t="s">
        <v>819</v>
      </c>
    </row>
    <row r="128" spans="1:47" s="219" customFormat="1" x14ac:dyDescent="0.25">
      <c r="A128" s="245">
        <f t="shared" si="16"/>
        <v>223</v>
      </c>
      <c r="B128" s="246" t="str">
        <f t="shared" si="8"/>
        <v>Oil Field - Well</v>
      </c>
      <c r="C128" s="246" t="str">
        <f ca="1">IF(B128="","",VLOOKUP(D128,'Species Data'!B:E,4,FALSE))</f>
        <v>dimethhex23</v>
      </c>
      <c r="D128" s="246">
        <f t="shared" ca="1" si="9"/>
        <v>138</v>
      </c>
      <c r="E128" s="246">
        <f t="shared" ca="1" si="10"/>
        <v>0.18820000000000001</v>
      </c>
      <c r="F128" s="246" t="str">
        <f t="shared" ca="1" si="11"/>
        <v>2,3-dimethylhexane</v>
      </c>
      <c r="G128" s="246">
        <f t="shared" ca="1" si="12"/>
        <v>114.22852</v>
      </c>
      <c r="H128" s="204">
        <f ca="1">IF(G128="","",IF(VLOOKUP(Well_Head!F128,'Species Data'!D:F,3,FALSE)=0,"X",IF(G128&lt;44.1,2,1)))</f>
        <v>1</v>
      </c>
      <c r="I128" s="204">
        <f t="shared" ca="1" si="13"/>
        <v>5.9266739103792238E-2</v>
      </c>
      <c r="J128" s="247">
        <f ca="1">IF(I128="","",IF(COUNTIF($D$12:D128,D128)=1,IF(H128=1,I128*H128,IF(H128="X","X",0)),0))</f>
        <v>0</v>
      </c>
      <c r="K128" s="248">
        <f t="shared" ca="1" si="14"/>
        <v>0</v>
      </c>
      <c r="L128" s="238" t="s">
        <v>626</v>
      </c>
      <c r="M128" s="212" t="s">
        <v>448</v>
      </c>
      <c r="N128" s="212" t="s">
        <v>470</v>
      </c>
      <c r="O128" s="213">
        <v>41419</v>
      </c>
      <c r="P128" s="212" t="s">
        <v>531</v>
      </c>
      <c r="Q128" s="214">
        <v>100</v>
      </c>
      <c r="R128" s="212" t="s">
        <v>445</v>
      </c>
      <c r="S128" s="212" t="s">
        <v>532</v>
      </c>
      <c r="T128" s="212" t="s">
        <v>445</v>
      </c>
      <c r="U128" s="212" t="s">
        <v>446</v>
      </c>
      <c r="V128" s="214" t="b">
        <v>1</v>
      </c>
      <c r="W128" s="214">
        <v>1989</v>
      </c>
      <c r="X128" s="214">
        <v>5</v>
      </c>
      <c r="Y128" s="214">
        <v>2</v>
      </c>
      <c r="Z128" s="214">
        <v>4</v>
      </c>
      <c r="AA128" s="212" t="s">
        <v>447</v>
      </c>
      <c r="AB128" s="212" t="s">
        <v>531</v>
      </c>
      <c r="AC128" s="212" t="s">
        <v>533</v>
      </c>
      <c r="AD128" s="214">
        <v>5.4219059999999999</v>
      </c>
      <c r="AE128" s="214">
        <v>302</v>
      </c>
      <c r="AF128" s="214">
        <v>1.37E-2</v>
      </c>
      <c r="AG128" s="214">
        <v>-99</v>
      </c>
      <c r="AH128" s="212" t="s">
        <v>224</v>
      </c>
      <c r="AI128" s="212" t="s">
        <v>449</v>
      </c>
      <c r="AJ128" s="212" t="s">
        <v>262</v>
      </c>
      <c r="AK128" s="212" t="s">
        <v>531</v>
      </c>
      <c r="AL128" s="212" t="s">
        <v>373</v>
      </c>
      <c r="AM128" s="214" t="b">
        <v>1</v>
      </c>
      <c r="AN128" s="214" t="b">
        <v>1</v>
      </c>
      <c r="AO128" s="212" t="s">
        <v>263</v>
      </c>
      <c r="AP128" s="212" t="s">
        <v>264</v>
      </c>
      <c r="AQ128" s="214">
        <v>78.111840000000001</v>
      </c>
      <c r="AR128" s="214" t="b">
        <v>0</v>
      </c>
      <c r="AS128" s="212" t="s">
        <v>534</v>
      </c>
      <c r="AU128" s="222" t="s">
        <v>819</v>
      </c>
    </row>
    <row r="129" spans="1:47" s="219" customFormat="1" x14ac:dyDescent="0.25">
      <c r="A129" s="245">
        <f t="shared" si="16"/>
        <v>224</v>
      </c>
      <c r="B129" s="246" t="str">
        <f t="shared" si="8"/>
        <v>Oil Field - Well</v>
      </c>
      <c r="C129" s="246" t="str">
        <f ca="1">IF(B129="","",VLOOKUP(D129,'Species Data'!B:E,4,FALSE))</f>
        <v>dimetpen3</v>
      </c>
      <c r="D129" s="246">
        <f t="shared" ca="1" si="9"/>
        <v>140</v>
      </c>
      <c r="E129" s="246">
        <f t="shared" ca="1" si="10"/>
        <v>2.0899000000000001</v>
      </c>
      <c r="F129" s="246" t="str">
        <f t="shared" ca="1" si="11"/>
        <v>2,3-dimethylpentane</v>
      </c>
      <c r="G129" s="246">
        <f t="shared" ca="1" si="12"/>
        <v>100.20194000000001</v>
      </c>
      <c r="H129" s="204">
        <f ca="1">IF(G129="","",IF(VLOOKUP(Well_Head!F129,'Species Data'!D:F,3,FALSE)=0,"X",IF(G129&lt;44.1,2,1)))</f>
        <v>1</v>
      </c>
      <c r="I129" s="204">
        <f t="shared" ca="1" si="13"/>
        <v>0.38365602446847435</v>
      </c>
      <c r="J129" s="247">
        <f ca="1">IF(I129="","",IF(COUNTIF($D$12:D129,D129)=1,IF(H129=1,I129*H129,IF(H129="X","X",0)),0))</f>
        <v>0.38365602446847435</v>
      </c>
      <c r="K129" s="248">
        <f t="shared" ca="1" si="14"/>
        <v>0.80604064775517126</v>
      </c>
      <c r="L129" s="238" t="s">
        <v>626</v>
      </c>
      <c r="M129" s="212" t="s">
        <v>448</v>
      </c>
      <c r="N129" s="212" t="s">
        <v>470</v>
      </c>
      <c r="O129" s="213">
        <v>41419</v>
      </c>
      <c r="P129" s="212" t="s">
        <v>531</v>
      </c>
      <c r="Q129" s="214">
        <v>100</v>
      </c>
      <c r="R129" s="212" t="s">
        <v>445</v>
      </c>
      <c r="S129" s="212" t="s">
        <v>532</v>
      </c>
      <c r="T129" s="212" t="s">
        <v>445</v>
      </c>
      <c r="U129" s="212" t="s">
        <v>446</v>
      </c>
      <c r="V129" s="214" t="b">
        <v>1</v>
      </c>
      <c r="W129" s="214">
        <v>1989</v>
      </c>
      <c r="X129" s="214">
        <v>5</v>
      </c>
      <c r="Y129" s="214">
        <v>2</v>
      </c>
      <c r="Z129" s="214">
        <v>4</v>
      </c>
      <c r="AA129" s="212" t="s">
        <v>447</v>
      </c>
      <c r="AB129" s="212" t="s">
        <v>531</v>
      </c>
      <c r="AC129" s="212" t="s">
        <v>533</v>
      </c>
      <c r="AD129" s="214">
        <v>5.4219059999999999</v>
      </c>
      <c r="AE129" s="214">
        <v>385</v>
      </c>
      <c r="AF129" s="214">
        <v>0.13220000000000001</v>
      </c>
      <c r="AG129" s="214">
        <v>-99</v>
      </c>
      <c r="AH129" s="212" t="s">
        <v>224</v>
      </c>
      <c r="AI129" s="212" t="s">
        <v>449</v>
      </c>
      <c r="AJ129" s="212" t="s">
        <v>331</v>
      </c>
      <c r="AK129" s="212" t="s">
        <v>531</v>
      </c>
      <c r="AL129" s="212" t="s">
        <v>392</v>
      </c>
      <c r="AM129" s="214" t="b">
        <v>1</v>
      </c>
      <c r="AN129" s="214" t="b">
        <v>0</v>
      </c>
      <c r="AO129" s="212" t="s">
        <v>332</v>
      </c>
      <c r="AP129" s="212" t="s">
        <v>333</v>
      </c>
      <c r="AQ129" s="214">
        <v>84.159480000000002</v>
      </c>
      <c r="AR129" s="214" t="b">
        <v>0</v>
      </c>
      <c r="AS129" s="212" t="s">
        <v>534</v>
      </c>
      <c r="AU129" s="222" t="s">
        <v>819</v>
      </c>
    </row>
    <row r="130" spans="1:47" s="219" customFormat="1" ht="15" customHeight="1" x14ac:dyDescent="0.25">
      <c r="A130" s="245">
        <f t="shared" si="16"/>
        <v>225</v>
      </c>
      <c r="B130" s="246" t="str">
        <f t="shared" si="8"/>
        <v>Oil Field - Well</v>
      </c>
      <c r="C130" s="246" t="str">
        <f ca="1">IF(B130="","",VLOOKUP(D130,'Species Data'!B:E,4,FALSE))</f>
        <v>dimethhex24</v>
      </c>
      <c r="D130" s="246">
        <f t="shared" ca="1" si="9"/>
        <v>149</v>
      </c>
      <c r="E130" s="246">
        <f t="shared" ca="1" si="10"/>
        <v>0.66069999999999995</v>
      </c>
      <c r="F130" s="246" t="str">
        <f t="shared" ca="1" si="11"/>
        <v>2,4-dimethylhexane</v>
      </c>
      <c r="G130" s="246">
        <f t="shared" ca="1" si="12"/>
        <v>114.22852</v>
      </c>
      <c r="H130" s="204">
        <f ca="1">IF(G130="","",IF(VLOOKUP(Well_Head!F130,'Species Data'!D:F,3,FALSE)=0,"X",IF(G130&lt;44.1,2,1)))</f>
        <v>1</v>
      </c>
      <c r="I130" s="204">
        <f t="shared" ca="1" si="13"/>
        <v>0.16547798002864228</v>
      </c>
      <c r="J130" s="247">
        <f ca="1">IF(I130="","",IF(COUNTIF($D$12:D130,D130)=1,IF(H130=1,I130*H130,IF(H130="X","X",0)),0))</f>
        <v>0</v>
      </c>
      <c r="K130" s="248">
        <f t="shared" ca="1" si="14"/>
        <v>0</v>
      </c>
      <c r="L130" s="238" t="s">
        <v>626</v>
      </c>
      <c r="M130" s="212" t="s">
        <v>448</v>
      </c>
      <c r="N130" s="212" t="s">
        <v>470</v>
      </c>
      <c r="O130" s="213">
        <v>41419</v>
      </c>
      <c r="P130" s="212" t="s">
        <v>531</v>
      </c>
      <c r="Q130" s="214">
        <v>100</v>
      </c>
      <c r="R130" s="212" t="s">
        <v>445</v>
      </c>
      <c r="S130" s="212" t="s">
        <v>532</v>
      </c>
      <c r="T130" s="212" t="s">
        <v>445</v>
      </c>
      <c r="U130" s="212" t="s">
        <v>446</v>
      </c>
      <c r="V130" s="214" t="b">
        <v>1</v>
      </c>
      <c r="W130" s="214">
        <v>1989</v>
      </c>
      <c r="X130" s="214">
        <v>5</v>
      </c>
      <c r="Y130" s="214">
        <v>2</v>
      </c>
      <c r="Z130" s="214">
        <v>4</v>
      </c>
      <c r="AA130" s="212" t="s">
        <v>447</v>
      </c>
      <c r="AB130" s="212" t="s">
        <v>531</v>
      </c>
      <c r="AC130" s="212" t="s">
        <v>533</v>
      </c>
      <c r="AD130" s="214">
        <v>5.4219059999999999</v>
      </c>
      <c r="AE130" s="214">
        <v>438</v>
      </c>
      <c r="AF130" s="214">
        <v>0.1565</v>
      </c>
      <c r="AG130" s="214">
        <v>-99</v>
      </c>
      <c r="AH130" s="212" t="s">
        <v>224</v>
      </c>
      <c r="AI130" s="212" t="s">
        <v>449</v>
      </c>
      <c r="AJ130" s="212" t="s">
        <v>265</v>
      </c>
      <c r="AK130" s="212" t="s">
        <v>531</v>
      </c>
      <c r="AL130" s="212" t="s">
        <v>374</v>
      </c>
      <c r="AM130" s="214" t="b">
        <v>1</v>
      </c>
      <c r="AN130" s="214" t="b">
        <v>0</v>
      </c>
      <c r="AO130" s="212" t="s">
        <v>266</v>
      </c>
      <c r="AP130" s="212" t="s">
        <v>267</v>
      </c>
      <c r="AQ130" s="214">
        <v>30.069040000000005</v>
      </c>
      <c r="AR130" s="214" t="b">
        <v>1</v>
      </c>
      <c r="AS130" s="212" t="s">
        <v>534</v>
      </c>
      <c r="AU130" s="222" t="s">
        <v>819</v>
      </c>
    </row>
    <row r="131" spans="1:47" s="219" customFormat="1" x14ac:dyDescent="0.25">
      <c r="A131" s="245">
        <f t="shared" si="16"/>
        <v>226</v>
      </c>
      <c r="B131" s="246" t="str">
        <f t="shared" si="8"/>
        <v>Oil Field - Well</v>
      </c>
      <c r="C131" s="246" t="str">
        <f ca="1">IF(B131="","",VLOOKUP(D131,'Species Data'!B:E,4,FALSE))</f>
        <v>dimetpen4</v>
      </c>
      <c r="D131" s="246">
        <f t="shared" ca="1" si="9"/>
        <v>152</v>
      </c>
      <c r="E131" s="246">
        <f t="shared" ca="1" si="10"/>
        <v>0.60599999999999998</v>
      </c>
      <c r="F131" s="246" t="str">
        <f t="shared" ca="1" si="11"/>
        <v>2,4-dimethylpentane</v>
      </c>
      <c r="G131" s="246">
        <f t="shared" ca="1" si="12"/>
        <v>100.20194000000001</v>
      </c>
      <c r="H131" s="204">
        <f ca="1">IF(G131="","",IF(VLOOKUP(Well_Head!F131,'Species Data'!D:F,3,FALSE)=0,"X",IF(G131&lt;44.1,2,1)))</f>
        <v>1</v>
      </c>
      <c r="I131" s="204">
        <f t="shared" ca="1" si="13"/>
        <v>0.15698908076443205</v>
      </c>
      <c r="J131" s="247">
        <f ca="1">IF(I131="","",IF(COUNTIF($D$12:D131,D131)=1,IF(H131=1,I131*H131,IF(H131="X","X",0)),0))</f>
        <v>0</v>
      </c>
      <c r="K131" s="248">
        <f t="shared" ca="1" si="14"/>
        <v>0</v>
      </c>
      <c r="L131" s="238" t="s">
        <v>626</v>
      </c>
      <c r="M131" s="212" t="s">
        <v>448</v>
      </c>
      <c r="N131" s="212" t="s">
        <v>470</v>
      </c>
      <c r="O131" s="213">
        <v>41419</v>
      </c>
      <c r="P131" s="212" t="s">
        <v>531</v>
      </c>
      <c r="Q131" s="214">
        <v>100</v>
      </c>
      <c r="R131" s="212" t="s">
        <v>445</v>
      </c>
      <c r="S131" s="212" t="s">
        <v>532</v>
      </c>
      <c r="T131" s="212" t="s">
        <v>445</v>
      </c>
      <c r="U131" s="212" t="s">
        <v>446</v>
      </c>
      <c r="V131" s="214" t="b">
        <v>1</v>
      </c>
      <c r="W131" s="214">
        <v>1989</v>
      </c>
      <c r="X131" s="214">
        <v>5</v>
      </c>
      <c r="Y131" s="214">
        <v>2</v>
      </c>
      <c r="Z131" s="214">
        <v>4</v>
      </c>
      <c r="AA131" s="212" t="s">
        <v>447</v>
      </c>
      <c r="AB131" s="212" t="s">
        <v>531</v>
      </c>
      <c r="AC131" s="212" t="s">
        <v>533</v>
      </c>
      <c r="AD131" s="214">
        <v>5.4219059999999999</v>
      </c>
      <c r="AE131" s="214">
        <v>449</v>
      </c>
      <c r="AF131" s="214">
        <v>0.4798</v>
      </c>
      <c r="AG131" s="214">
        <v>-99</v>
      </c>
      <c r="AH131" s="212" t="s">
        <v>224</v>
      </c>
      <c r="AI131" s="212" t="s">
        <v>449</v>
      </c>
      <c r="AJ131" s="212" t="s">
        <v>337</v>
      </c>
      <c r="AK131" s="212" t="s">
        <v>531</v>
      </c>
      <c r="AL131" s="212" t="s">
        <v>394</v>
      </c>
      <c r="AM131" s="214" t="b">
        <v>1</v>
      </c>
      <c r="AN131" s="214" t="b">
        <v>1</v>
      </c>
      <c r="AO131" s="212" t="s">
        <v>338</v>
      </c>
      <c r="AP131" s="212" t="s">
        <v>339</v>
      </c>
      <c r="AQ131" s="214">
        <v>106.16500000000001</v>
      </c>
      <c r="AR131" s="214" t="b">
        <v>0</v>
      </c>
      <c r="AS131" s="212" t="s">
        <v>534</v>
      </c>
      <c r="AU131" s="222" t="s">
        <v>819</v>
      </c>
    </row>
    <row r="132" spans="1:47" s="219" customFormat="1" x14ac:dyDescent="0.25">
      <c r="A132" s="245">
        <f t="shared" si="16"/>
        <v>227</v>
      </c>
      <c r="B132" s="246" t="str">
        <f t="shared" si="8"/>
        <v>Oil Field - Well</v>
      </c>
      <c r="C132" s="246" t="str">
        <f ca="1">IF(B132="","",VLOOKUP(D132,'Species Data'!B:E,4,FALSE))</f>
        <v>methep2</v>
      </c>
      <c r="D132" s="246">
        <f t="shared" ca="1" si="9"/>
        <v>193</v>
      </c>
      <c r="E132" s="246">
        <f t="shared" ca="1" si="10"/>
        <v>5.9200000000000003E-2</v>
      </c>
      <c r="F132" s="246" t="str">
        <f t="shared" ca="1" si="11"/>
        <v>2-methylheptane</v>
      </c>
      <c r="G132" s="246">
        <f t="shared" ca="1" si="12"/>
        <v>114.22852</v>
      </c>
      <c r="H132" s="204">
        <f ca="1">IF(G132="","",IF(VLOOKUP(Well_Head!F132,'Species Data'!D:F,3,FALSE)=0,"X",IF(G132&lt;44.1,2,1)))</f>
        <v>1</v>
      </c>
      <c r="I132" s="204">
        <f t="shared" ca="1" si="13"/>
        <v>0.21534470764353159</v>
      </c>
      <c r="J132" s="247">
        <f ca="1">IF(I132="","",IF(COUNTIF($D$12:D132,D132)=1,IF(H132=1,I132*H132,IF(H132="X","X",0)),0))</f>
        <v>0</v>
      </c>
      <c r="K132" s="248">
        <f t="shared" ca="1" si="14"/>
        <v>0</v>
      </c>
      <c r="L132" s="238" t="s">
        <v>626</v>
      </c>
      <c r="M132" s="212" t="s">
        <v>448</v>
      </c>
      <c r="N132" s="212" t="s">
        <v>470</v>
      </c>
      <c r="O132" s="213">
        <v>41419</v>
      </c>
      <c r="P132" s="212" t="s">
        <v>531</v>
      </c>
      <c r="Q132" s="214">
        <v>100</v>
      </c>
      <c r="R132" s="212" t="s">
        <v>445</v>
      </c>
      <c r="S132" s="212" t="s">
        <v>532</v>
      </c>
      <c r="T132" s="212" t="s">
        <v>445</v>
      </c>
      <c r="U132" s="212" t="s">
        <v>446</v>
      </c>
      <c r="V132" s="214" t="b">
        <v>1</v>
      </c>
      <c r="W132" s="214">
        <v>1989</v>
      </c>
      <c r="X132" s="214">
        <v>5</v>
      </c>
      <c r="Y132" s="214">
        <v>2</v>
      </c>
      <c r="Z132" s="214">
        <v>4</v>
      </c>
      <c r="AA132" s="212" t="s">
        <v>447</v>
      </c>
      <c r="AB132" s="212" t="s">
        <v>531</v>
      </c>
      <c r="AC132" s="212" t="s">
        <v>533</v>
      </c>
      <c r="AD132" s="214">
        <v>5.4219059999999999</v>
      </c>
      <c r="AE132" s="214">
        <v>491</v>
      </c>
      <c r="AF132" s="214">
        <v>6.4699999999999994E-2</v>
      </c>
      <c r="AG132" s="214">
        <v>-99</v>
      </c>
      <c r="AH132" s="212" t="s">
        <v>224</v>
      </c>
      <c r="AI132" s="212" t="s">
        <v>449</v>
      </c>
      <c r="AJ132" s="212" t="s">
        <v>268</v>
      </c>
      <c r="AK132" s="212" t="s">
        <v>531</v>
      </c>
      <c r="AL132" s="212" t="s">
        <v>375</v>
      </c>
      <c r="AM132" s="214" t="b">
        <v>1</v>
      </c>
      <c r="AN132" s="214" t="b">
        <v>0</v>
      </c>
      <c r="AO132" s="212" t="s">
        <v>269</v>
      </c>
      <c r="AP132" s="212" t="s">
        <v>270</v>
      </c>
      <c r="AQ132" s="214">
        <v>58.122199999999992</v>
      </c>
      <c r="AR132" s="214" t="b">
        <v>0</v>
      </c>
      <c r="AS132" s="212" t="s">
        <v>534</v>
      </c>
      <c r="AU132" s="222" t="s">
        <v>819</v>
      </c>
    </row>
    <row r="133" spans="1:47" s="219" customFormat="1" x14ac:dyDescent="0.25">
      <c r="A133" s="245">
        <f t="shared" si="16"/>
        <v>228</v>
      </c>
      <c r="B133" s="246" t="str">
        <f t="shared" si="8"/>
        <v>Oil Field - Well</v>
      </c>
      <c r="C133" s="246" t="str">
        <f ca="1">IF(B133="","",VLOOKUP(D133,'Species Data'!B:E,4,FALSE))</f>
        <v>twomethex</v>
      </c>
      <c r="D133" s="246">
        <f t="shared" ca="1" si="9"/>
        <v>194</v>
      </c>
      <c r="E133" s="246">
        <f t="shared" ca="1" si="10"/>
        <v>2.81E-2</v>
      </c>
      <c r="F133" s="246" t="str">
        <f t="shared" ca="1" si="11"/>
        <v>2-methylhexane</v>
      </c>
      <c r="G133" s="246">
        <f t="shared" ca="1" si="12"/>
        <v>100.20194000000001</v>
      </c>
      <c r="H133" s="204">
        <f ca="1">IF(G133="","",IF(VLOOKUP(Well_Head!F133,'Species Data'!D:F,3,FALSE)=0,"X",IF(G133&lt;44.1,2,1)))</f>
        <v>1</v>
      </c>
      <c r="I133" s="204">
        <f t="shared" ca="1" si="13"/>
        <v>0.3337892968535851</v>
      </c>
      <c r="J133" s="247">
        <f ca="1">IF(I133="","",IF(COUNTIF($D$12:D133,D133)=1,IF(H133=1,I133*H133,IF(H133="X","X",0)),0))</f>
        <v>0</v>
      </c>
      <c r="K133" s="248">
        <f t="shared" ca="1" si="14"/>
        <v>0</v>
      </c>
      <c r="L133" s="238" t="s">
        <v>626</v>
      </c>
      <c r="M133" s="212" t="s">
        <v>448</v>
      </c>
      <c r="N133" s="212" t="s">
        <v>470</v>
      </c>
      <c r="O133" s="213">
        <v>41419</v>
      </c>
      <c r="P133" s="212" t="s">
        <v>531</v>
      </c>
      <c r="Q133" s="214">
        <v>100</v>
      </c>
      <c r="R133" s="212" t="s">
        <v>445</v>
      </c>
      <c r="S133" s="212" t="s">
        <v>532</v>
      </c>
      <c r="T133" s="212" t="s">
        <v>445</v>
      </c>
      <c r="U133" s="212" t="s">
        <v>446</v>
      </c>
      <c r="V133" s="214" t="b">
        <v>1</v>
      </c>
      <c r="W133" s="214">
        <v>1989</v>
      </c>
      <c r="X133" s="214">
        <v>5</v>
      </c>
      <c r="Y133" s="214">
        <v>2</v>
      </c>
      <c r="Z133" s="214">
        <v>4</v>
      </c>
      <c r="AA133" s="212" t="s">
        <v>447</v>
      </c>
      <c r="AB133" s="212" t="s">
        <v>531</v>
      </c>
      <c r="AC133" s="212" t="s">
        <v>533</v>
      </c>
      <c r="AD133" s="214">
        <v>5.4219059999999999</v>
      </c>
      <c r="AE133" s="214">
        <v>499</v>
      </c>
      <c r="AF133" s="214">
        <v>0.1154</v>
      </c>
      <c r="AG133" s="214">
        <v>-99</v>
      </c>
      <c r="AH133" s="212" t="s">
        <v>224</v>
      </c>
      <c r="AI133" s="212" t="s">
        <v>449</v>
      </c>
      <c r="AJ133" s="212" t="s">
        <v>531</v>
      </c>
      <c r="AK133" s="212" t="s">
        <v>642</v>
      </c>
      <c r="AL133" s="212" t="s">
        <v>643</v>
      </c>
      <c r="AM133" s="214" t="b">
        <v>0</v>
      </c>
      <c r="AN133" s="214" t="b">
        <v>0</v>
      </c>
      <c r="AO133" s="212" t="s">
        <v>644</v>
      </c>
      <c r="AP133" s="212" t="s">
        <v>531</v>
      </c>
      <c r="AQ133" s="214">
        <v>134.21816000000001</v>
      </c>
      <c r="AR133" s="214" t="b">
        <v>0</v>
      </c>
      <c r="AS133" s="212" t="s">
        <v>534</v>
      </c>
      <c r="AU133" s="222" t="s">
        <v>819</v>
      </c>
    </row>
    <row r="134" spans="1:47" s="219" customFormat="1" x14ac:dyDescent="0.25">
      <c r="A134" s="245">
        <f t="shared" si="16"/>
        <v>229</v>
      </c>
      <c r="B134" s="246" t="str">
        <f t="shared" si="8"/>
        <v>Oil Field - Well</v>
      </c>
      <c r="C134" s="246" t="str">
        <f ca="1">IF(B134="","",VLOOKUP(D134,'Species Data'!B:E,4,FALSE))</f>
        <v>twometpen</v>
      </c>
      <c r="D134" s="246">
        <f t="shared" ca="1" si="9"/>
        <v>199</v>
      </c>
      <c r="E134" s="246">
        <f t="shared" ca="1" si="10"/>
        <v>6.3700000000000007E-2</v>
      </c>
      <c r="F134" s="246" t="str">
        <f t="shared" ca="1" si="11"/>
        <v>2-methylpentane (isohexane)</v>
      </c>
      <c r="G134" s="246">
        <f t="shared" ca="1" si="12"/>
        <v>86.175359999999998</v>
      </c>
      <c r="H134" s="204">
        <f ca="1">IF(G134="","",IF(VLOOKUP(Well_Head!F134,'Species Data'!D:F,3,FALSE)=0,"X",IF(G134&lt;44.1,2,1)))</f>
        <v>1</v>
      </c>
      <c r="I134" s="204">
        <f t="shared" ca="1" si="13"/>
        <v>0.797867641838229</v>
      </c>
      <c r="J134" s="247">
        <f ca="1">IF(I134="","",IF(COUNTIF($D$12:D134,D134)=1,IF(H134=1,I134*H134,IF(H134="X","X",0)),0))</f>
        <v>0</v>
      </c>
      <c r="K134" s="248">
        <f t="shared" ca="1" si="14"/>
        <v>0</v>
      </c>
      <c r="L134" s="238" t="s">
        <v>626</v>
      </c>
      <c r="M134" s="212" t="s">
        <v>448</v>
      </c>
      <c r="N134" s="212" t="s">
        <v>470</v>
      </c>
      <c r="O134" s="213">
        <v>41419</v>
      </c>
      <c r="P134" s="212" t="s">
        <v>531</v>
      </c>
      <c r="Q134" s="214">
        <v>100</v>
      </c>
      <c r="R134" s="212" t="s">
        <v>445</v>
      </c>
      <c r="S134" s="212" t="s">
        <v>532</v>
      </c>
      <c r="T134" s="212" t="s">
        <v>445</v>
      </c>
      <c r="U134" s="212" t="s">
        <v>446</v>
      </c>
      <c r="V134" s="214" t="b">
        <v>1</v>
      </c>
      <c r="W134" s="214">
        <v>1989</v>
      </c>
      <c r="X134" s="214">
        <v>5</v>
      </c>
      <c r="Y134" s="214">
        <v>2</v>
      </c>
      <c r="Z134" s="214">
        <v>4</v>
      </c>
      <c r="AA134" s="212" t="s">
        <v>447</v>
      </c>
      <c r="AB134" s="212" t="s">
        <v>531</v>
      </c>
      <c r="AC134" s="212" t="s">
        <v>533</v>
      </c>
      <c r="AD134" s="214">
        <v>5.4219059999999999</v>
      </c>
      <c r="AE134" s="214">
        <v>508</v>
      </c>
      <c r="AF134" s="214">
        <v>0.18029999999999999</v>
      </c>
      <c r="AG134" s="214">
        <v>-99</v>
      </c>
      <c r="AH134" s="212" t="s">
        <v>224</v>
      </c>
      <c r="AI134" s="212" t="s">
        <v>449</v>
      </c>
      <c r="AJ134" s="212" t="s">
        <v>342</v>
      </c>
      <c r="AK134" s="212" t="s">
        <v>531</v>
      </c>
      <c r="AL134" s="212" t="s">
        <v>395</v>
      </c>
      <c r="AM134" s="214" t="b">
        <v>1</v>
      </c>
      <c r="AN134" s="214" t="b">
        <v>0</v>
      </c>
      <c r="AO134" s="212" t="s">
        <v>343</v>
      </c>
      <c r="AP134" s="212" t="s">
        <v>344</v>
      </c>
      <c r="AQ134" s="214">
        <v>72.148780000000002</v>
      </c>
      <c r="AR134" s="214" t="b">
        <v>0</v>
      </c>
      <c r="AS134" s="212" t="s">
        <v>534</v>
      </c>
      <c r="AU134" s="222" t="s">
        <v>819</v>
      </c>
    </row>
    <row r="135" spans="1:47" s="219" customFormat="1" x14ac:dyDescent="0.25">
      <c r="A135" s="245">
        <f t="shared" si="16"/>
        <v>230</v>
      </c>
      <c r="B135" s="246" t="str">
        <f t="shared" si="8"/>
        <v>Oil Field - Well</v>
      </c>
      <c r="C135" s="246" t="str">
        <f ca="1">IF(B135="","",VLOOKUP(D135,'Species Data'!B:E,4,FALSE))</f>
        <v>ethylhexane</v>
      </c>
      <c r="D135" s="246">
        <f t="shared" ca="1" si="9"/>
        <v>226</v>
      </c>
      <c r="E135" s="246">
        <f t="shared" ca="1" si="10"/>
        <v>0.59250000000000003</v>
      </c>
      <c r="F135" s="246" t="str">
        <f t="shared" ca="1" si="11"/>
        <v>3-ethylhexane</v>
      </c>
      <c r="G135" s="246">
        <f t="shared" ca="1" si="12"/>
        <v>114.22852</v>
      </c>
      <c r="H135" s="204" t="str">
        <f ca="1">IF(G135="","",IF(VLOOKUP(Well_Head!F135,'Species Data'!D:F,3,FALSE)=0,"X",IF(G135&lt;44.1,2,1)))</f>
        <v>X</v>
      </c>
      <c r="I135" s="204">
        <f t="shared" ca="1" si="13"/>
        <v>0.19565579469041575</v>
      </c>
      <c r="J135" s="247">
        <f ca="1">IF(I135="","",IF(COUNTIF($D$12:D135,D135)=1,IF(H135=1,I135*H135,IF(H135="X","X",0)),0))</f>
        <v>0</v>
      </c>
      <c r="K135" s="248">
        <f t="shared" ca="1" si="14"/>
        <v>0</v>
      </c>
      <c r="L135" s="238" t="s">
        <v>626</v>
      </c>
      <c r="M135" s="212" t="s">
        <v>448</v>
      </c>
      <c r="N135" s="212" t="s">
        <v>470</v>
      </c>
      <c r="O135" s="213">
        <v>41419</v>
      </c>
      <c r="P135" s="212" t="s">
        <v>531</v>
      </c>
      <c r="Q135" s="214">
        <v>100</v>
      </c>
      <c r="R135" s="212" t="s">
        <v>445</v>
      </c>
      <c r="S135" s="212" t="s">
        <v>532</v>
      </c>
      <c r="T135" s="212" t="s">
        <v>445</v>
      </c>
      <c r="U135" s="212" t="s">
        <v>446</v>
      </c>
      <c r="V135" s="214" t="b">
        <v>1</v>
      </c>
      <c r="W135" s="214">
        <v>1989</v>
      </c>
      <c r="X135" s="214">
        <v>5</v>
      </c>
      <c r="Y135" s="214">
        <v>2</v>
      </c>
      <c r="Z135" s="214">
        <v>4</v>
      </c>
      <c r="AA135" s="212" t="s">
        <v>447</v>
      </c>
      <c r="AB135" s="212" t="s">
        <v>531</v>
      </c>
      <c r="AC135" s="212" t="s">
        <v>533</v>
      </c>
      <c r="AD135" s="214">
        <v>5.4219059999999999</v>
      </c>
      <c r="AE135" s="214">
        <v>514</v>
      </c>
      <c r="AF135" s="214">
        <v>7.51E-2</v>
      </c>
      <c r="AG135" s="214">
        <v>-99</v>
      </c>
      <c r="AH135" s="212" t="s">
        <v>224</v>
      </c>
      <c r="AI135" s="212" t="s">
        <v>449</v>
      </c>
      <c r="AJ135" s="212" t="s">
        <v>362</v>
      </c>
      <c r="AK135" s="212" t="s">
        <v>531</v>
      </c>
      <c r="AL135" s="212" t="s">
        <v>399</v>
      </c>
      <c r="AM135" s="214" t="b">
        <v>1</v>
      </c>
      <c r="AN135" s="214" t="b">
        <v>1</v>
      </c>
      <c r="AO135" s="212" t="s">
        <v>363</v>
      </c>
      <c r="AP135" s="212" t="s">
        <v>364</v>
      </c>
      <c r="AQ135" s="214">
        <v>120.19158</v>
      </c>
      <c r="AR135" s="214" t="b">
        <v>0</v>
      </c>
      <c r="AS135" s="212" t="s">
        <v>534</v>
      </c>
      <c r="AU135" s="222" t="s">
        <v>819</v>
      </c>
    </row>
    <row r="136" spans="1:47" s="219" customFormat="1" x14ac:dyDescent="0.25">
      <c r="A136" s="245">
        <f t="shared" si="16"/>
        <v>231</v>
      </c>
      <c r="B136" s="246" t="str">
        <f t="shared" si="8"/>
        <v>Oil Field - Well</v>
      </c>
      <c r="C136" s="246" t="str">
        <f ca="1">IF(B136="","",VLOOKUP(D136,'Species Data'!B:E,4,FALSE))</f>
        <v>threemethex</v>
      </c>
      <c r="D136" s="246">
        <f t="shared" ca="1" si="9"/>
        <v>245</v>
      </c>
      <c r="E136" s="246">
        <f t="shared" ca="1" si="10"/>
        <v>8.4400000000000003E-2</v>
      </c>
      <c r="F136" s="246" t="str">
        <f t="shared" ca="1" si="11"/>
        <v>3-methylhexane</v>
      </c>
      <c r="G136" s="246">
        <f t="shared" ca="1" si="12"/>
        <v>100.20194000000001</v>
      </c>
      <c r="H136" s="204">
        <f ca="1">IF(G136="","",IF(VLOOKUP(Well_Head!F136,'Species Data'!D:F,3,FALSE)=0,"X",IF(G136&lt;44.1,2,1)))</f>
        <v>1</v>
      </c>
      <c r="I136" s="204">
        <f t="shared" ca="1" si="13"/>
        <v>0.3128559379350353</v>
      </c>
      <c r="J136" s="247">
        <f ca="1">IF(I136="","",IF(COUNTIF($D$12:D136,D136)=1,IF(H136=1,I136*H136,IF(H136="X","X",0)),0))</f>
        <v>0</v>
      </c>
      <c r="K136" s="248">
        <f t="shared" ca="1" si="14"/>
        <v>0</v>
      </c>
      <c r="L136" s="238" t="s">
        <v>626</v>
      </c>
      <c r="M136" s="212" t="s">
        <v>448</v>
      </c>
      <c r="N136" s="212" t="s">
        <v>470</v>
      </c>
      <c r="O136" s="213">
        <v>41419</v>
      </c>
      <c r="P136" s="212" t="s">
        <v>531</v>
      </c>
      <c r="Q136" s="214">
        <v>100</v>
      </c>
      <c r="R136" s="212" t="s">
        <v>445</v>
      </c>
      <c r="S136" s="212" t="s">
        <v>532</v>
      </c>
      <c r="T136" s="212" t="s">
        <v>445</v>
      </c>
      <c r="U136" s="212" t="s">
        <v>446</v>
      </c>
      <c r="V136" s="214" t="b">
        <v>1</v>
      </c>
      <c r="W136" s="214">
        <v>1989</v>
      </c>
      <c r="X136" s="214">
        <v>5</v>
      </c>
      <c r="Y136" s="214">
        <v>2</v>
      </c>
      <c r="Z136" s="214">
        <v>4</v>
      </c>
      <c r="AA136" s="212" t="s">
        <v>447</v>
      </c>
      <c r="AB136" s="212" t="s">
        <v>531</v>
      </c>
      <c r="AC136" s="212" t="s">
        <v>533</v>
      </c>
      <c r="AD136" s="214">
        <v>5.4219059999999999</v>
      </c>
      <c r="AE136" s="214">
        <v>524</v>
      </c>
      <c r="AF136" s="214">
        <v>9.1000000000000004E-3</v>
      </c>
      <c r="AG136" s="214">
        <v>-99</v>
      </c>
      <c r="AH136" s="212" t="s">
        <v>224</v>
      </c>
      <c r="AI136" s="212" t="s">
        <v>449</v>
      </c>
      <c r="AJ136" s="212" t="s">
        <v>436</v>
      </c>
      <c r="AK136" s="212" t="s">
        <v>531</v>
      </c>
      <c r="AL136" s="212" t="s">
        <v>460</v>
      </c>
      <c r="AM136" s="214" t="b">
        <v>0</v>
      </c>
      <c r="AN136" s="214" t="b">
        <v>1</v>
      </c>
      <c r="AO136" s="212" t="s">
        <v>437</v>
      </c>
      <c r="AP136" s="212" t="s">
        <v>438</v>
      </c>
      <c r="AQ136" s="214">
        <v>106.16500000000001</v>
      </c>
      <c r="AR136" s="214" t="b">
        <v>0</v>
      </c>
      <c r="AS136" s="212" t="s">
        <v>534</v>
      </c>
      <c r="AU136" s="222" t="s">
        <v>819</v>
      </c>
    </row>
    <row r="137" spans="1:47" s="219" customFormat="1" x14ac:dyDescent="0.25">
      <c r="A137" s="245">
        <f t="shared" si="16"/>
        <v>232</v>
      </c>
      <c r="B137" s="246" t="str">
        <f t="shared" si="8"/>
        <v>Oil Field - Well</v>
      </c>
      <c r="C137" s="246" t="str">
        <f ca="1">IF(B137="","",VLOOKUP(D137,'Species Data'!B:E,4,FALSE))</f>
        <v>threemetpen</v>
      </c>
      <c r="D137" s="246">
        <f t="shared" ca="1" si="9"/>
        <v>248</v>
      </c>
      <c r="E137" s="246">
        <f t="shared" ca="1" si="10"/>
        <v>0.20050000000000001</v>
      </c>
      <c r="F137" s="246" t="str">
        <f t="shared" ca="1" si="11"/>
        <v>3-methylpentane</v>
      </c>
      <c r="G137" s="246">
        <f t="shared" ca="1" si="12"/>
        <v>86.175359999999998</v>
      </c>
      <c r="H137" s="204">
        <f ca="1">IF(G137="","",IF(VLOOKUP(Well_Head!F137,'Species Data'!D:F,3,FALSE)=0,"X",IF(G137&lt;44.1,2,1)))</f>
        <v>1</v>
      </c>
      <c r="I137" s="204">
        <f t="shared" ca="1" si="13"/>
        <v>0.69705640751338704</v>
      </c>
      <c r="J137" s="247">
        <f ca="1">IF(I137="","",IF(COUNTIF($D$12:D137,D137)=1,IF(H137=1,I137*H137,IF(H137="X","X",0)),0))</f>
        <v>0</v>
      </c>
      <c r="K137" s="248">
        <f t="shared" ca="1" si="14"/>
        <v>0</v>
      </c>
      <c r="L137" s="238" t="s">
        <v>626</v>
      </c>
      <c r="M137" s="212" t="s">
        <v>448</v>
      </c>
      <c r="N137" s="212" t="s">
        <v>470</v>
      </c>
      <c r="O137" s="213">
        <v>41419</v>
      </c>
      <c r="P137" s="212" t="s">
        <v>531</v>
      </c>
      <c r="Q137" s="214">
        <v>100</v>
      </c>
      <c r="R137" s="212" t="s">
        <v>445</v>
      </c>
      <c r="S137" s="212" t="s">
        <v>532</v>
      </c>
      <c r="T137" s="212" t="s">
        <v>445</v>
      </c>
      <c r="U137" s="212" t="s">
        <v>446</v>
      </c>
      <c r="V137" s="214" t="b">
        <v>1</v>
      </c>
      <c r="W137" s="214">
        <v>1989</v>
      </c>
      <c r="X137" s="214">
        <v>5</v>
      </c>
      <c r="Y137" s="214">
        <v>2</v>
      </c>
      <c r="Z137" s="214">
        <v>4</v>
      </c>
      <c r="AA137" s="212" t="s">
        <v>447</v>
      </c>
      <c r="AB137" s="212" t="s">
        <v>531</v>
      </c>
      <c r="AC137" s="212" t="s">
        <v>533</v>
      </c>
      <c r="AD137" s="214">
        <v>5.4219059999999999</v>
      </c>
      <c r="AE137" s="214">
        <v>529</v>
      </c>
      <c r="AF137" s="214">
        <v>81.399799999999999</v>
      </c>
      <c r="AG137" s="214">
        <v>-99</v>
      </c>
      <c r="AH137" s="212" t="s">
        <v>224</v>
      </c>
      <c r="AI137" s="212" t="s">
        <v>449</v>
      </c>
      <c r="AJ137" s="212" t="s">
        <v>271</v>
      </c>
      <c r="AK137" s="212" t="s">
        <v>531</v>
      </c>
      <c r="AL137" s="212" t="s">
        <v>376</v>
      </c>
      <c r="AM137" s="214" t="b">
        <v>0</v>
      </c>
      <c r="AN137" s="214" t="b">
        <v>0</v>
      </c>
      <c r="AO137" s="212" t="s">
        <v>272</v>
      </c>
      <c r="AP137" s="212" t="s">
        <v>531</v>
      </c>
      <c r="AQ137" s="214">
        <v>16.042459999999998</v>
      </c>
      <c r="AR137" s="214" t="b">
        <v>1</v>
      </c>
      <c r="AS137" s="212" t="s">
        <v>534</v>
      </c>
      <c r="AU137" s="222" t="s">
        <v>819</v>
      </c>
    </row>
    <row r="138" spans="1:47" s="219" customFormat="1" x14ac:dyDescent="0.25">
      <c r="A138" s="245">
        <f t="shared" si="16"/>
        <v>233</v>
      </c>
      <c r="B138" s="246" t="str">
        <f t="shared" si="8"/>
        <v>Oil Field - Well</v>
      </c>
      <c r="C138" s="246" t="str">
        <f ca="1">IF(B138="","",VLOOKUP(D138,'Species Data'!B:E,4,FALSE))</f>
        <v>benzene</v>
      </c>
      <c r="D138" s="246">
        <f t="shared" ca="1" si="9"/>
        <v>302</v>
      </c>
      <c r="E138" s="246">
        <f t="shared" ca="1" si="10"/>
        <v>1.77E-2</v>
      </c>
      <c r="F138" s="246" t="str">
        <f t="shared" ca="1" si="11"/>
        <v>Benzene</v>
      </c>
      <c r="G138" s="246">
        <f t="shared" ca="1" si="12"/>
        <v>78.111840000000001</v>
      </c>
      <c r="H138" s="204">
        <f ca="1">IF(G138="","",IF(VLOOKUP(Well_Head!F138,'Species Data'!D:F,3,FALSE)=0,"X",IF(G138&lt;44.1,2,1)))</f>
        <v>1</v>
      </c>
      <c r="I138" s="204">
        <f t="shared" ca="1" si="13"/>
        <v>0.3538559880462076</v>
      </c>
      <c r="J138" s="247">
        <f ca="1">IF(I138="","",IF(COUNTIF($D$12:D138,D138)=1,IF(H138=1,I138*H138,IF(H138="X","X",0)),0))</f>
        <v>0</v>
      </c>
      <c r="K138" s="248">
        <f t="shared" ca="1" si="14"/>
        <v>0</v>
      </c>
      <c r="L138" s="238" t="s">
        <v>626</v>
      </c>
      <c r="M138" s="212" t="s">
        <v>448</v>
      </c>
      <c r="N138" s="212" t="s">
        <v>470</v>
      </c>
      <c r="O138" s="213">
        <v>41419</v>
      </c>
      <c r="P138" s="212" t="s">
        <v>531</v>
      </c>
      <c r="Q138" s="214">
        <v>100</v>
      </c>
      <c r="R138" s="212" t="s">
        <v>445</v>
      </c>
      <c r="S138" s="212" t="s">
        <v>532</v>
      </c>
      <c r="T138" s="212" t="s">
        <v>445</v>
      </c>
      <c r="U138" s="212" t="s">
        <v>446</v>
      </c>
      <c r="V138" s="214" t="b">
        <v>1</v>
      </c>
      <c r="W138" s="214">
        <v>1989</v>
      </c>
      <c r="X138" s="214">
        <v>5</v>
      </c>
      <c r="Y138" s="214">
        <v>2</v>
      </c>
      <c r="Z138" s="214">
        <v>4</v>
      </c>
      <c r="AA138" s="212" t="s">
        <v>447</v>
      </c>
      <c r="AB138" s="212" t="s">
        <v>531</v>
      </c>
      <c r="AC138" s="212" t="s">
        <v>533</v>
      </c>
      <c r="AD138" s="214">
        <v>5.4219059999999999</v>
      </c>
      <c r="AE138" s="214">
        <v>550</v>
      </c>
      <c r="AF138" s="214">
        <v>1.5800000000000002E-2</v>
      </c>
      <c r="AG138" s="214">
        <v>-99</v>
      </c>
      <c r="AH138" s="212" t="s">
        <v>224</v>
      </c>
      <c r="AI138" s="212" t="s">
        <v>449</v>
      </c>
      <c r="AJ138" s="212" t="s">
        <v>348</v>
      </c>
      <c r="AK138" s="212" t="s">
        <v>531</v>
      </c>
      <c r="AL138" s="212" t="s">
        <v>396</v>
      </c>
      <c r="AM138" s="214" t="b">
        <v>1</v>
      </c>
      <c r="AN138" s="214" t="b">
        <v>0</v>
      </c>
      <c r="AO138" s="212" t="s">
        <v>349</v>
      </c>
      <c r="AP138" s="212" t="s">
        <v>350</v>
      </c>
      <c r="AQ138" s="214">
        <v>98.186059999999998</v>
      </c>
      <c r="AR138" s="214" t="b">
        <v>0</v>
      </c>
      <c r="AS138" s="212" t="s">
        <v>534</v>
      </c>
      <c r="AU138" s="222" t="s">
        <v>819</v>
      </c>
    </row>
    <row r="139" spans="1:47" s="219" customFormat="1" ht="15" customHeight="1" x14ac:dyDescent="0.25">
      <c r="A139" s="245">
        <f t="shared" si="16"/>
        <v>234</v>
      </c>
      <c r="B139" s="246" t="str">
        <f t="shared" si="8"/>
        <v>Oil Field - Well</v>
      </c>
      <c r="C139" s="246" t="str">
        <f ca="1">IF(B139="","",VLOOKUP(D139,'Species Data'!B:E,4,FALSE))</f>
        <v>cyclohexane</v>
      </c>
      <c r="D139" s="246">
        <f t="shared" ca="1" si="9"/>
        <v>385</v>
      </c>
      <c r="E139" s="246">
        <f t="shared" ca="1" si="10"/>
        <v>0.36969999999999997</v>
      </c>
      <c r="F139" s="246" t="str">
        <f t="shared" ca="1" si="11"/>
        <v>Cyclohexane</v>
      </c>
      <c r="G139" s="246">
        <f t="shared" ca="1" si="12"/>
        <v>84.159480000000002</v>
      </c>
      <c r="H139" s="204">
        <f ca="1">IF(G139="","",IF(VLOOKUP(Well_Head!F139,'Species Data'!D:F,3,FALSE)=0,"X",IF(G139&lt;44.1,2,1)))</f>
        <v>1</v>
      </c>
      <c r="I139" s="204">
        <f t="shared" ca="1" si="13"/>
        <v>7.8433429196413454E-2</v>
      </c>
      <c r="J139" s="247">
        <f ca="1">IF(I139="","",IF(COUNTIF($D$12:D139,D139)=1,IF(H139=1,I139*H139,IF(H139="X","X",0)),0))</f>
        <v>0</v>
      </c>
      <c r="K139" s="248">
        <f t="shared" ca="1" si="14"/>
        <v>0</v>
      </c>
      <c r="L139" s="238" t="s">
        <v>626</v>
      </c>
      <c r="M139" s="212" t="s">
        <v>448</v>
      </c>
      <c r="N139" s="212" t="s">
        <v>470</v>
      </c>
      <c r="O139" s="213">
        <v>41419</v>
      </c>
      <c r="P139" s="212" t="s">
        <v>531</v>
      </c>
      <c r="Q139" s="214">
        <v>100</v>
      </c>
      <c r="R139" s="212" t="s">
        <v>445</v>
      </c>
      <c r="S139" s="212" t="s">
        <v>532</v>
      </c>
      <c r="T139" s="212" t="s">
        <v>445</v>
      </c>
      <c r="U139" s="212" t="s">
        <v>446</v>
      </c>
      <c r="V139" s="214" t="b">
        <v>1</v>
      </c>
      <c r="W139" s="214">
        <v>1989</v>
      </c>
      <c r="X139" s="214">
        <v>5</v>
      </c>
      <c r="Y139" s="214">
        <v>2</v>
      </c>
      <c r="Z139" s="214">
        <v>4</v>
      </c>
      <c r="AA139" s="212" t="s">
        <v>447</v>
      </c>
      <c r="AB139" s="212" t="s">
        <v>531</v>
      </c>
      <c r="AC139" s="212" t="s">
        <v>533</v>
      </c>
      <c r="AD139" s="214">
        <v>5.4219059999999999</v>
      </c>
      <c r="AE139" s="214">
        <v>551</v>
      </c>
      <c r="AF139" s="214">
        <v>1.21E-2</v>
      </c>
      <c r="AG139" s="214">
        <v>-99</v>
      </c>
      <c r="AH139" s="212" t="s">
        <v>224</v>
      </c>
      <c r="AI139" s="212" t="s">
        <v>449</v>
      </c>
      <c r="AJ139" s="212" t="s">
        <v>351</v>
      </c>
      <c r="AK139" s="212" t="s">
        <v>531</v>
      </c>
      <c r="AL139" s="212" t="s">
        <v>397</v>
      </c>
      <c r="AM139" s="214" t="b">
        <v>1</v>
      </c>
      <c r="AN139" s="214" t="b">
        <v>0</v>
      </c>
      <c r="AO139" s="212" t="s">
        <v>352</v>
      </c>
      <c r="AP139" s="212" t="s">
        <v>353</v>
      </c>
      <c r="AQ139" s="214">
        <v>84.159480000000002</v>
      </c>
      <c r="AR139" s="214" t="b">
        <v>0</v>
      </c>
      <c r="AS139" s="212" t="s">
        <v>534</v>
      </c>
      <c r="AU139" s="222" t="s">
        <v>819</v>
      </c>
    </row>
    <row r="140" spans="1:47" s="219" customFormat="1" x14ac:dyDescent="0.25">
      <c r="A140" s="245">
        <f t="shared" si="16"/>
        <v>235</v>
      </c>
      <c r="B140" s="246" t="str">
        <f t="shared" ref="B140:B203" si="17">IF(ROW(A140)-(ROW($A$12))&lt;$B$10,$B$9,"")</f>
        <v>Oil Field - Well</v>
      </c>
      <c r="C140" s="246" t="str">
        <f ca="1">IF(B140="","",VLOOKUP(D140,'Species Data'!B:E,4,FALSE))</f>
        <v>ethane</v>
      </c>
      <c r="D140" s="246">
        <f t="shared" ca="1" si="9"/>
        <v>438</v>
      </c>
      <c r="E140" s="246">
        <f t="shared" ca="1" si="10"/>
        <v>0.41909999999999997</v>
      </c>
      <c r="F140" s="246" t="str">
        <f t="shared" ca="1" si="11"/>
        <v>Ethane</v>
      </c>
      <c r="G140" s="246">
        <f t="shared" ca="1" si="12"/>
        <v>30.069040000000005</v>
      </c>
      <c r="H140" s="204">
        <f ca="1">IF(G140="","",IF(VLOOKUP(Well_Head!F140,'Species Data'!D:F,3,FALSE)=0,"X",IF(G140&lt;44.1,2,1)))</f>
        <v>2</v>
      </c>
      <c r="I140" s="204">
        <f t="shared" ca="1" si="13"/>
        <v>7.2582977601417076</v>
      </c>
      <c r="J140" s="247">
        <f ca="1">IF(I140="","",IF(COUNTIF($D$12:D140,D140)=1,IF(H140=1,I140*H140,IF(H140="X","X",0)),0))</f>
        <v>0</v>
      </c>
      <c r="K140" s="248">
        <f t="shared" ca="1" si="14"/>
        <v>0</v>
      </c>
      <c r="L140" s="238" t="s">
        <v>626</v>
      </c>
      <c r="M140" s="212" t="s">
        <v>448</v>
      </c>
      <c r="N140" s="212" t="s">
        <v>470</v>
      </c>
      <c r="O140" s="213">
        <v>41419</v>
      </c>
      <c r="P140" s="212" t="s">
        <v>531</v>
      </c>
      <c r="Q140" s="214">
        <v>100</v>
      </c>
      <c r="R140" s="212" t="s">
        <v>445</v>
      </c>
      <c r="S140" s="212" t="s">
        <v>532</v>
      </c>
      <c r="T140" s="212" t="s">
        <v>445</v>
      </c>
      <c r="U140" s="212" t="s">
        <v>446</v>
      </c>
      <c r="V140" s="214" t="b">
        <v>1</v>
      </c>
      <c r="W140" s="214">
        <v>1989</v>
      </c>
      <c r="X140" s="214">
        <v>5</v>
      </c>
      <c r="Y140" s="214">
        <v>2</v>
      </c>
      <c r="Z140" s="214">
        <v>4</v>
      </c>
      <c r="AA140" s="212" t="s">
        <v>447</v>
      </c>
      <c r="AB140" s="212" t="s">
        <v>531</v>
      </c>
      <c r="AC140" s="212" t="s">
        <v>533</v>
      </c>
      <c r="AD140" s="214">
        <v>5.4219059999999999</v>
      </c>
      <c r="AE140" s="214">
        <v>592</v>
      </c>
      <c r="AF140" s="214">
        <v>8.4199999999999997E-2</v>
      </c>
      <c r="AG140" s="214">
        <v>-99</v>
      </c>
      <c r="AH140" s="212" t="s">
        <v>224</v>
      </c>
      <c r="AI140" s="212" t="s">
        <v>449</v>
      </c>
      <c r="AJ140" s="212" t="s">
        <v>273</v>
      </c>
      <c r="AK140" s="212" t="s">
        <v>531</v>
      </c>
      <c r="AL140" s="212" t="s">
        <v>377</v>
      </c>
      <c r="AM140" s="214" t="b">
        <v>1</v>
      </c>
      <c r="AN140" s="214" t="b">
        <v>0</v>
      </c>
      <c r="AO140" s="212" t="s">
        <v>274</v>
      </c>
      <c r="AP140" s="212" t="s">
        <v>275</v>
      </c>
      <c r="AQ140" s="214">
        <v>58.122199999999992</v>
      </c>
      <c r="AR140" s="214" t="b">
        <v>0</v>
      </c>
      <c r="AS140" s="212" t="s">
        <v>534</v>
      </c>
      <c r="AU140" s="222" t="s">
        <v>819</v>
      </c>
    </row>
    <row r="141" spans="1:47" s="219" customFormat="1" x14ac:dyDescent="0.25">
      <c r="A141" s="245">
        <f t="shared" si="16"/>
        <v>236</v>
      </c>
      <c r="B141" s="246" t="str">
        <f t="shared" si="17"/>
        <v>Oil Field - Well</v>
      </c>
      <c r="C141" s="246" t="str">
        <f ca="1">IF(B141="","",VLOOKUP(D141,'Species Data'!B:E,4,FALSE))</f>
        <v>ethyl_benz</v>
      </c>
      <c r="D141" s="246">
        <f t="shared" ref="D141:D204" ca="1" si="18">IF(B141="","",INDIRECT("AE"&amp;$A141))</f>
        <v>449</v>
      </c>
      <c r="E141" s="246">
        <f t="shared" ref="E141:E204" ca="1" si="19">IF(D141="","",INDIRECT("AF"&amp;$A141))</f>
        <v>0.45579999999999998</v>
      </c>
      <c r="F141" s="246" t="str">
        <f t="shared" ref="F141:F204" ca="1" si="20">IF(E141="","",INDIRECT("AO"&amp;$A141))</f>
        <v>Ethylbenzene</v>
      </c>
      <c r="G141" s="246">
        <f t="shared" ref="G141:G204" ca="1" si="21">IF(F141="","",INDIRECT("AQ"&amp;$A141))</f>
        <v>106.16500000000001</v>
      </c>
      <c r="H141" s="204">
        <f ca="1">IF(G141="","",IF(VLOOKUP(Well_Head!F141,'Species Data'!D:F,3,FALSE)=0,"X",IF(G141&lt;44.1,2,1)))</f>
        <v>1</v>
      </c>
      <c r="I141" s="204">
        <f t="shared" ref="I141:I204" ca="1" si="22">IF(H141="","",SUMIF(D:D,D141,E:E)/($E$9/100))</f>
        <v>0.43623386650805906</v>
      </c>
      <c r="J141" s="247">
        <f ca="1">IF(I141="","",IF(COUNTIF($D$12:D141,D141)=1,IF(H141=1,I141*H141,IF(H141="X","X",0)),0))</f>
        <v>0</v>
      </c>
      <c r="K141" s="248">
        <f t="shared" ref="K141:K204" ca="1" si="23">IF(J141="","",IF(J141="X",0,J141/$J$9*100))</f>
        <v>0</v>
      </c>
      <c r="L141" s="238" t="s">
        <v>626</v>
      </c>
      <c r="M141" s="212" t="s">
        <v>448</v>
      </c>
      <c r="N141" s="212" t="s">
        <v>470</v>
      </c>
      <c r="O141" s="213">
        <v>41419</v>
      </c>
      <c r="P141" s="212" t="s">
        <v>531</v>
      </c>
      <c r="Q141" s="214">
        <v>100</v>
      </c>
      <c r="R141" s="212" t="s">
        <v>445</v>
      </c>
      <c r="S141" s="212" t="s">
        <v>532</v>
      </c>
      <c r="T141" s="212" t="s">
        <v>445</v>
      </c>
      <c r="U141" s="212" t="s">
        <v>446</v>
      </c>
      <c r="V141" s="214" t="b">
        <v>1</v>
      </c>
      <c r="W141" s="214">
        <v>1989</v>
      </c>
      <c r="X141" s="214">
        <v>5</v>
      </c>
      <c r="Y141" s="214">
        <v>2</v>
      </c>
      <c r="Z141" s="214">
        <v>4</v>
      </c>
      <c r="AA141" s="212" t="s">
        <v>447</v>
      </c>
      <c r="AB141" s="212" t="s">
        <v>531</v>
      </c>
      <c r="AC141" s="212" t="s">
        <v>533</v>
      </c>
      <c r="AD141" s="214">
        <v>5.4219059999999999</v>
      </c>
      <c r="AE141" s="214">
        <v>598</v>
      </c>
      <c r="AF141" s="214">
        <v>7.6700000000000004E-2</v>
      </c>
      <c r="AG141" s="214">
        <v>-99</v>
      </c>
      <c r="AH141" s="212" t="s">
        <v>224</v>
      </c>
      <c r="AI141" s="212" t="s">
        <v>449</v>
      </c>
      <c r="AJ141" s="212" t="s">
        <v>414</v>
      </c>
      <c r="AK141" s="212" t="s">
        <v>531</v>
      </c>
      <c r="AL141" s="212" t="s">
        <v>452</v>
      </c>
      <c r="AM141" s="214" t="b">
        <v>1</v>
      </c>
      <c r="AN141" s="214" t="b">
        <v>0</v>
      </c>
      <c r="AO141" s="212" t="s">
        <v>415</v>
      </c>
      <c r="AP141" s="212" t="s">
        <v>416</v>
      </c>
      <c r="AQ141" s="214">
        <v>142.28167999999999</v>
      </c>
      <c r="AR141" s="214" t="b">
        <v>0</v>
      </c>
      <c r="AS141" s="212" t="s">
        <v>534</v>
      </c>
      <c r="AU141" s="222" t="s">
        <v>819</v>
      </c>
    </row>
    <row r="142" spans="1:47" s="219" customFormat="1" x14ac:dyDescent="0.25">
      <c r="A142" s="245">
        <f t="shared" si="16"/>
        <v>237</v>
      </c>
      <c r="B142" s="246" t="str">
        <f t="shared" si="17"/>
        <v>Oil Field - Well</v>
      </c>
      <c r="C142" s="246" t="str">
        <f ca="1">IF(B142="","",VLOOKUP(D142,'Species Data'!B:E,4,FALSE))</f>
        <v>isobut</v>
      </c>
      <c r="D142" s="246">
        <f t="shared" ca="1" si="18"/>
        <v>491</v>
      </c>
      <c r="E142" s="246">
        <f t="shared" ca="1" si="19"/>
        <v>0.30030000000000001</v>
      </c>
      <c r="F142" s="246" t="str">
        <f t="shared" ca="1" si="20"/>
        <v>Isobutane</v>
      </c>
      <c r="G142" s="246">
        <f t="shared" ca="1" si="21"/>
        <v>58.122199999999992</v>
      </c>
      <c r="H142" s="204">
        <f ca="1">IF(G142="","",IF(VLOOKUP(Well_Head!F142,'Species Data'!D:F,3,FALSE)=0,"X",IF(G142&lt;44.1,2,1)))</f>
        <v>1</v>
      </c>
      <c r="I142" s="204">
        <f t="shared" ca="1" si="22"/>
        <v>2.9024368807561878</v>
      </c>
      <c r="J142" s="247">
        <f ca="1">IF(I142="","",IF(COUNTIF($D$12:D142,D142)=1,IF(H142=1,I142*H142,IF(H142="X","X",0)),0))</f>
        <v>0</v>
      </c>
      <c r="K142" s="248">
        <f t="shared" ca="1" si="23"/>
        <v>0</v>
      </c>
      <c r="L142" s="238" t="s">
        <v>626</v>
      </c>
      <c r="M142" s="212" t="s">
        <v>448</v>
      </c>
      <c r="N142" s="212" t="s">
        <v>470</v>
      </c>
      <c r="O142" s="213">
        <v>41419</v>
      </c>
      <c r="P142" s="212" t="s">
        <v>531</v>
      </c>
      <c r="Q142" s="214">
        <v>100</v>
      </c>
      <c r="R142" s="212" t="s">
        <v>445</v>
      </c>
      <c r="S142" s="212" t="s">
        <v>532</v>
      </c>
      <c r="T142" s="212" t="s">
        <v>445</v>
      </c>
      <c r="U142" s="212" t="s">
        <v>446</v>
      </c>
      <c r="V142" s="214" t="b">
        <v>1</v>
      </c>
      <c r="W142" s="214">
        <v>1989</v>
      </c>
      <c r="X142" s="214">
        <v>5</v>
      </c>
      <c r="Y142" s="214">
        <v>2</v>
      </c>
      <c r="Z142" s="214">
        <v>4</v>
      </c>
      <c r="AA142" s="212" t="s">
        <v>447</v>
      </c>
      <c r="AB142" s="212" t="s">
        <v>531</v>
      </c>
      <c r="AC142" s="212" t="s">
        <v>533</v>
      </c>
      <c r="AD142" s="214">
        <v>5.4219059999999999</v>
      </c>
      <c r="AE142" s="214">
        <v>601</v>
      </c>
      <c r="AF142" s="214">
        <v>1.9400000000000001E-2</v>
      </c>
      <c r="AG142" s="214">
        <v>-99</v>
      </c>
      <c r="AH142" s="212" t="s">
        <v>224</v>
      </c>
      <c r="AI142" s="212" t="s">
        <v>449</v>
      </c>
      <c r="AJ142" s="212" t="s">
        <v>279</v>
      </c>
      <c r="AK142" s="212" t="s">
        <v>531</v>
      </c>
      <c r="AL142" s="212" t="s">
        <v>379</v>
      </c>
      <c r="AM142" s="214" t="b">
        <v>1</v>
      </c>
      <c r="AN142" s="214" t="b">
        <v>1</v>
      </c>
      <c r="AO142" s="212" t="s">
        <v>280</v>
      </c>
      <c r="AP142" s="212" t="s">
        <v>281</v>
      </c>
      <c r="AQ142" s="214">
        <v>86.175359999999998</v>
      </c>
      <c r="AR142" s="214" t="b">
        <v>0</v>
      </c>
      <c r="AS142" s="212" t="s">
        <v>534</v>
      </c>
      <c r="AU142" s="222" t="s">
        <v>819</v>
      </c>
    </row>
    <row r="143" spans="1:47" s="219" customFormat="1" ht="15" customHeight="1" x14ac:dyDescent="0.25">
      <c r="A143" s="245">
        <f t="shared" si="16"/>
        <v>238</v>
      </c>
      <c r="B143" s="246" t="str">
        <f t="shared" si="17"/>
        <v>Oil Field - Well</v>
      </c>
      <c r="C143" s="246" t="str">
        <f ca="1">IF(B143="","",VLOOKUP(D143,'Species Data'!B:E,4,FALSE))</f>
        <v>i_but</v>
      </c>
      <c r="D143" s="246">
        <f t="shared" ca="1" si="18"/>
        <v>499</v>
      </c>
      <c r="E143" s="246">
        <f t="shared" ca="1" si="19"/>
        <v>0.49630000000000002</v>
      </c>
      <c r="F143" s="246" t="str">
        <f t="shared" ca="1" si="20"/>
        <v>Isomers of butylbenzene</v>
      </c>
      <c r="G143" s="246">
        <f t="shared" ca="1" si="21"/>
        <v>134.21816000000001</v>
      </c>
      <c r="H143" s="204">
        <f ca="1">IF(G143="","",IF(VLOOKUP(Well_Head!F143,'Species Data'!D:F,3,FALSE)=0,"X",IF(G143&lt;44.1,2,1)))</f>
        <v>1</v>
      </c>
      <c r="I143" s="204">
        <f t="shared" ca="1" si="22"/>
        <v>0.12713348871870844</v>
      </c>
      <c r="J143" s="247">
        <f ca="1">IF(I143="","",IF(COUNTIF($D$12:D143,D143)=1,IF(H143=1,I143*H143,IF(H143="X","X",0)),0))</f>
        <v>0</v>
      </c>
      <c r="K143" s="248">
        <f t="shared" ca="1" si="23"/>
        <v>0</v>
      </c>
      <c r="L143" s="238" t="s">
        <v>626</v>
      </c>
      <c r="M143" s="212" t="s">
        <v>448</v>
      </c>
      <c r="N143" s="212" t="s">
        <v>470</v>
      </c>
      <c r="O143" s="213">
        <v>41419</v>
      </c>
      <c r="P143" s="212" t="s">
        <v>531</v>
      </c>
      <c r="Q143" s="214">
        <v>100</v>
      </c>
      <c r="R143" s="212" t="s">
        <v>445</v>
      </c>
      <c r="S143" s="212" t="s">
        <v>532</v>
      </c>
      <c r="T143" s="212" t="s">
        <v>445</v>
      </c>
      <c r="U143" s="212" t="s">
        <v>446</v>
      </c>
      <c r="V143" s="214" t="b">
        <v>1</v>
      </c>
      <c r="W143" s="214">
        <v>1989</v>
      </c>
      <c r="X143" s="214">
        <v>5</v>
      </c>
      <c r="Y143" s="214">
        <v>2</v>
      </c>
      <c r="Z143" s="214">
        <v>4</v>
      </c>
      <c r="AA143" s="212" t="s">
        <v>447</v>
      </c>
      <c r="AB143" s="212" t="s">
        <v>531</v>
      </c>
      <c r="AC143" s="212" t="s">
        <v>533</v>
      </c>
      <c r="AD143" s="214">
        <v>5.4219059999999999</v>
      </c>
      <c r="AE143" s="214">
        <v>603</v>
      </c>
      <c r="AF143" s="214">
        <v>8.0399999999999999E-2</v>
      </c>
      <c r="AG143" s="214">
        <v>-99</v>
      </c>
      <c r="AH143" s="212" t="s">
        <v>224</v>
      </c>
      <c r="AI143" s="212" t="s">
        <v>449</v>
      </c>
      <c r="AJ143" s="212" t="s">
        <v>417</v>
      </c>
      <c r="AK143" s="212" t="s">
        <v>531</v>
      </c>
      <c r="AL143" s="212" t="s">
        <v>453</v>
      </c>
      <c r="AM143" s="214" t="b">
        <v>1</v>
      </c>
      <c r="AN143" s="214" t="b">
        <v>0</v>
      </c>
      <c r="AO143" s="212" t="s">
        <v>418</v>
      </c>
      <c r="AP143" s="212" t="s">
        <v>419</v>
      </c>
      <c r="AQ143" s="214">
        <v>128.2551</v>
      </c>
      <c r="AR143" s="214" t="b">
        <v>0</v>
      </c>
      <c r="AS143" s="212" t="s">
        <v>534</v>
      </c>
      <c r="AU143" s="222" t="s">
        <v>819</v>
      </c>
    </row>
    <row r="144" spans="1:47" s="219" customFormat="1" ht="15" customHeight="1" x14ac:dyDescent="0.25">
      <c r="A144" s="245">
        <f t="shared" si="16"/>
        <v>239</v>
      </c>
      <c r="B144" s="246" t="str">
        <f t="shared" si="17"/>
        <v>Oil Field - Well</v>
      </c>
      <c r="C144" s="246" t="str">
        <f ca="1">IF(B144="","",VLOOKUP(D144,'Species Data'!B:E,4,FALSE))</f>
        <v>isopentane</v>
      </c>
      <c r="D144" s="246">
        <f t="shared" ca="1" si="18"/>
        <v>508</v>
      </c>
      <c r="E144" s="246">
        <f t="shared" ca="1" si="19"/>
        <v>0.4758</v>
      </c>
      <c r="F144" s="246" t="str">
        <f t="shared" ca="1" si="20"/>
        <v>Isopentane (2-Methylbutane)</v>
      </c>
      <c r="G144" s="246">
        <f t="shared" ca="1" si="21"/>
        <v>72.148780000000002</v>
      </c>
      <c r="H144" s="204">
        <f ca="1">IF(G144="","",IF(VLOOKUP(Well_Head!F144,'Species Data'!D:F,3,FALSE)=0,"X",IF(G144&lt;44.1,2,1)))</f>
        <v>1</v>
      </c>
      <c r="I144" s="204">
        <f t="shared" ca="1" si="22"/>
        <v>2.9334258075204316</v>
      </c>
      <c r="J144" s="247">
        <f ca="1">IF(I144="","",IF(COUNTIF($D$12:D144,D144)=1,IF(H144=1,I144*H144,IF(H144="X","X",0)),0))</f>
        <v>0</v>
      </c>
      <c r="K144" s="248">
        <f t="shared" ca="1" si="23"/>
        <v>0</v>
      </c>
      <c r="L144" s="238" t="s">
        <v>626</v>
      </c>
      <c r="M144" s="212" t="s">
        <v>448</v>
      </c>
      <c r="N144" s="212" t="s">
        <v>470</v>
      </c>
      <c r="O144" s="213">
        <v>41419</v>
      </c>
      <c r="P144" s="212" t="s">
        <v>531</v>
      </c>
      <c r="Q144" s="214">
        <v>100</v>
      </c>
      <c r="R144" s="212" t="s">
        <v>445</v>
      </c>
      <c r="S144" s="212" t="s">
        <v>532</v>
      </c>
      <c r="T144" s="212" t="s">
        <v>445</v>
      </c>
      <c r="U144" s="212" t="s">
        <v>446</v>
      </c>
      <c r="V144" s="214" t="b">
        <v>1</v>
      </c>
      <c r="W144" s="214">
        <v>1989</v>
      </c>
      <c r="X144" s="214">
        <v>5</v>
      </c>
      <c r="Y144" s="214">
        <v>2</v>
      </c>
      <c r="Z144" s="214">
        <v>4</v>
      </c>
      <c r="AA144" s="212" t="s">
        <v>447</v>
      </c>
      <c r="AB144" s="212" t="s">
        <v>531</v>
      </c>
      <c r="AC144" s="212" t="s">
        <v>533</v>
      </c>
      <c r="AD144" s="214">
        <v>5.4219059999999999</v>
      </c>
      <c r="AE144" s="214">
        <v>604</v>
      </c>
      <c r="AF144" s="214">
        <v>0.89</v>
      </c>
      <c r="AG144" s="214">
        <v>-99</v>
      </c>
      <c r="AH144" s="212" t="s">
        <v>224</v>
      </c>
      <c r="AI144" s="212" t="s">
        <v>449</v>
      </c>
      <c r="AJ144" s="212" t="s">
        <v>282</v>
      </c>
      <c r="AK144" s="212" t="s">
        <v>531</v>
      </c>
      <c r="AL144" s="212" t="s">
        <v>380</v>
      </c>
      <c r="AM144" s="214" t="b">
        <v>1</v>
      </c>
      <c r="AN144" s="214" t="b">
        <v>0</v>
      </c>
      <c r="AO144" s="212" t="s">
        <v>283</v>
      </c>
      <c r="AP144" s="212" t="s">
        <v>284</v>
      </c>
      <c r="AQ144" s="214">
        <v>114.22852</v>
      </c>
      <c r="AR144" s="214" t="b">
        <v>0</v>
      </c>
      <c r="AS144" s="212" t="s">
        <v>534</v>
      </c>
      <c r="AU144" s="222" t="s">
        <v>819</v>
      </c>
    </row>
    <row r="145" spans="1:47" s="219" customFormat="1" ht="15" customHeight="1" x14ac:dyDescent="0.25">
      <c r="A145" s="245">
        <f t="shared" si="16"/>
        <v>240</v>
      </c>
      <c r="B145" s="246" t="str">
        <f t="shared" si="17"/>
        <v>Oil Field - Well</v>
      </c>
      <c r="C145" s="246" t="str">
        <f ca="1">IF(B145="","",VLOOKUP(D145,'Species Data'!B:E,4,FALSE))</f>
        <v>isopben</v>
      </c>
      <c r="D145" s="246">
        <f t="shared" ca="1" si="18"/>
        <v>514</v>
      </c>
      <c r="E145" s="246">
        <f t="shared" ca="1" si="19"/>
        <v>0.26960000000000001</v>
      </c>
      <c r="F145" s="246" t="str">
        <f t="shared" ca="1" si="20"/>
        <v>Isopropylbenzene (cumene)</v>
      </c>
      <c r="G145" s="246">
        <f t="shared" ca="1" si="21"/>
        <v>120.19158</v>
      </c>
      <c r="H145" s="204">
        <f ca="1">IF(G145="","",IF(VLOOKUP(Well_Head!F145,'Species Data'!D:F,3,FALSE)=0,"X",IF(G145&lt;44.1,2,1)))</f>
        <v>1</v>
      </c>
      <c r="I145" s="204">
        <f t="shared" ca="1" si="22"/>
        <v>7.8922318682833947E-2</v>
      </c>
      <c r="J145" s="247">
        <f ca="1">IF(I145="","",IF(COUNTIF($D$12:D145,D145)=1,IF(H145=1,I145*H145,IF(H145="X","X",0)),0))</f>
        <v>0</v>
      </c>
      <c r="K145" s="248">
        <f t="shared" ca="1" si="23"/>
        <v>0</v>
      </c>
      <c r="L145" s="238" t="s">
        <v>626</v>
      </c>
      <c r="M145" s="212" t="s">
        <v>448</v>
      </c>
      <c r="N145" s="212" t="s">
        <v>470</v>
      </c>
      <c r="O145" s="213">
        <v>41419</v>
      </c>
      <c r="P145" s="212" t="s">
        <v>531</v>
      </c>
      <c r="Q145" s="214">
        <v>100</v>
      </c>
      <c r="R145" s="212" t="s">
        <v>445</v>
      </c>
      <c r="S145" s="212" t="s">
        <v>532</v>
      </c>
      <c r="T145" s="212" t="s">
        <v>445</v>
      </c>
      <c r="U145" s="212" t="s">
        <v>446</v>
      </c>
      <c r="V145" s="214" t="b">
        <v>1</v>
      </c>
      <c r="W145" s="214">
        <v>1989</v>
      </c>
      <c r="X145" s="214">
        <v>5</v>
      </c>
      <c r="Y145" s="214">
        <v>2</v>
      </c>
      <c r="Z145" s="214">
        <v>4</v>
      </c>
      <c r="AA145" s="212" t="s">
        <v>447</v>
      </c>
      <c r="AB145" s="212" t="s">
        <v>531</v>
      </c>
      <c r="AC145" s="212" t="s">
        <v>533</v>
      </c>
      <c r="AD145" s="214">
        <v>5.4219059999999999</v>
      </c>
      <c r="AE145" s="214">
        <v>605</v>
      </c>
      <c r="AF145" s="214">
        <v>3.2099999999999997E-2</v>
      </c>
      <c r="AG145" s="214">
        <v>-99</v>
      </c>
      <c r="AH145" s="212" t="s">
        <v>224</v>
      </c>
      <c r="AI145" s="212" t="s">
        <v>449</v>
      </c>
      <c r="AJ145" s="212" t="s">
        <v>285</v>
      </c>
      <c r="AK145" s="212" t="s">
        <v>531</v>
      </c>
      <c r="AL145" s="212" t="s">
        <v>381</v>
      </c>
      <c r="AM145" s="214" t="b">
        <v>1</v>
      </c>
      <c r="AN145" s="214" t="b">
        <v>0</v>
      </c>
      <c r="AO145" s="212" t="s">
        <v>286</v>
      </c>
      <c r="AP145" s="212" t="s">
        <v>287</v>
      </c>
      <c r="AQ145" s="214">
        <v>72.148780000000002</v>
      </c>
      <c r="AR145" s="214" t="b">
        <v>0</v>
      </c>
      <c r="AS145" s="212" t="s">
        <v>534</v>
      </c>
      <c r="AU145" s="222" t="s">
        <v>819</v>
      </c>
    </row>
    <row r="146" spans="1:47" s="219" customFormat="1" ht="15" customHeight="1" x14ac:dyDescent="0.25">
      <c r="A146" s="245">
        <f t="shared" si="16"/>
        <v>241</v>
      </c>
      <c r="B146" s="246" t="str">
        <f t="shared" si="17"/>
        <v>Oil Field - Well</v>
      </c>
      <c r="C146" s="246" t="str">
        <f ca="1">IF(B146="","",VLOOKUP(D146,'Species Data'!B:E,4,FALSE))</f>
        <v>M_xylene</v>
      </c>
      <c r="D146" s="246">
        <f t="shared" ca="1" si="18"/>
        <v>524</v>
      </c>
      <c r="E146" s="246">
        <f t="shared" ca="1" si="19"/>
        <v>4.6199999999999998E-2</v>
      </c>
      <c r="F146" s="246" t="str">
        <f t="shared" ca="1" si="20"/>
        <v>M-xylene</v>
      </c>
      <c r="G146" s="246">
        <f t="shared" ca="1" si="21"/>
        <v>106.16500000000001</v>
      </c>
      <c r="H146" s="204">
        <f ca="1">IF(G146="","",IF(VLOOKUP(Well_Head!F146,'Species Data'!D:F,3,FALSE)=0,"X",IF(G146&lt;44.1,2,1)))</f>
        <v>1</v>
      </c>
      <c r="I146" s="204">
        <f t="shared" ca="1" si="22"/>
        <v>0.21376692793735641</v>
      </c>
      <c r="J146" s="247">
        <f ca="1">IF(I146="","",IF(COUNTIF($D$12:D146,D146)=1,IF(H146=1,I146*H146,IF(H146="X","X",0)),0))</f>
        <v>0</v>
      </c>
      <c r="K146" s="248">
        <f t="shared" ca="1" si="23"/>
        <v>0</v>
      </c>
      <c r="L146" s="238" t="s">
        <v>626</v>
      </c>
      <c r="M146" s="212" t="s">
        <v>448</v>
      </c>
      <c r="N146" s="212" t="s">
        <v>470</v>
      </c>
      <c r="O146" s="213">
        <v>41419</v>
      </c>
      <c r="P146" s="212" t="s">
        <v>531</v>
      </c>
      <c r="Q146" s="214">
        <v>100</v>
      </c>
      <c r="R146" s="212" t="s">
        <v>445</v>
      </c>
      <c r="S146" s="212" t="s">
        <v>532</v>
      </c>
      <c r="T146" s="212" t="s">
        <v>445</v>
      </c>
      <c r="U146" s="212" t="s">
        <v>446</v>
      </c>
      <c r="V146" s="214" t="b">
        <v>1</v>
      </c>
      <c r="W146" s="214">
        <v>1989</v>
      </c>
      <c r="X146" s="214">
        <v>5</v>
      </c>
      <c r="Y146" s="214">
        <v>2</v>
      </c>
      <c r="Z146" s="214">
        <v>4</v>
      </c>
      <c r="AA146" s="212" t="s">
        <v>447</v>
      </c>
      <c r="AB146" s="212" t="s">
        <v>531</v>
      </c>
      <c r="AC146" s="212" t="s">
        <v>533</v>
      </c>
      <c r="AD146" s="214">
        <v>5.4219059999999999</v>
      </c>
      <c r="AE146" s="214">
        <v>608</v>
      </c>
      <c r="AF146" s="214">
        <v>7.0400000000000004E-2</v>
      </c>
      <c r="AG146" s="214">
        <v>-99</v>
      </c>
      <c r="AH146" s="212" t="s">
        <v>224</v>
      </c>
      <c r="AI146" s="212" t="s">
        <v>449</v>
      </c>
      <c r="AJ146" s="212" t="s">
        <v>420</v>
      </c>
      <c r="AK146" s="212" t="s">
        <v>531</v>
      </c>
      <c r="AL146" s="212" t="s">
        <v>454</v>
      </c>
      <c r="AM146" s="214" t="b">
        <v>1</v>
      </c>
      <c r="AN146" s="214" t="b">
        <v>0</v>
      </c>
      <c r="AO146" s="212" t="s">
        <v>421</v>
      </c>
      <c r="AP146" s="212" t="s">
        <v>422</v>
      </c>
      <c r="AQ146" s="214">
        <v>120.19158</v>
      </c>
      <c r="AR146" s="214" t="b">
        <v>0</v>
      </c>
      <c r="AS146" s="212" t="s">
        <v>534</v>
      </c>
      <c r="AU146" s="222" t="s">
        <v>819</v>
      </c>
    </row>
    <row r="147" spans="1:47" s="219" customFormat="1" x14ac:dyDescent="0.25">
      <c r="A147" s="245">
        <f t="shared" si="16"/>
        <v>242</v>
      </c>
      <c r="B147" s="246" t="str">
        <f t="shared" si="17"/>
        <v>Oil Field - Well</v>
      </c>
      <c r="C147" s="246" t="str">
        <f ca="1">IF(B147="","",VLOOKUP(D147,'Species Data'!B:E,4,FALSE))</f>
        <v>methane</v>
      </c>
      <c r="D147" s="246">
        <f t="shared" ca="1" si="18"/>
        <v>529</v>
      </c>
      <c r="E147" s="246">
        <f t="shared" ca="1" si="19"/>
        <v>4.4862000000000002</v>
      </c>
      <c r="F147" s="246" t="str">
        <f t="shared" ca="1" si="20"/>
        <v>Methane</v>
      </c>
      <c r="G147" s="246">
        <f t="shared" ca="1" si="21"/>
        <v>16.042459999999998</v>
      </c>
      <c r="H147" s="204">
        <f ca="1">IF(G147="","",IF(VLOOKUP(Well_Head!F147,'Species Data'!D:F,3,FALSE)=0,"X",IF(G147&lt;44.1,2,1)))</f>
        <v>2</v>
      </c>
      <c r="I147" s="204">
        <f t="shared" ca="1" si="22"/>
        <v>36.272299888366533</v>
      </c>
      <c r="J147" s="247">
        <f ca="1">IF(I147="","",IF(COUNTIF($D$12:D147,D147)=1,IF(H147=1,I147*H147,IF(H147="X","X",0)),0))</f>
        <v>0</v>
      </c>
      <c r="K147" s="248">
        <f t="shared" ca="1" si="23"/>
        <v>0</v>
      </c>
      <c r="L147" s="238" t="s">
        <v>626</v>
      </c>
      <c r="M147" s="212" t="s">
        <v>448</v>
      </c>
      <c r="N147" s="212" t="s">
        <v>470</v>
      </c>
      <c r="O147" s="213">
        <v>41419</v>
      </c>
      <c r="P147" s="212" t="s">
        <v>531</v>
      </c>
      <c r="Q147" s="214">
        <v>100</v>
      </c>
      <c r="R147" s="212" t="s">
        <v>445</v>
      </c>
      <c r="S147" s="212" t="s">
        <v>532</v>
      </c>
      <c r="T147" s="212" t="s">
        <v>445</v>
      </c>
      <c r="U147" s="212" t="s">
        <v>446</v>
      </c>
      <c r="V147" s="214" t="b">
        <v>1</v>
      </c>
      <c r="W147" s="214">
        <v>1989</v>
      </c>
      <c r="X147" s="214">
        <v>5</v>
      </c>
      <c r="Y147" s="214">
        <v>2</v>
      </c>
      <c r="Z147" s="214">
        <v>4</v>
      </c>
      <c r="AA147" s="212" t="s">
        <v>447</v>
      </c>
      <c r="AB147" s="212" t="s">
        <v>531</v>
      </c>
      <c r="AC147" s="212" t="s">
        <v>533</v>
      </c>
      <c r="AD147" s="214">
        <v>5.4219059999999999</v>
      </c>
      <c r="AE147" s="214">
        <v>620</v>
      </c>
      <c r="AF147" s="214">
        <v>0.13969999999999999</v>
      </c>
      <c r="AG147" s="214">
        <v>-99</v>
      </c>
      <c r="AH147" s="212" t="s">
        <v>224</v>
      </c>
      <c r="AI147" s="212" t="s">
        <v>449</v>
      </c>
      <c r="AJ147" s="212" t="s">
        <v>354</v>
      </c>
      <c r="AK147" s="212" t="s">
        <v>531</v>
      </c>
      <c r="AL147" s="212" t="s">
        <v>398</v>
      </c>
      <c r="AM147" s="214" t="b">
        <v>1</v>
      </c>
      <c r="AN147" s="214" t="b">
        <v>1</v>
      </c>
      <c r="AO147" s="212" t="s">
        <v>355</v>
      </c>
      <c r="AP147" s="212" t="s">
        <v>356</v>
      </c>
      <c r="AQ147" s="214">
        <v>106.16500000000001</v>
      </c>
      <c r="AR147" s="214" t="b">
        <v>0</v>
      </c>
      <c r="AS147" s="212" t="s">
        <v>534</v>
      </c>
      <c r="AU147" s="222" t="s">
        <v>819</v>
      </c>
    </row>
    <row r="148" spans="1:47" s="219" customFormat="1" ht="15" customHeight="1" x14ac:dyDescent="0.25">
      <c r="A148" s="245">
        <f t="shared" si="16"/>
        <v>243</v>
      </c>
      <c r="B148" s="246" t="str">
        <f t="shared" si="17"/>
        <v>Oil Field - Well</v>
      </c>
      <c r="C148" s="246" t="str">
        <f ca="1">IF(B148="","",VLOOKUP(D148,'Species Data'!B:E,4,FALSE))</f>
        <v>methcychex</v>
      </c>
      <c r="D148" s="246">
        <f t="shared" ca="1" si="18"/>
        <v>550</v>
      </c>
      <c r="E148" s="246">
        <f t="shared" ca="1" si="19"/>
        <v>0.1434</v>
      </c>
      <c r="F148" s="246" t="str">
        <f t="shared" ca="1" si="20"/>
        <v>Methylcyclohexane</v>
      </c>
      <c r="G148" s="246">
        <f t="shared" ca="1" si="21"/>
        <v>98.186059999999998</v>
      </c>
      <c r="H148" s="204">
        <f ca="1">IF(G148="","",IF(VLOOKUP(Well_Head!F148,'Species Data'!D:F,3,FALSE)=0,"X",IF(G148&lt;44.1,2,1)))</f>
        <v>1</v>
      </c>
      <c r="I148" s="204">
        <f t="shared" ca="1" si="22"/>
        <v>0.46704501527724096</v>
      </c>
      <c r="J148" s="247">
        <f ca="1">IF(I148="","",IF(COUNTIF($D$12:D148,D148)=1,IF(H148=1,I148*H148,IF(H148="X","X",0)),0))</f>
        <v>0</v>
      </c>
      <c r="K148" s="248">
        <f t="shared" ca="1" si="23"/>
        <v>0</v>
      </c>
      <c r="L148" s="238" t="s">
        <v>626</v>
      </c>
      <c r="M148" s="212" t="s">
        <v>448</v>
      </c>
      <c r="N148" s="212" t="s">
        <v>470</v>
      </c>
      <c r="O148" s="213">
        <v>41419</v>
      </c>
      <c r="P148" s="212" t="s">
        <v>531</v>
      </c>
      <c r="Q148" s="214">
        <v>100</v>
      </c>
      <c r="R148" s="212" t="s">
        <v>445</v>
      </c>
      <c r="S148" s="212" t="s">
        <v>532</v>
      </c>
      <c r="T148" s="212" t="s">
        <v>445</v>
      </c>
      <c r="U148" s="212" t="s">
        <v>446</v>
      </c>
      <c r="V148" s="214" t="b">
        <v>1</v>
      </c>
      <c r="W148" s="214">
        <v>1989</v>
      </c>
      <c r="X148" s="214">
        <v>5</v>
      </c>
      <c r="Y148" s="214">
        <v>2</v>
      </c>
      <c r="Z148" s="214">
        <v>4</v>
      </c>
      <c r="AA148" s="212" t="s">
        <v>447</v>
      </c>
      <c r="AB148" s="212" t="s">
        <v>531</v>
      </c>
      <c r="AC148" s="212" t="s">
        <v>533</v>
      </c>
      <c r="AD148" s="214">
        <v>5.4219059999999999</v>
      </c>
      <c r="AE148" s="214">
        <v>648</v>
      </c>
      <c r="AF148" s="214">
        <v>1.55E-2</v>
      </c>
      <c r="AG148" s="214">
        <v>-99</v>
      </c>
      <c r="AH148" s="212" t="s">
        <v>224</v>
      </c>
      <c r="AI148" s="212" t="s">
        <v>449</v>
      </c>
      <c r="AJ148" s="212" t="s">
        <v>433</v>
      </c>
      <c r="AK148" s="212" t="s">
        <v>531</v>
      </c>
      <c r="AL148" s="212" t="s">
        <v>459</v>
      </c>
      <c r="AM148" s="214" t="b">
        <v>0</v>
      </c>
      <c r="AN148" s="214" t="b">
        <v>1</v>
      </c>
      <c r="AO148" s="212" t="s">
        <v>434</v>
      </c>
      <c r="AP148" s="212" t="s">
        <v>435</v>
      </c>
      <c r="AQ148" s="214">
        <v>106.16500000000001</v>
      </c>
      <c r="AR148" s="214" t="b">
        <v>0</v>
      </c>
      <c r="AS148" s="212" t="s">
        <v>534</v>
      </c>
      <c r="AU148" s="222" t="s">
        <v>819</v>
      </c>
    </row>
    <row r="149" spans="1:47" s="219" customFormat="1" x14ac:dyDescent="0.25">
      <c r="A149" s="245">
        <f t="shared" si="16"/>
        <v>244</v>
      </c>
      <c r="B149" s="246" t="str">
        <f t="shared" si="17"/>
        <v>Oil Field - Well</v>
      </c>
      <c r="C149" s="246" t="str">
        <f ca="1">IF(B149="","",VLOOKUP(D149,'Species Data'!B:E,4,FALSE))</f>
        <v>methcycpen</v>
      </c>
      <c r="D149" s="246">
        <f t="shared" ca="1" si="18"/>
        <v>551</v>
      </c>
      <c r="E149" s="246">
        <f t="shared" ca="1" si="19"/>
        <v>0.30649999999999999</v>
      </c>
      <c r="F149" s="246" t="str">
        <f t="shared" ca="1" si="20"/>
        <v>Methylcyclopentane</v>
      </c>
      <c r="G149" s="246">
        <f t="shared" ca="1" si="21"/>
        <v>84.159480000000002</v>
      </c>
      <c r="H149" s="204">
        <f ca="1">IF(G149="","",IF(VLOOKUP(Well_Head!F149,'Species Data'!D:F,3,FALSE)=0,"X",IF(G149&lt;44.1,2,1)))</f>
        <v>1</v>
      </c>
      <c r="I149" s="204">
        <f t="shared" ca="1" si="22"/>
        <v>0.80952321163948093</v>
      </c>
      <c r="J149" s="247">
        <f ca="1">IF(I149="","",IF(COUNTIF($D$12:D149,D149)=1,IF(H149=1,I149*H149,IF(H149="X","X",0)),0))</f>
        <v>0</v>
      </c>
      <c r="K149" s="248">
        <f t="shared" ca="1" si="23"/>
        <v>0</v>
      </c>
      <c r="L149" s="238" t="s">
        <v>626</v>
      </c>
      <c r="M149" s="212" t="s">
        <v>448</v>
      </c>
      <c r="N149" s="212" t="s">
        <v>470</v>
      </c>
      <c r="O149" s="213">
        <v>41419</v>
      </c>
      <c r="P149" s="212" t="s">
        <v>531</v>
      </c>
      <c r="Q149" s="214">
        <v>100</v>
      </c>
      <c r="R149" s="212" t="s">
        <v>445</v>
      </c>
      <c r="S149" s="212" t="s">
        <v>532</v>
      </c>
      <c r="T149" s="212" t="s">
        <v>445</v>
      </c>
      <c r="U149" s="212" t="s">
        <v>446</v>
      </c>
      <c r="V149" s="214" t="b">
        <v>1</v>
      </c>
      <c r="W149" s="214">
        <v>1989</v>
      </c>
      <c r="X149" s="214">
        <v>5</v>
      </c>
      <c r="Y149" s="214">
        <v>2</v>
      </c>
      <c r="Z149" s="214">
        <v>4</v>
      </c>
      <c r="AA149" s="212" t="s">
        <v>447</v>
      </c>
      <c r="AB149" s="212" t="s">
        <v>531</v>
      </c>
      <c r="AC149" s="212" t="s">
        <v>533</v>
      </c>
      <c r="AD149" s="214">
        <v>5.4219059999999999</v>
      </c>
      <c r="AE149" s="214">
        <v>671</v>
      </c>
      <c r="AF149" s="214">
        <v>9.5500000000000002E-2</v>
      </c>
      <c r="AG149" s="214">
        <v>-99</v>
      </c>
      <c r="AH149" s="212" t="s">
        <v>224</v>
      </c>
      <c r="AI149" s="212" t="s">
        <v>449</v>
      </c>
      <c r="AJ149" s="212" t="s">
        <v>288</v>
      </c>
      <c r="AK149" s="212" t="s">
        <v>531</v>
      </c>
      <c r="AL149" s="212" t="s">
        <v>382</v>
      </c>
      <c r="AM149" s="214" t="b">
        <v>1</v>
      </c>
      <c r="AN149" s="214" t="b">
        <v>0</v>
      </c>
      <c r="AO149" s="212" t="s">
        <v>289</v>
      </c>
      <c r="AP149" s="212" t="s">
        <v>290</v>
      </c>
      <c r="AQ149" s="214">
        <v>44.095619999999997</v>
      </c>
      <c r="AR149" s="214" t="b">
        <v>0</v>
      </c>
      <c r="AS149" s="212" t="s">
        <v>534</v>
      </c>
      <c r="AU149" s="222" t="s">
        <v>819</v>
      </c>
    </row>
    <row r="150" spans="1:47" s="219" customFormat="1" x14ac:dyDescent="0.25">
      <c r="A150" s="245">
        <f t="shared" si="16"/>
        <v>245</v>
      </c>
      <c r="B150" s="246" t="str">
        <f t="shared" si="17"/>
        <v>Oil Field - Well</v>
      </c>
      <c r="C150" s="246" t="str">
        <f ca="1">IF(B150="","",VLOOKUP(D150,'Species Data'!B:E,4,FALSE))</f>
        <v>N_but</v>
      </c>
      <c r="D150" s="246">
        <f t="shared" ca="1" si="18"/>
        <v>592</v>
      </c>
      <c r="E150" s="246">
        <f t="shared" ca="1" si="19"/>
        <v>0.21390000000000001</v>
      </c>
      <c r="F150" s="246" t="str">
        <f t="shared" ca="1" si="20"/>
        <v>N-butane</v>
      </c>
      <c r="G150" s="246">
        <f t="shared" ca="1" si="21"/>
        <v>58.122199999999992</v>
      </c>
      <c r="H150" s="204">
        <f ca="1">IF(G150="","",IF(VLOOKUP(Well_Head!F150,'Species Data'!D:F,3,FALSE)=0,"X",IF(G150&lt;44.1,2,1)))</f>
        <v>1</v>
      </c>
      <c r="I150" s="204">
        <f t="shared" ca="1" si="22"/>
        <v>6.782997179218774</v>
      </c>
      <c r="J150" s="247">
        <f ca="1">IF(I150="","",IF(COUNTIF($D$12:D150,D150)=1,IF(H150=1,I150*H150,IF(H150="X","X",0)),0))</f>
        <v>0</v>
      </c>
      <c r="K150" s="248">
        <f t="shared" ca="1" si="23"/>
        <v>0</v>
      </c>
      <c r="L150" s="238" t="s">
        <v>626</v>
      </c>
      <c r="M150" s="212" t="s">
        <v>448</v>
      </c>
      <c r="N150" s="212" t="s">
        <v>470</v>
      </c>
      <c r="O150" s="213">
        <v>41419</v>
      </c>
      <c r="P150" s="212" t="s">
        <v>531</v>
      </c>
      <c r="Q150" s="214">
        <v>100</v>
      </c>
      <c r="R150" s="212" t="s">
        <v>445</v>
      </c>
      <c r="S150" s="212" t="s">
        <v>532</v>
      </c>
      <c r="T150" s="212" t="s">
        <v>445</v>
      </c>
      <c r="U150" s="212" t="s">
        <v>446</v>
      </c>
      <c r="V150" s="214" t="b">
        <v>1</v>
      </c>
      <c r="W150" s="214">
        <v>1989</v>
      </c>
      <c r="X150" s="214">
        <v>5</v>
      </c>
      <c r="Y150" s="214">
        <v>2</v>
      </c>
      <c r="Z150" s="214">
        <v>4</v>
      </c>
      <c r="AA150" s="212" t="s">
        <v>447</v>
      </c>
      <c r="AB150" s="212" t="s">
        <v>531</v>
      </c>
      <c r="AC150" s="212" t="s">
        <v>533</v>
      </c>
      <c r="AD150" s="214">
        <v>5.4219059999999999</v>
      </c>
      <c r="AE150" s="214">
        <v>703</v>
      </c>
      <c r="AF150" s="214">
        <v>0.1515</v>
      </c>
      <c r="AG150" s="214">
        <v>-99</v>
      </c>
      <c r="AH150" s="212" t="s">
        <v>224</v>
      </c>
      <c r="AI150" s="212" t="s">
        <v>449</v>
      </c>
      <c r="AJ150" s="212" t="s">
        <v>423</v>
      </c>
      <c r="AK150" s="212" t="s">
        <v>531</v>
      </c>
      <c r="AL150" s="212" t="s">
        <v>455</v>
      </c>
      <c r="AM150" s="214" t="b">
        <v>0</v>
      </c>
      <c r="AN150" s="214" t="b">
        <v>0</v>
      </c>
      <c r="AO150" s="212" t="s">
        <v>424</v>
      </c>
      <c r="AP150" s="212" t="s">
        <v>531</v>
      </c>
      <c r="AQ150" s="214">
        <v>134.21816000000001</v>
      </c>
      <c r="AR150" s="214" t="b">
        <v>0</v>
      </c>
      <c r="AS150" s="212" t="s">
        <v>534</v>
      </c>
      <c r="AU150" s="222" t="s">
        <v>819</v>
      </c>
    </row>
    <row r="151" spans="1:47" s="219" customFormat="1" x14ac:dyDescent="0.25">
      <c r="A151" s="245">
        <f t="shared" si="16"/>
        <v>246</v>
      </c>
      <c r="B151" s="246" t="str">
        <f t="shared" si="17"/>
        <v>Oil Field - Well</v>
      </c>
      <c r="C151" s="246" t="str">
        <f ca="1">IF(B151="","",VLOOKUP(D151,'Species Data'!B:E,4,FALSE))</f>
        <v>N_dec</v>
      </c>
      <c r="D151" s="246">
        <f t="shared" ca="1" si="18"/>
        <v>598</v>
      </c>
      <c r="E151" s="246">
        <f t="shared" ca="1" si="19"/>
        <v>0.38240000000000002</v>
      </c>
      <c r="F151" s="246" t="str">
        <f t="shared" ca="1" si="20"/>
        <v>N-decane</v>
      </c>
      <c r="G151" s="246">
        <f t="shared" ca="1" si="21"/>
        <v>142.28167999999999</v>
      </c>
      <c r="H151" s="204">
        <f ca="1">IF(G151="","",IF(VLOOKUP(Well_Head!F151,'Species Data'!D:F,3,FALSE)=0,"X",IF(G151&lt;44.1,2,1)))</f>
        <v>1</v>
      </c>
      <c r="I151" s="204">
        <f t="shared" ca="1" si="22"/>
        <v>7.7733428340856864E-2</v>
      </c>
      <c r="J151" s="247">
        <f ca="1">IF(I151="","",IF(COUNTIF($D$12:D151,D151)=1,IF(H151=1,I151*H151,IF(H151="X","X",0)),0))</f>
        <v>0</v>
      </c>
      <c r="K151" s="248">
        <f t="shared" ca="1" si="23"/>
        <v>0</v>
      </c>
      <c r="L151" s="238" t="s">
        <v>626</v>
      </c>
      <c r="M151" s="212" t="s">
        <v>448</v>
      </c>
      <c r="N151" s="212" t="s">
        <v>470</v>
      </c>
      <c r="O151" s="213">
        <v>41419</v>
      </c>
      <c r="P151" s="212" t="s">
        <v>531</v>
      </c>
      <c r="Q151" s="214">
        <v>100</v>
      </c>
      <c r="R151" s="212" t="s">
        <v>445</v>
      </c>
      <c r="S151" s="212" t="s">
        <v>532</v>
      </c>
      <c r="T151" s="212" t="s">
        <v>445</v>
      </c>
      <c r="U151" s="212" t="s">
        <v>446</v>
      </c>
      <c r="V151" s="214" t="b">
        <v>1</v>
      </c>
      <c r="W151" s="214">
        <v>1989</v>
      </c>
      <c r="X151" s="214">
        <v>5</v>
      </c>
      <c r="Y151" s="214">
        <v>2</v>
      </c>
      <c r="Z151" s="214">
        <v>4</v>
      </c>
      <c r="AA151" s="212" t="s">
        <v>447</v>
      </c>
      <c r="AB151" s="212" t="s">
        <v>531</v>
      </c>
      <c r="AC151" s="212" t="s">
        <v>533</v>
      </c>
      <c r="AD151" s="214">
        <v>5.4219059999999999</v>
      </c>
      <c r="AE151" s="214">
        <v>717</v>
      </c>
      <c r="AF151" s="214">
        <v>0.08</v>
      </c>
      <c r="AG151" s="214">
        <v>-99</v>
      </c>
      <c r="AH151" s="212" t="s">
        <v>224</v>
      </c>
      <c r="AI151" s="212" t="s">
        <v>449</v>
      </c>
      <c r="AJ151" s="212" t="s">
        <v>294</v>
      </c>
      <c r="AK151" s="212" t="s">
        <v>531</v>
      </c>
      <c r="AL151" s="212" t="s">
        <v>383</v>
      </c>
      <c r="AM151" s="214" t="b">
        <v>1</v>
      </c>
      <c r="AN151" s="214" t="b">
        <v>1</v>
      </c>
      <c r="AO151" s="212" t="s">
        <v>295</v>
      </c>
      <c r="AP151" s="212" t="s">
        <v>296</v>
      </c>
      <c r="AQ151" s="214">
        <v>92.138419999999996</v>
      </c>
      <c r="AR151" s="214" t="b">
        <v>0</v>
      </c>
      <c r="AS151" s="212" t="s">
        <v>534</v>
      </c>
      <c r="AU151" s="222" t="s">
        <v>819</v>
      </c>
    </row>
    <row r="152" spans="1:47" s="219" customFormat="1" ht="15" customHeight="1" x14ac:dyDescent="0.25">
      <c r="A152" s="245">
        <f t="shared" si="16"/>
        <v>247</v>
      </c>
      <c r="B152" s="246" t="str">
        <f t="shared" si="17"/>
        <v>Oil Field - Well</v>
      </c>
      <c r="C152" s="246" t="str">
        <f ca="1">IF(B152="","",VLOOKUP(D152,'Species Data'!B:E,4,FALSE))</f>
        <v>N_hex</v>
      </c>
      <c r="D152" s="246">
        <f t="shared" ca="1" si="18"/>
        <v>601</v>
      </c>
      <c r="E152" s="246">
        <f t="shared" ca="1" si="19"/>
        <v>3.6999999999999998E-2</v>
      </c>
      <c r="F152" s="246" t="str">
        <f t="shared" ca="1" si="20"/>
        <v>N-hexane</v>
      </c>
      <c r="G152" s="246">
        <f t="shared" ca="1" si="21"/>
        <v>86.175359999999998</v>
      </c>
      <c r="H152" s="204">
        <f ca="1">IF(G152="","",IF(VLOOKUP(Well_Head!F152,'Species Data'!D:F,3,FALSE)=0,"X",IF(G152&lt;44.1,2,1)))</f>
        <v>1</v>
      </c>
      <c r="I152" s="204">
        <f t="shared" ca="1" si="22"/>
        <v>0.89334553631121094</v>
      </c>
      <c r="J152" s="247">
        <f ca="1">IF(I152="","",IF(COUNTIF($D$12:D152,D152)=1,IF(H152=1,I152*H152,IF(H152="X","X",0)),0))</f>
        <v>0</v>
      </c>
      <c r="K152" s="248">
        <f t="shared" ca="1" si="23"/>
        <v>0</v>
      </c>
      <c r="L152" s="238" t="s">
        <v>626</v>
      </c>
      <c r="M152" s="212" t="s">
        <v>448</v>
      </c>
      <c r="N152" s="212" t="s">
        <v>470</v>
      </c>
      <c r="O152" s="213">
        <v>41419</v>
      </c>
      <c r="P152" s="212" t="s">
        <v>531</v>
      </c>
      <c r="Q152" s="214">
        <v>100</v>
      </c>
      <c r="R152" s="212" t="s">
        <v>445</v>
      </c>
      <c r="S152" s="212" t="s">
        <v>532</v>
      </c>
      <c r="T152" s="212" t="s">
        <v>445</v>
      </c>
      <c r="U152" s="212" t="s">
        <v>446</v>
      </c>
      <c r="V152" s="214" t="b">
        <v>1</v>
      </c>
      <c r="W152" s="214">
        <v>1989</v>
      </c>
      <c r="X152" s="214">
        <v>5</v>
      </c>
      <c r="Y152" s="214">
        <v>2</v>
      </c>
      <c r="Z152" s="214">
        <v>4</v>
      </c>
      <c r="AA152" s="212" t="s">
        <v>447</v>
      </c>
      <c r="AB152" s="212" t="s">
        <v>531</v>
      </c>
      <c r="AC152" s="212" t="s">
        <v>533</v>
      </c>
      <c r="AD152" s="214">
        <v>5.4219059999999999</v>
      </c>
      <c r="AE152" s="214">
        <v>981</v>
      </c>
      <c r="AF152" s="214">
        <v>2.7300000000000001E-2</v>
      </c>
      <c r="AG152" s="214">
        <v>-99</v>
      </c>
      <c r="AH152" s="212" t="s">
        <v>224</v>
      </c>
      <c r="AI152" s="212" t="s">
        <v>449</v>
      </c>
      <c r="AJ152" s="212" t="s">
        <v>645</v>
      </c>
      <c r="AK152" s="212" t="s">
        <v>531</v>
      </c>
      <c r="AL152" s="212" t="s">
        <v>531</v>
      </c>
      <c r="AM152" s="214" t="b">
        <v>0</v>
      </c>
      <c r="AN152" s="214" t="b">
        <v>0</v>
      </c>
      <c r="AO152" s="212" t="s">
        <v>646</v>
      </c>
      <c r="AP152" s="212" t="s">
        <v>647</v>
      </c>
      <c r="AQ152" s="214">
        <v>134.21816000000001</v>
      </c>
      <c r="AR152" s="214" t="b">
        <v>0</v>
      </c>
      <c r="AS152" s="212" t="s">
        <v>534</v>
      </c>
      <c r="AU152" s="222" t="s">
        <v>819</v>
      </c>
    </row>
    <row r="153" spans="1:47" s="219" customFormat="1" x14ac:dyDescent="0.25">
      <c r="A153" s="245">
        <f t="shared" si="16"/>
        <v>248</v>
      </c>
      <c r="B153" s="246" t="str">
        <f t="shared" si="17"/>
        <v>Oil Field - Well</v>
      </c>
      <c r="C153" s="246" t="str">
        <f ca="1">IF(B153="","",VLOOKUP(D153,'Species Data'!B:E,4,FALSE))</f>
        <v>N_nonane</v>
      </c>
      <c r="D153" s="246">
        <f t="shared" ca="1" si="18"/>
        <v>603</v>
      </c>
      <c r="E153" s="246">
        <f t="shared" ca="1" si="19"/>
        <v>0.74329999999999996</v>
      </c>
      <c r="F153" s="246" t="str">
        <f t="shared" ca="1" si="20"/>
        <v>N-nonane</v>
      </c>
      <c r="G153" s="246">
        <f t="shared" ca="1" si="21"/>
        <v>128.2551</v>
      </c>
      <c r="H153" s="204">
        <f ca="1">IF(G153="","",IF(VLOOKUP(Well_Head!F153,'Species Data'!D:F,3,FALSE)=0,"X",IF(G153&lt;44.1,2,1)))</f>
        <v>1</v>
      </c>
      <c r="I153" s="204">
        <f t="shared" ca="1" si="22"/>
        <v>0.35487821151781407</v>
      </c>
      <c r="J153" s="247">
        <f ca="1">IF(I153="","",IF(COUNTIF($D$12:D153,D153)=1,IF(H153=1,I153*H153,IF(H153="X","X",0)),0))</f>
        <v>0</v>
      </c>
      <c r="K153" s="248">
        <f t="shared" ca="1" si="23"/>
        <v>0</v>
      </c>
      <c r="L153" s="238" t="s">
        <v>626</v>
      </c>
      <c r="M153" s="212" t="s">
        <v>448</v>
      </c>
      <c r="N153" s="212" t="s">
        <v>470</v>
      </c>
      <c r="O153" s="213">
        <v>41419</v>
      </c>
      <c r="P153" s="212" t="s">
        <v>531</v>
      </c>
      <c r="Q153" s="214">
        <v>100</v>
      </c>
      <c r="R153" s="212" t="s">
        <v>445</v>
      </c>
      <c r="S153" s="212" t="s">
        <v>532</v>
      </c>
      <c r="T153" s="212" t="s">
        <v>445</v>
      </c>
      <c r="U153" s="212" t="s">
        <v>446</v>
      </c>
      <c r="V153" s="214" t="b">
        <v>1</v>
      </c>
      <c r="W153" s="214">
        <v>1989</v>
      </c>
      <c r="X153" s="214">
        <v>5</v>
      </c>
      <c r="Y153" s="214">
        <v>2</v>
      </c>
      <c r="Z153" s="214">
        <v>4</v>
      </c>
      <c r="AA153" s="212" t="s">
        <v>447</v>
      </c>
      <c r="AB153" s="212" t="s">
        <v>531</v>
      </c>
      <c r="AC153" s="212" t="s">
        <v>533</v>
      </c>
      <c r="AD153" s="214">
        <v>5.4219059999999999</v>
      </c>
      <c r="AE153" s="214">
        <v>1924</v>
      </c>
      <c r="AF153" s="214">
        <v>1.8284</v>
      </c>
      <c r="AG153" s="214">
        <v>-99</v>
      </c>
      <c r="AH153" s="212" t="s">
        <v>224</v>
      </c>
      <c r="AI153" s="212" t="s">
        <v>449</v>
      </c>
      <c r="AJ153" s="212" t="s">
        <v>224</v>
      </c>
      <c r="AK153" s="212" t="s">
        <v>531</v>
      </c>
      <c r="AL153" s="212" t="s">
        <v>466</v>
      </c>
      <c r="AM153" s="214" t="b">
        <v>0</v>
      </c>
      <c r="AN153" s="214" t="b">
        <v>0</v>
      </c>
      <c r="AO153" s="212" t="s">
        <v>535</v>
      </c>
      <c r="AP153" s="212" t="s">
        <v>536</v>
      </c>
      <c r="AQ153" s="214">
        <v>142.28167999999999</v>
      </c>
      <c r="AR153" s="214" t="b">
        <v>0</v>
      </c>
      <c r="AS153" s="212" t="s">
        <v>534</v>
      </c>
      <c r="AU153" s="222" t="s">
        <v>819</v>
      </c>
    </row>
    <row r="154" spans="1:47" s="219" customFormat="1" ht="15" customHeight="1" x14ac:dyDescent="0.25">
      <c r="A154" s="245">
        <f t="shared" si="16"/>
        <v>249</v>
      </c>
      <c r="B154" s="246" t="str">
        <f t="shared" si="17"/>
        <v>Oil Field - Well</v>
      </c>
      <c r="C154" s="246" t="str">
        <f ca="1">IF(B154="","",VLOOKUP(D154,'Species Data'!B:E,4,FALSE))</f>
        <v>N_octane</v>
      </c>
      <c r="D154" s="246">
        <f t="shared" ca="1" si="18"/>
        <v>604</v>
      </c>
      <c r="E154" s="246">
        <f t="shared" ca="1" si="19"/>
        <v>1.2543</v>
      </c>
      <c r="F154" s="246" t="str">
        <f t="shared" ca="1" si="20"/>
        <v>N-octane</v>
      </c>
      <c r="G154" s="246">
        <f t="shared" ca="1" si="21"/>
        <v>114.22852</v>
      </c>
      <c r="H154" s="204">
        <f ca="1">IF(G154="","",IF(VLOOKUP(Well_Head!F154,'Species Data'!D:F,3,FALSE)=0,"X",IF(G154&lt;44.1,2,1)))</f>
        <v>1</v>
      </c>
      <c r="I154" s="204">
        <f t="shared" ca="1" si="22"/>
        <v>0.67063415299729812</v>
      </c>
      <c r="J154" s="247">
        <f ca="1">IF(I154="","",IF(COUNTIF($D$12:D154,D154)=1,IF(H154=1,I154*H154,IF(H154="X","X",0)),0))</f>
        <v>0</v>
      </c>
      <c r="K154" s="248">
        <f t="shared" ca="1" si="23"/>
        <v>0</v>
      </c>
      <c r="L154" s="238" t="s">
        <v>626</v>
      </c>
      <c r="M154" s="212" t="s">
        <v>448</v>
      </c>
      <c r="N154" s="212" t="s">
        <v>470</v>
      </c>
      <c r="O154" s="213">
        <v>41419</v>
      </c>
      <c r="P154" s="212" t="s">
        <v>531</v>
      </c>
      <c r="Q154" s="214">
        <v>100</v>
      </c>
      <c r="R154" s="212" t="s">
        <v>445</v>
      </c>
      <c r="S154" s="212" t="s">
        <v>532</v>
      </c>
      <c r="T154" s="212" t="s">
        <v>445</v>
      </c>
      <c r="U154" s="212" t="s">
        <v>446</v>
      </c>
      <c r="V154" s="214" t="b">
        <v>1</v>
      </c>
      <c r="W154" s="214">
        <v>1989</v>
      </c>
      <c r="X154" s="214">
        <v>5</v>
      </c>
      <c r="Y154" s="214">
        <v>2</v>
      </c>
      <c r="Z154" s="214">
        <v>4</v>
      </c>
      <c r="AA154" s="212" t="s">
        <v>447</v>
      </c>
      <c r="AB154" s="212" t="s">
        <v>531</v>
      </c>
      <c r="AC154" s="212" t="s">
        <v>533</v>
      </c>
      <c r="AD154" s="214">
        <v>5.4219059999999999</v>
      </c>
      <c r="AE154" s="214">
        <v>1929</v>
      </c>
      <c r="AF154" s="214">
        <v>7.51E-2</v>
      </c>
      <c r="AG154" s="214">
        <v>-99</v>
      </c>
      <c r="AH154" s="212" t="s">
        <v>224</v>
      </c>
      <c r="AI154" s="212" t="s">
        <v>449</v>
      </c>
      <c r="AJ154" s="212" t="s">
        <v>224</v>
      </c>
      <c r="AK154" s="212" t="s">
        <v>531</v>
      </c>
      <c r="AL154" s="212" t="s">
        <v>467</v>
      </c>
      <c r="AM154" s="214" t="b">
        <v>0</v>
      </c>
      <c r="AN154" s="214" t="b">
        <v>0</v>
      </c>
      <c r="AO154" s="212" t="s">
        <v>468</v>
      </c>
      <c r="AP154" s="212" t="s">
        <v>469</v>
      </c>
      <c r="AQ154" s="214">
        <v>156.30826000000002</v>
      </c>
      <c r="AR154" s="214" t="b">
        <v>0</v>
      </c>
      <c r="AS154" s="212" t="s">
        <v>534</v>
      </c>
      <c r="AU154" s="222" t="s">
        <v>819</v>
      </c>
    </row>
    <row r="155" spans="1:47" s="219" customFormat="1" x14ac:dyDescent="0.25">
      <c r="A155" s="245">
        <f t="shared" si="16"/>
        <v>250</v>
      </c>
      <c r="B155" s="246" t="str">
        <f t="shared" si="17"/>
        <v>Oil Field - Well</v>
      </c>
      <c r="C155" s="246" t="str">
        <f ca="1">IF(B155="","",VLOOKUP(D155,'Species Data'!B:E,4,FALSE))</f>
        <v>N_pentane</v>
      </c>
      <c r="D155" s="246">
        <f t="shared" ca="1" si="18"/>
        <v>605</v>
      </c>
      <c r="E155" s="246">
        <f t="shared" ca="1" si="19"/>
        <v>6.9599999999999995E-2</v>
      </c>
      <c r="F155" s="246" t="str">
        <f t="shared" ca="1" si="20"/>
        <v>N-pentane</v>
      </c>
      <c r="G155" s="246">
        <f t="shared" ca="1" si="21"/>
        <v>72.148780000000002</v>
      </c>
      <c r="H155" s="204">
        <f ca="1">IF(G155="","",IF(VLOOKUP(Well_Head!F155,'Species Data'!D:F,3,FALSE)=0,"X",IF(G155&lt;44.1,2,1)))</f>
        <v>1</v>
      </c>
      <c r="I155" s="204">
        <f t="shared" ca="1" si="22"/>
        <v>2.2200360467107241</v>
      </c>
      <c r="J155" s="247">
        <f ca="1">IF(I155="","",IF(COUNTIF($D$12:D155,D155)=1,IF(H155=1,I155*H155,IF(H155="X","X",0)),0))</f>
        <v>0</v>
      </c>
      <c r="K155" s="248">
        <f t="shared" ca="1" si="23"/>
        <v>0</v>
      </c>
      <c r="L155" s="238" t="s">
        <v>626</v>
      </c>
      <c r="M155" s="212" t="s">
        <v>448</v>
      </c>
      <c r="N155" s="212" t="s">
        <v>470</v>
      </c>
      <c r="O155" s="213">
        <v>41419</v>
      </c>
      <c r="P155" s="212" t="s">
        <v>531</v>
      </c>
      <c r="Q155" s="214">
        <v>100</v>
      </c>
      <c r="R155" s="212" t="s">
        <v>445</v>
      </c>
      <c r="S155" s="212" t="s">
        <v>532</v>
      </c>
      <c r="T155" s="212" t="s">
        <v>445</v>
      </c>
      <c r="U155" s="212" t="s">
        <v>446</v>
      </c>
      <c r="V155" s="214" t="b">
        <v>1</v>
      </c>
      <c r="W155" s="214">
        <v>1989</v>
      </c>
      <c r="X155" s="214">
        <v>5</v>
      </c>
      <c r="Y155" s="214">
        <v>2</v>
      </c>
      <c r="Z155" s="214">
        <v>4</v>
      </c>
      <c r="AA155" s="212" t="s">
        <v>447</v>
      </c>
      <c r="AB155" s="212" t="s">
        <v>531</v>
      </c>
      <c r="AC155" s="212" t="s">
        <v>533</v>
      </c>
      <c r="AD155" s="214">
        <v>5.4219059999999999</v>
      </c>
      <c r="AE155" s="214">
        <v>1999</v>
      </c>
      <c r="AF155" s="214">
        <v>0.66169999999999995</v>
      </c>
      <c r="AG155" s="214">
        <v>-99</v>
      </c>
      <c r="AH155" s="212" t="s">
        <v>224</v>
      </c>
      <c r="AI155" s="212" t="s">
        <v>449</v>
      </c>
      <c r="AJ155" s="212" t="s">
        <v>224</v>
      </c>
      <c r="AK155" s="212" t="s">
        <v>531</v>
      </c>
      <c r="AL155" s="212" t="s">
        <v>540</v>
      </c>
      <c r="AM155" s="214" t="b">
        <v>0</v>
      </c>
      <c r="AN155" s="214" t="b">
        <v>0</v>
      </c>
      <c r="AO155" s="212" t="s">
        <v>541</v>
      </c>
      <c r="AP155" s="212" t="s">
        <v>542</v>
      </c>
      <c r="AQ155" s="214">
        <v>86.175359999999998</v>
      </c>
      <c r="AR155" s="214" t="b">
        <v>0</v>
      </c>
      <c r="AS155" s="212" t="s">
        <v>534</v>
      </c>
      <c r="AU155" s="222" t="s">
        <v>819</v>
      </c>
    </row>
    <row r="156" spans="1:47" s="219" customFormat="1" x14ac:dyDescent="0.25">
      <c r="A156" s="245">
        <f t="shared" si="16"/>
        <v>251</v>
      </c>
      <c r="B156" s="246" t="str">
        <f t="shared" si="17"/>
        <v>Oil Field - Well</v>
      </c>
      <c r="C156" s="246" t="str">
        <f ca="1">IF(B156="","",VLOOKUP(D156,'Species Data'!B:E,4,FALSE))</f>
        <v>N_proben</v>
      </c>
      <c r="D156" s="246">
        <f t="shared" ca="1" si="18"/>
        <v>608</v>
      </c>
      <c r="E156" s="246">
        <f t="shared" ca="1" si="19"/>
        <v>0.51190000000000002</v>
      </c>
      <c r="F156" s="246" t="str">
        <f t="shared" ca="1" si="20"/>
        <v>N-propylbenzene</v>
      </c>
      <c r="G156" s="246">
        <f t="shared" ca="1" si="21"/>
        <v>120.19158</v>
      </c>
      <c r="H156" s="204">
        <f ca="1">IF(G156="","",IF(VLOOKUP(Well_Head!F156,'Species Data'!D:F,3,FALSE)=0,"X",IF(G156&lt;44.1,2,1)))</f>
        <v>1</v>
      </c>
      <c r="I156" s="204">
        <f t="shared" ca="1" si="22"/>
        <v>0.16350019983357761</v>
      </c>
      <c r="J156" s="247">
        <f ca="1">IF(I156="","",IF(COUNTIF($D$12:D156,D156)=1,IF(H156=1,I156*H156,IF(H156="X","X",0)),0))</f>
        <v>0</v>
      </c>
      <c r="K156" s="248">
        <f t="shared" ca="1" si="23"/>
        <v>0</v>
      </c>
      <c r="L156" s="238" t="s">
        <v>626</v>
      </c>
      <c r="M156" s="212" t="s">
        <v>448</v>
      </c>
      <c r="N156" s="212" t="s">
        <v>470</v>
      </c>
      <c r="O156" s="213">
        <v>41419</v>
      </c>
      <c r="P156" s="212" t="s">
        <v>531</v>
      </c>
      <c r="Q156" s="214">
        <v>100</v>
      </c>
      <c r="R156" s="212" t="s">
        <v>445</v>
      </c>
      <c r="S156" s="212" t="s">
        <v>532</v>
      </c>
      <c r="T156" s="212" t="s">
        <v>445</v>
      </c>
      <c r="U156" s="212" t="s">
        <v>446</v>
      </c>
      <c r="V156" s="214" t="b">
        <v>1</v>
      </c>
      <c r="W156" s="214">
        <v>1989</v>
      </c>
      <c r="X156" s="214">
        <v>5</v>
      </c>
      <c r="Y156" s="214">
        <v>2</v>
      </c>
      <c r="Z156" s="214">
        <v>4</v>
      </c>
      <c r="AA156" s="212" t="s">
        <v>447</v>
      </c>
      <c r="AB156" s="212" t="s">
        <v>531</v>
      </c>
      <c r="AC156" s="212" t="s">
        <v>533</v>
      </c>
      <c r="AD156" s="214">
        <v>5.4219059999999999</v>
      </c>
      <c r="AE156" s="214">
        <v>2005</v>
      </c>
      <c r="AF156" s="214">
        <v>2.7837000000000001</v>
      </c>
      <c r="AG156" s="214">
        <v>-99</v>
      </c>
      <c r="AH156" s="212" t="s">
        <v>224</v>
      </c>
      <c r="AI156" s="212" t="s">
        <v>449</v>
      </c>
      <c r="AJ156" s="212" t="s">
        <v>224</v>
      </c>
      <c r="AK156" s="212" t="s">
        <v>531</v>
      </c>
      <c r="AL156" s="212" t="s">
        <v>543</v>
      </c>
      <c r="AM156" s="214" t="b">
        <v>0</v>
      </c>
      <c r="AN156" s="214" t="b">
        <v>0</v>
      </c>
      <c r="AO156" s="212" t="s">
        <v>544</v>
      </c>
      <c r="AP156" s="212" t="s">
        <v>545</v>
      </c>
      <c r="AQ156" s="214">
        <v>100.20194000000001</v>
      </c>
      <c r="AR156" s="214" t="b">
        <v>0</v>
      </c>
      <c r="AS156" s="212" t="s">
        <v>534</v>
      </c>
      <c r="AU156" s="222" t="s">
        <v>819</v>
      </c>
    </row>
    <row r="157" spans="1:47" s="219" customFormat="1" x14ac:dyDescent="0.25">
      <c r="A157" s="245">
        <f t="shared" si="16"/>
        <v>252</v>
      </c>
      <c r="B157" s="246" t="str">
        <f t="shared" si="17"/>
        <v>Oil Field - Well</v>
      </c>
      <c r="C157" s="246" t="str">
        <f ca="1">IF(B157="","",VLOOKUP(D157,'Species Data'!B:E,4,FALSE))</f>
        <v>N_und</v>
      </c>
      <c r="D157" s="246">
        <f t="shared" ca="1" si="18"/>
        <v>610</v>
      </c>
      <c r="E157" s="246">
        <f t="shared" ca="1" si="19"/>
        <v>8.8999999999999999E-3</v>
      </c>
      <c r="F157" s="246" t="str">
        <f t="shared" ca="1" si="20"/>
        <v>N-undecane</v>
      </c>
      <c r="G157" s="246">
        <f t="shared" ca="1" si="21"/>
        <v>156.30826000000002</v>
      </c>
      <c r="H157" s="204">
        <f ca="1">IF(G157="","",IF(VLOOKUP(Well_Head!F157,'Species Data'!D:F,3,FALSE)=0,"X",IF(G157&lt;44.1,2,1)))</f>
        <v>1</v>
      </c>
      <c r="I157" s="204">
        <f t="shared" ca="1" si="22"/>
        <v>0.14906684885948196</v>
      </c>
      <c r="J157" s="247">
        <f ca="1">IF(I157="","",IF(COUNTIF($D$12:D157,D157)=1,IF(H157=1,I157*H157,IF(H157="X","X",0)),0))</f>
        <v>0</v>
      </c>
      <c r="K157" s="248">
        <f t="shared" ca="1" si="23"/>
        <v>0</v>
      </c>
      <c r="L157" s="238" t="s">
        <v>626</v>
      </c>
      <c r="M157" s="212" t="s">
        <v>448</v>
      </c>
      <c r="N157" s="212" t="s">
        <v>470</v>
      </c>
      <c r="O157" s="213">
        <v>41419</v>
      </c>
      <c r="P157" s="212" t="s">
        <v>531</v>
      </c>
      <c r="Q157" s="214">
        <v>100</v>
      </c>
      <c r="R157" s="212" t="s">
        <v>445</v>
      </c>
      <c r="S157" s="212" t="s">
        <v>532</v>
      </c>
      <c r="T157" s="212" t="s">
        <v>445</v>
      </c>
      <c r="U157" s="212" t="s">
        <v>446</v>
      </c>
      <c r="V157" s="214" t="b">
        <v>1</v>
      </c>
      <c r="W157" s="214">
        <v>1989</v>
      </c>
      <c r="X157" s="214">
        <v>5</v>
      </c>
      <c r="Y157" s="214">
        <v>2</v>
      </c>
      <c r="Z157" s="214">
        <v>4</v>
      </c>
      <c r="AA157" s="212" t="s">
        <v>447</v>
      </c>
      <c r="AB157" s="212" t="s">
        <v>531</v>
      </c>
      <c r="AC157" s="212" t="s">
        <v>533</v>
      </c>
      <c r="AD157" s="214">
        <v>5.4219059999999999</v>
      </c>
      <c r="AE157" s="214">
        <v>2011</v>
      </c>
      <c r="AF157" s="214">
        <v>3.1244000000000001</v>
      </c>
      <c r="AG157" s="214">
        <v>-99</v>
      </c>
      <c r="AH157" s="212" t="s">
        <v>224</v>
      </c>
      <c r="AI157" s="212" t="s">
        <v>449</v>
      </c>
      <c r="AJ157" s="212" t="s">
        <v>224</v>
      </c>
      <c r="AK157" s="212" t="s">
        <v>531</v>
      </c>
      <c r="AL157" s="212" t="s">
        <v>546</v>
      </c>
      <c r="AM157" s="214" t="b">
        <v>0</v>
      </c>
      <c r="AN157" s="214" t="b">
        <v>0</v>
      </c>
      <c r="AO157" s="212" t="s">
        <v>547</v>
      </c>
      <c r="AP157" s="212" t="s">
        <v>548</v>
      </c>
      <c r="AQ157" s="214">
        <v>113.21160686946486</v>
      </c>
      <c r="AR157" s="214" t="b">
        <v>0</v>
      </c>
      <c r="AS157" s="212" t="s">
        <v>534</v>
      </c>
      <c r="AU157" s="222" t="s">
        <v>819</v>
      </c>
    </row>
    <row r="158" spans="1:47" s="219" customFormat="1" x14ac:dyDescent="0.25">
      <c r="A158" s="245">
        <f t="shared" si="16"/>
        <v>253</v>
      </c>
      <c r="B158" s="246" t="str">
        <f t="shared" si="17"/>
        <v>Oil Field - Well</v>
      </c>
      <c r="C158" s="246" t="str">
        <f ca="1">IF(B158="","",VLOOKUP(D158,'Species Data'!B:E,4,FALSE))</f>
        <v>O_xylene</v>
      </c>
      <c r="D158" s="246">
        <f t="shared" ca="1" si="18"/>
        <v>620</v>
      </c>
      <c r="E158" s="246">
        <f t="shared" ca="1" si="19"/>
        <v>0.86409999999999998</v>
      </c>
      <c r="F158" s="246" t="str">
        <f t="shared" ca="1" si="20"/>
        <v>O-xylene</v>
      </c>
      <c r="G158" s="246">
        <f t="shared" ca="1" si="21"/>
        <v>106.16500000000001</v>
      </c>
      <c r="H158" s="204">
        <f ca="1">IF(G158="","",IF(VLOOKUP(Well_Head!F158,'Species Data'!D:F,3,FALSE)=0,"X",IF(G158&lt;44.1,2,1)))</f>
        <v>1</v>
      </c>
      <c r="I158" s="204">
        <f t="shared" ca="1" si="22"/>
        <v>0.25780031508927398</v>
      </c>
      <c r="J158" s="247">
        <f ca="1">IF(I158="","",IF(COUNTIF($D$12:D158,D158)=1,IF(H158=1,I158*H158,IF(H158="X","X",0)),0))</f>
        <v>0</v>
      </c>
      <c r="K158" s="248">
        <f t="shared" ca="1" si="23"/>
        <v>0</v>
      </c>
      <c r="L158" s="238" t="s">
        <v>626</v>
      </c>
      <c r="M158" s="212" t="s">
        <v>448</v>
      </c>
      <c r="N158" s="212" t="s">
        <v>470</v>
      </c>
      <c r="O158" s="213">
        <v>41419</v>
      </c>
      <c r="P158" s="212" t="s">
        <v>531</v>
      </c>
      <c r="Q158" s="214">
        <v>100</v>
      </c>
      <c r="R158" s="212" t="s">
        <v>445</v>
      </c>
      <c r="S158" s="212" t="s">
        <v>532</v>
      </c>
      <c r="T158" s="212" t="s">
        <v>445</v>
      </c>
      <c r="U158" s="212" t="s">
        <v>446</v>
      </c>
      <c r="V158" s="214" t="b">
        <v>1</v>
      </c>
      <c r="W158" s="214">
        <v>1989</v>
      </c>
      <c r="X158" s="214">
        <v>5</v>
      </c>
      <c r="Y158" s="214">
        <v>2</v>
      </c>
      <c r="Z158" s="214">
        <v>4</v>
      </c>
      <c r="AA158" s="212" t="s">
        <v>447</v>
      </c>
      <c r="AB158" s="212" t="s">
        <v>531</v>
      </c>
      <c r="AC158" s="212" t="s">
        <v>533</v>
      </c>
      <c r="AD158" s="214">
        <v>5.4219059999999999</v>
      </c>
      <c r="AE158" s="214">
        <v>2018</v>
      </c>
      <c r="AF158" s="214">
        <v>2.7101000000000002</v>
      </c>
      <c r="AG158" s="214">
        <v>-99</v>
      </c>
      <c r="AH158" s="212" t="s">
        <v>224</v>
      </c>
      <c r="AI158" s="212" t="s">
        <v>449</v>
      </c>
      <c r="AJ158" s="212" t="s">
        <v>224</v>
      </c>
      <c r="AK158" s="212" t="s">
        <v>531</v>
      </c>
      <c r="AL158" s="212" t="s">
        <v>464</v>
      </c>
      <c r="AM158" s="214" t="b">
        <v>0</v>
      </c>
      <c r="AN158" s="214" t="b">
        <v>0</v>
      </c>
      <c r="AO158" s="212" t="s">
        <v>549</v>
      </c>
      <c r="AP158" s="212" t="s">
        <v>550</v>
      </c>
      <c r="AQ158" s="214">
        <v>127.23917598649743</v>
      </c>
      <c r="AR158" s="214" t="b">
        <v>0</v>
      </c>
      <c r="AS158" s="212" t="s">
        <v>534</v>
      </c>
      <c r="AU158" s="222" t="s">
        <v>819</v>
      </c>
    </row>
    <row r="159" spans="1:47" s="219" customFormat="1" x14ac:dyDescent="0.25">
      <c r="A159" s="245">
        <f t="shared" si="16"/>
        <v>254</v>
      </c>
      <c r="B159" s="246" t="str">
        <f t="shared" si="17"/>
        <v>Oil Field - Well</v>
      </c>
      <c r="C159" s="246" t="str">
        <f ca="1">IF(B159="","",VLOOKUP(D159,'Species Data'!B:E,4,FALSE))</f>
        <v>P_xylene</v>
      </c>
      <c r="D159" s="246">
        <f t="shared" ca="1" si="18"/>
        <v>648</v>
      </c>
      <c r="E159" s="246">
        <f t="shared" ca="1" si="19"/>
        <v>0.1605</v>
      </c>
      <c r="F159" s="246" t="str">
        <f t="shared" ca="1" si="20"/>
        <v>P-xylene</v>
      </c>
      <c r="G159" s="246">
        <f t="shared" ca="1" si="21"/>
        <v>106.16500000000001</v>
      </c>
      <c r="H159" s="204">
        <f ca="1">IF(G159="","",IF(VLOOKUP(Well_Head!F159,'Species Data'!D:F,3,FALSE)=0,"X",IF(G159&lt;44.1,2,1)))</f>
        <v>1</v>
      </c>
      <c r="I159" s="204">
        <f t="shared" ca="1" si="22"/>
        <v>8.6622328093956577E-2</v>
      </c>
      <c r="J159" s="247">
        <f ca="1">IF(I159="","",IF(COUNTIF($D$12:D159,D159)=1,IF(H159=1,I159*H159,IF(H159="X","X",0)),0))</f>
        <v>0</v>
      </c>
      <c r="K159" s="248">
        <f t="shared" ca="1" si="23"/>
        <v>0</v>
      </c>
      <c r="L159" s="238" t="s">
        <v>626</v>
      </c>
      <c r="M159" s="212" t="s">
        <v>448</v>
      </c>
      <c r="N159" s="212" t="s">
        <v>470</v>
      </c>
      <c r="O159" s="213">
        <v>41419</v>
      </c>
      <c r="P159" s="212" t="s">
        <v>531</v>
      </c>
      <c r="Q159" s="214">
        <v>100</v>
      </c>
      <c r="R159" s="212" t="s">
        <v>445</v>
      </c>
      <c r="S159" s="212" t="s">
        <v>532</v>
      </c>
      <c r="T159" s="212" t="s">
        <v>445</v>
      </c>
      <c r="U159" s="212" t="s">
        <v>446</v>
      </c>
      <c r="V159" s="214" t="b">
        <v>1</v>
      </c>
      <c r="W159" s="214">
        <v>1989</v>
      </c>
      <c r="X159" s="214">
        <v>5</v>
      </c>
      <c r="Y159" s="214">
        <v>2</v>
      </c>
      <c r="Z159" s="214">
        <v>4</v>
      </c>
      <c r="AA159" s="212" t="s">
        <v>447</v>
      </c>
      <c r="AB159" s="212" t="s">
        <v>531</v>
      </c>
      <c r="AC159" s="212" t="s">
        <v>533</v>
      </c>
      <c r="AD159" s="214">
        <v>2.6466440000000002</v>
      </c>
      <c r="AE159" s="214">
        <v>25</v>
      </c>
      <c r="AF159" s="214">
        <v>0.2233</v>
      </c>
      <c r="AG159" s="214">
        <v>-99</v>
      </c>
      <c r="AH159" s="212" t="s">
        <v>224</v>
      </c>
      <c r="AI159" s="212" t="s">
        <v>449</v>
      </c>
      <c r="AJ159" s="212" t="s">
        <v>627</v>
      </c>
      <c r="AK159" s="212" t="s">
        <v>531</v>
      </c>
      <c r="AL159" s="212" t="s">
        <v>628</v>
      </c>
      <c r="AM159" s="214" t="b">
        <v>1</v>
      </c>
      <c r="AN159" s="214" t="b">
        <v>0</v>
      </c>
      <c r="AO159" s="212" t="s">
        <v>629</v>
      </c>
      <c r="AP159" s="212" t="s">
        <v>630</v>
      </c>
      <c r="AQ159" s="214">
        <v>120.19158</v>
      </c>
      <c r="AR159" s="214" t="b">
        <v>0</v>
      </c>
      <c r="AS159" s="212" t="s">
        <v>534</v>
      </c>
      <c r="AU159" s="222" t="s">
        <v>819</v>
      </c>
    </row>
    <row r="160" spans="1:47" s="219" customFormat="1" x14ac:dyDescent="0.25">
      <c r="A160" s="245">
        <f t="shared" si="16"/>
        <v>255</v>
      </c>
      <c r="B160" s="246" t="str">
        <f t="shared" si="17"/>
        <v>Oil Field - Well</v>
      </c>
      <c r="C160" s="246" t="str">
        <f ca="1">IF(B160="","",VLOOKUP(D160,'Species Data'!B:E,4,FALSE))</f>
        <v>propane</v>
      </c>
      <c r="D160" s="246">
        <f t="shared" ca="1" si="18"/>
        <v>671</v>
      </c>
      <c r="E160" s="246">
        <f t="shared" ca="1" si="19"/>
        <v>0.30249999999999999</v>
      </c>
      <c r="F160" s="246" t="str">
        <f t="shared" ca="1" si="20"/>
        <v>Propane</v>
      </c>
      <c r="G160" s="246">
        <f t="shared" ca="1" si="21"/>
        <v>44.095619999999997</v>
      </c>
      <c r="H160" s="204">
        <f ca="1">IF(G160="","",IF(VLOOKUP(Well_Head!F160,'Species Data'!D:F,3,FALSE)=0,"X",IF(G160&lt;44.1,2,1)))</f>
        <v>2</v>
      </c>
      <c r="I160" s="204">
        <f t="shared" ca="1" si="22"/>
        <v>8.8717997321996727</v>
      </c>
      <c r="J160" s="247">
        <f ca="1">IF(I160="","",IF(COUNTIF($D$12:D160,D160)=1,IF(H160=1,I160*H160,IF(H160="X","X",0)),0))</f>
        <v>0</v>
      </c>
      <c r="K160" s="248">
        <f t="shared" ca="1" si="23"/>
        <v>0</v>
      </c>
      <c r="L160" s="238" t="s">
        <v>626</v>
      </c>
      <c r="M160" s="212" t="s">
        <v>448</v>
      </c>
      <c r="N160" s="212" t="s">
        <v>470</v>
      </c>
      <c r="O160" s="213">
        <v>41419</v>
      </c>
      <c r="P160" s="212" t="s">
        <v>531</v>
      </c>
      <c r="Q160" s="214">
        <v>100</v>
      </c>
      <c r="R160" s="212" t="s">
        <v>445</v>
      </c>
      <c r="S160" s="212" t="s">
        <v>532</v>
      </c>
      <c r="T160" s="212" t="s">
        <v>445</v>
      </c>
      <c r="U160" s="212" t="s">
        <v>446</v>
      </c>
      <c r="V160" s="214" t="b">
        <v>1</v>
      </c>
      <c r="W160" s="214">
        <v>1989</v>
      </c>
      <c r="X160" s="214">
        <v>5</v>
      </c>
      <c r="Y160" s="214">
        <v>2</v>
      </c>
      <c r="Z160" s="214">
        <v>4</v>
      </c>
      <c r="AA160" s="212" t="s">
        <v>447</v>
      </c>
      <c r="AB160" s="212" t="s">
        <v>531</v>
      </c>
      <c r="AC160" s="212" t="s">
        <v>533</v>
      </c>
      <c r="AD160" s="214">
        <v>2.6466440000000002</v>
      </c>
      <c r="AE160" s="214">
        <v>30</v>
      </c>
      <c r="AF160" s="214">
        <v>0.32029999999999997</v>
      </c>
      <c r="AG160" s="214">
        <v>-99</v>
      </c>
      <c r="AH160" s="212" t="s">
        <v>224</v>
      </c>
      <c r="AI160" s="212" t="s">
        <v>449</v>
      </c>
      <c r="AJ160" s="212" t="s">
        <v>359</v>
      </c>
      <c r="AK160" s="212" t="s">
        <v>531</v>
      </c>
      <c r="AL160" s="212" t="s">
        <v>531</v>
      </c>
      <c r="AM160" s="214" t="b">
        <v>1</v>
      </c>
      <c r="AN160" s="214" t="b">
        <v>0</v>
      </c>
      <c r="AO160" s="212" t="s">
        <v>360</v>
      </c>
      <c r="AP160" s="212" t="s">
        <v>361</v>
      </c>
      <c r="AQ160" s="214">
        <v>120.19158</v>
      </c>
      <c r="AR160" s="214" t="b">
        <v>0</v>
      </c>
      <c r="AS160" s="212" t="s">
        <v>534</v>
      </c>
      <c r="AU160" s="222" t="s">
        <v>819</v>
      </c>
    </row>
    <row r="161" spans="1:47" s="219" customFormat="1" x14ac:dyDescent="0.25">
      <c r="A161" s="245">
        <f t="shared" si="16"/>
        <v>256</v>
      </c>
      <c r="B161" s="246" t="str">
        <f t="shared" si="17"/>
        <v>Oil Field - Well</v>
      </c>
      <c r="C161" s="246" t="str">
        <f ca="1">IF(B161="","",VLOOKUP(D161,'Species Data'!B:E,4,FALSE))</f>
        <v>T_butben</v>
      </c>
      <c r="D161" s="246">
        <f t="shared" ca="1" si="18"/>
        <v>703</v>
      </c>
      <c r="E161" s="246">
        <f t="shared" ca="1" si="19"/>
        <v>0.64990000000000003</v>
      </c>
      <c r="F161" s="246" t="str">
        <f t="shared" ca="1" si="20"/>
        <v>T-butylbenzene</v>
      </c>
      <c r="G161" s="246">
        <f t="shared" ca="1" si="21"/>
        <v>134.21816000000001</v>
      </c>
      <c r="H161" s="204" t="str">
        <f ca="1">IF(G161="","",IF(VLOOKUP(Well_Head!F161,'Species Data'!D:F,3,FALSE)=0,"X",IF(G161&lt;44.1,2,1)))</f>
        <v>X</v>
      </c>
      <c r="I161" s="204">
        <f t="shared" ca="1" si="22"/>
        <v>0.15110018467800349</v>
      </c>
      <c r="J161" s="247">
        <f ca="1">IF(I161="","",IF(COUNTIF($D$12:D161,D161)=1,IF(H161=1,I161*H161,IF(H161="X","X",0)),0))</f>
        <v>0</v>
      </c>
      <c r="K161" s="248">
        <f t="shared" ca="1" si="23"/>
        <v>0</v>
      </c>
      <c r="L161" s="238" t="s">
        <v>626</v>
      </c>
      <c r="M161" s="212" t="s">
        <v>448</v>
      </c>
      <c r="N161" s="212" t="s">
        <v>470</v>
      </c>
      <c r="O161" s="213">
        <v>41419</v>
      </c>
      <c r="P161" s="212" t="s">
        <v>531</v>
      </c>
      <c r="Q161" s="214">
        <v>100</v>
      </c>
      <c r="R161" s="212" t="s">
        <v>445</v>
      </c>
      <c r="S161" s="212" t="s">
        <v>532</v>
      </c>
      <c r="T161" s="212" t="s">
        <v>445</v>
      </c>
      <c r="U161" s="212" t="s">
        <v>446</v>
      </c>
      <c r="V161" s="214" t="b">
        <v>1</v>
      </c>
      <c r="W161" s="214">
        <v>1989</v>
      </c>
      <c r="X161" s="214">
        <v>5</v>
      </c>
      <c r="Y161" s="214">
        <v>2</v>
      </c>
      <c r="Z161" s="214">
        <v>4</v>
      </c>
      <c r="AA161" s="212" t="s">
        <v>447</v>
      </c>
      <c r="AB161" s="212" t="s">
        <v>531</v>
      </c>
      <c r="AC161" s="212" t="s">
        <v>533</v>
      </c>
      <c r="AD161" s="214">
        <v>2.6466440000000002</v>
      </c>
      <c r="AE161" s="214">
        <v>36</v>
      </c>
      <c r="AF161" s="214">
        <v>0.15440000000000001</v>
      </c>
      <c r="AG161" s="214">
        <v>-99</v>
      </c>
      <c r="AH161" s="212" t="s">
        <v>224</v>
      </c>
      <c r="AI161" s="212" t="s">
        <v>449</v>
      </c>
      <c r="AJ161" s="212" t="s">
        <v>631</v>
      </c>
      <c r="AK161" s="212" t="s">
        <v>531</v>
      </c>
      <c r="AL161" s="212" t="s">
        <v>632</v>
      </c>
      <c r="AM161" s="214" t="b">
        <v>0</v>
      </c>
      <c r="AN161" s="214" t="b">
        <v>0</v>
      </c>
      <c r="AO161" s="212" t="s">
        <v>633</v>
      </c>
      <c r="AP161" s="212" t="s">
        <v>531</v>
      </c>
      <c r="AQ161" s="214">
        <v>134.21816000000001</v>
      </c>
      <c r="AR161" s="214" t="b">
        <v>0</v>
      </c>
      <c r="AS161" s="212" t="s">
        <v>534</v>
      </c>
      <c r="AU161" s="222" t="s">
        <v>819</v>
      </c>
    </row>
    <row r="162" spans="1:47" s="219" customFormat="1" x14ac:dyDescent="0.25">
      <c r="A162" s="245">
        <f t="shared" si="16"/>
        <v>257</v>
      </c>
      <c r="B162" s="246" t="str">
        <f t="shared" si="17"/>
        <v>Oil Field - Well</v>
      </c>
      <c r="C162" s="246" t="str">
        <f ca="1">IF(B162="","",VLOOKUP(D162,'Species Data'!B:E,4,FALSE))</f>
        <v>toluene</v>
      </c>
      <c r="D162" s="246">
        <f t="shared" ca="1" si="18"/>
        <v>717</v>
      </c>
      <c r="E162" s="246">
        <f t="shared" ca="1" si="19"/>
        <v>0.25929999999999997</v>
      </c>
      <c r="F162" s="246" t="str">
        <f t="shared" ca="1" si="20"/>
        <v>Toluene</v>
      </c>
      <c r="G162" s="246">
        <f t="shared" ca="1" si="21"/>
        <v>92.138419999999996</v>
      </c>
      <c r="H162" s="204">
        <f ca="1">IF(G162="","",IF(VLOOKUP(Well_Head!F162,'Species Data'!D:F,3,FALSE)=0,"X",IF(G162&lt;44.1,2,1)))</f>
        <v>1</v>
      </c>
      <c r="I162" s="204">
        <f t="shared" ca="1" si="22"/>
        <v>0.47057835292909805</v>
      </c>
      <c r="J162" s="247">
        <f ca="1">IF(I162="","",IF(COUNTIF($D$12:D162,D162)=1,IF(H162=1,I162*H162,IF(H162="X","X",0)),0))</f>
        <v>0</v>
      </c>
      <c r="K162" s="248">
        <f t="shared" ca="1" si="23"/>
        <v>0</v>
      </c>
      <c r="L162" s="238" t="s">
        <v>626</v>
      </c>
      <c r="M162" s="212" t="s">
        <v>448</v>
      </c>
      <c r="N162" s="212" t="s">
        <v>470</v>
      </c>
      <c r="O162" s="213">
        <v>41419</v>
      </c>
      <c r="P162" s="212" t="s">
        <v>531</v>
      </c>
      <c r="Q162" s="214">
        <v>100</v>
      </c>
      <c r="R162" s="212" t="s">
        <v>445</v>
      </c>
      <c r="S162" s="212" t="s">
        <v>532</v>
      </c>
      <c r="T162" s="212" t="s">
        <v>445</v>
      </c>
      <c r="U162" s="212" t="s">
        <v>446</v>
      </c>
      <c r="V162" s="214" t="b">
        <v>1</v>
      </c>
      <c r="W162" s="214">
        <v>1989</v>
      </c>
      <c r="X162" s="214">
        <v>5</v>
      </c>
      <c r="Y162" s="214">
        <v>2</v>
      </c>
      <c r="Z162" s="214">
        <v>4</v>
      </c>
      <c r="AA162" s="212" t="s">
        <v>447</v>
      </c>
      <c r="AB162" s="212" t="s">
        <v>531</v>
      </c>
      <c r="AC162" s="212" t="s">
        <v>533</v>
      </c>
      <c r="AD162" s="214">
        <v>2.6466440000000002</v>
      </c>
      <c r="AE162" s="214">
        <v>44</v>
      </c>
      <c r="AF162" s="214">
        <v>0.23250000000000001</v>
      </c>
      <c r="AG162" s="214">
        <v>-99</v>
      </c>
      <c r="AH162" s="212" t="s">
        <v>224</v>
      </c>
      <c r="AI162" s="212" t="s">
        <v>449</v>
      </c>
      <c r="AJ162" s="212" t="s">
        <v>400</v>
      </c>
      <c r="AK162" s="212" t="s">
        <v>531</v>
      </c>
      <c r="AL162" s="212" t="s">
        <v>401</v>
      </c>
      <c r="AM162" s="214" t="b">
        <v>1</v>
      </c>
      <c r="AN162" s="214" t="b">
        <v>0</v>
      </c>
      <c r="AO162" s="212" t="s">
        <v>402</v>
      </c>
      <c r="AP162" s="212" t="s">
        <v>403</v>
      </c>
      <c r="AQ162" s="214">
        <v>120.19158</v>
      </c>
      <c r="AR162" s="214" t="b">
        <v>0</v>
      </c>
      <c r="AS162" s="212" t="s">
        <v>534</v>
      </c>
      <c r="AU162" s="222" t="s">
        <v>819</v>
      </c>
    </row>
    <row r="163" spans="1:47" s="219" customFormat="1" x14ac:dyDescent="0.25">
      <c r="A163" s="245">
        <f t="shared" si="16"/>
        <v>258</v>
      </c>
      <c r="B163" s="246" t="str">
        <f t="shared" si="17"/>
        <v>Oil Field - Well</v>
      </c>
      <c r="C163" s="246" t="str">
        <f ca="1">IF(B163="","",VLOOKUP(D163,'Species Data'!B:E,4,FALSE))</f>
        <v>betben</v>
      </c>
      <c r="D163" s="246">
        <f t="shared" ca="1" si="18"/>
        <v>981</v>
      </c>
      <c r="E163" s="246">
        <f t="shared" ca="1" si="19"/>
        <v>0.189</v>
      </c>
      <c r="F163" s="246" t="str">
        <f t="shared" ca="1" si="20"/>
        <v>Butylbenzene</v>
      </c>
      <c r="G163" s="246">
        <f t="shared" ca="1" si="21"/>
        <v>134.21816000000001</v>
      </c>
      <c r="H163" s="204">
        <f ca="1">IF(G163="","",IF(VLOOKUP(Well_Head!F163,'Species Data'!D:F,3,FALSE)=0,"X",IF(G163&lt;44.1,2,1)))</f>
        <v>1</v>
      </c>
      <c r="I163" s="204">
        <f t="shared" ca="1" si="22"/>
        <v>6.3200077244538855E-2</v>
      </c>
      <c r="J163" s="247">
        <f ca="1">IF(I163="","",IF(COUNTIF($D$12:D163,D163)=1,IF(H163=1,I163*H163,IF(H163="X","X",0)),0))</f>
        <v>0</v>
      </c>
      <c r="K163" s="248">
        <f t="shared" ca="1" si="23"/>
        <v>0</v>
      </c>
      <c r="L163" s="238" t="s">
        <v>626</v>
      </c>
      <c r="M163" s="212" t="s">
        <v>448</v>
      </c>
      <c r="N163" s="212" t="s">
        <v>470</v>
      </c>
      <c r="O163" s="213">
        <v>41419</v>
      </c>
      <c r="P163" s="212" t="s">
        <v>531</v>
      </c>
      <c r="Q163" s="214">
        <v>100</v>
      </c>
      <c r="R163" s="212" t="s">
        <v>445</v>
      </c>
      <c r="S163" s="212" t="s">
        <v>532</v>
      </c>
      <c r="T163" s="212" t="s">
        <v>445</v>
      </c>
      <c r="U163" s="212" t="s">
        <v>446</v>
      </c>
      <c r="V163" s="214" t="b">
        <v>1</v>
      </c>
      <c r="W163" s="214">
        <v>1989</v>
      </c>
      <c r="X163" s="214">
        <v>5</v>
      </c>
      <c r="Y163" s="214">
        <v>2</v>
      </c>
      <c r="Z163" s="214">
        <v>4</v>
      </c>
      <c r="AA163" s="212" t="s">
        <v>447</v>
      </c>
      <c r="AB163" s="212" t="s">
        <v>531</v>
      </c>
      <c r="AC163" s="212" t="s">
        <v>533</v>
      </c>
      <c r="AD163" s="214">
        <v>2.6466440000000002</v>
      </c>
      <c r="AE163" s="214">
        <v>51</v>
      </c>
      <c r="AF163" s="214">
        <v>0.21329999999999999</v>
      </c>
      <c r="AG163" s="214">
        <v>-99</v>
      </c>
      <c r="AH163" s="212" t="s">
        <v>224</v>
      </c>
      <c r="AI163" s="212" t="s">
        <v>449</v>
      </c>
      <c r="AJ163" s="212" t="s">
        <v>634</v>
      </c>
      <c r="AK163" s="212" t="s">
        <v>531</v>
      </c>
      <c r="AL163" s="212" t="s">
        <v>635</v>
      </c>
      <c r="AM163" s="214" t="b">
        <v>1</v>
      </c>
      <c r="AN163" s="214" t="b">
        <v>0</v>
      </c>
      <c r="AO163" s="212" t="s">
        <v>636</v>
      </c>
      <c r="AP163" s="212" t="s">
        <v>637</v>
      </c>
      <c r="AQ163" s="214">
        <v>134.21816000000001</v>
      </c>
      <c r="AR163" s="214" t="b">
        <v>0</v>
      </c>
      <c r="AS163" s="212" t="s">
        <v>534</v>
      </c>
      <c r="AU163" s="222" t="s">
        <v>819</v>
      </c>
    </row>
    <row r="164" spans="1:47" s="219" customFormat="1" x14ac:dyDescent="0.25">
      <c r="A164" s="245">
        <f t="shared" si="16"/>
        <v>259</v>
      </c>
      <c r="B164" s="246" t="str">
        <f t="shared" si="17"/>
        <v>Oil Field - Well</v>
      </c>
      <c r="C164" s="246" t="str">
        <f ca="1">IF(B164="","",VLOOKUP(D164,'Species Data'!B:E,4,FALSE))</f>
        <v>c10_comp</v>
      </c>
      <c r="D164" s="246">
        <f t="shared" ca="1" si="18"/>
        <v>1924</v>
      </c>
      <c r="E164" s="246">
        <f t="shared" ca="1" si="19"/>
        <v>6.7336999999999998</v>
      </c>
      <c r="F164" s="246" t="str">
        <f t="shared" ca="1" si="20"/>
        <v>C-10 Compounds</v>
      </c>
      <c r="G164" s="246">
        <f t="shared" ca="1" si="21"/>
        <v>142.28167999999999</v>
      </c>
      <c r="H164" s="204" t="str">
        <f ca="1">IF(G164="","",IF(VLOOKUP(Well_Head!F164,'Species Data'!D:F,3,FALSE)=0,"X",IF(G164&lt;44.1,2,1)))</f>
        <v>X</v>
      </c>
      <c r="I164" s="204">
        <f t="shared" ca="1" si="22"/>
        <v>2.3240139515726077</v>
      </c>
      <c r="J164" s="247">
        <f ca="1">IF(I164="","",IF(COUNTIF($D$12:D164,D164)=1,IF(H164=1,I164*H164,IF(H164="X","X",0)),0))</f>
        <v>0</v>
      </c>
      <c r="K164" s="248">
        <f t="shared" ca="1" si="23"/>
        <v>0</v>
      </c>
      <c r="L164" s="238" t="s">
        <v>626</v>
      </c>
      <c r="M164" s="212" t="s">
        <v>448</v>
      </c>
      <c r="N164" s="212" t="s">
        <v>470</v>
      </c>
      <c r="O164" s="213">
        <v>41419</v>
      </c>
      <c r="P164" s="212" t="s">
        <v>531</v>
      </c>
      <c r="Q164" s="214">
        <v>100</v>
      </c>
      <c r="R164" s="212" t="s">
        <v>445</v>
      </c>
      <c r="S164" s="212" t="s">
        <v>532</v>
      </c>
      <c r="T164" s="212" t="s">
        <v>445</v>
      </c>
      <c r="U164" s="212" t="s">
        <v>446</v>
      </c>
      <c r="V164" s="214" t="b">
        <v>1</v>
      </c>
      <c r="W164" s="214">
        <v>1989</v>
      </c>
      <c r="X164" s="214">
        <v>5</v>
      </c>
      <c r="Y164" s="214">
        <v>2</v>
      </c>
      <c r="Z164" s="214">
        <v>4</v>
      </c>
      <c r="AA164" s="212" t="s">
        <v>447</v>
      </c>
      <c r="AB164" s="212" t="s">
        <v>531</v>
      </c>
      <c r="AC164" s="212" t="s">
        <v>533</v>
      </c>
      <c r="AD164" s="214">
        <v>2.6466440000000002</v>
      </c>
      <c r="AE164" s="214">
        <v>59</v>
      </c>
      <c r="AF164" s="214">
        <v>0.2261</v>
      </c>
      <c r="AG164" s="214">
        <v>-99</v>
      </c>
      <c r="AH164" s="212" t="s">
        <v>224</v>
      </c>
      <c r="AI164" s="212" t="s">
        <v>449</v>
      </c>
      <c r="AJ164" s="212" t="s">
        <v>638</v>
      </c>
      <c r="AK164" s="212" t="s">
        <v>531</v>
      </c>
      <c r="AL164" s="212" t="s">
        <v>639</v>
      </c>
      <c r="AM164" s="214" t="b">
        <v>1</v>
      </c>
      <c r="AN164" s="214" t="b">
        <v>0</v>
      </c>
      <c r="AO164" s="212" t="s">
        <v>640</v>
      </c>
      <c r="AP164" s="212" t="s">
        <v>641</v>
      </c>
      <c r="AQ164" s="214">
        <v>134.21816000000001</v>
      </c>
      <c r="AR164" s="214" t="b">
        <v>0</v>
      </c>
      <c r="AS164" s="212" t="s">
        <v>534</v>
      </c>
      <c r="AU164" s="222" t="s">
        <v>819</v>
      </c>
    </row>
    <row r="165" spans="1:47" s="219" customFormat="1" x14ac:dyDescent="0.25">
      <c r="A165" s="245">
        <f t="shared" si="16"/>
        <v>260</v>
      </c>
      <c r="B165" s="246" t="str">
        <f t="shared" si="17"/>
        <v>Oil Field - Well</v>
      </c>
      <c r="C165" s="246" t="str">
        <f ca="1">IF(B165="","",VLOOKUP(D165,'Species Data'!B:E,4,FALSE))</f>
        <v>c11_comp</v>
      </c>
      <c r="D165" s="246">
        <f t="shared" ca="1" si="18"/>
        <v>1929</v>
      </c>
      <c r="E165" s="246">
        <f t="shared" ca="1" si="19"/>
        <v>3.5299999999999998E-2</v>
      </c>
      <c r="F165" s="246" t="str">
        <f t="shared" ca="1" si="20"/>
        <v>C-11 Compounds</v>
      </c>
      <c r="G165" s="246">
        <f t="shared" ca="1" si="21"/>
        <v>156.30826000000002</v>
      </c>
      <c r="H165" s="204" t="str">
        <f ca="1">IF(G165="","",IF(VLOOKUP(Well_Head!F165,'Species Data'!D:F,3,FALSE)=0,"X",IF(G165&lt;44.1,2,1)))</f>
        <v>X</v>
      </c>
      <c r="I165" s="204">
        <f t="shared" ca="1" si="22"/>
        <v>0.83128990490988375</v>
      </c>
      <c r="J165" s="247">
        <f ca="1">IF(I165="","",IF(COUNTIF($D$12:D165,D165)=1,IF(H165=1,I165*H165,IF(H165="X","X",0)),0))</f>
        <v>0</v>
      </c>
      <c r="K165" s="248">
        <f t="shared" ca="1" si="23"/>
        <v>0</v>
      </c>
      <c r="L165" s="238" t="s">
        <v>626</v>
      </c>
      <c r="M165" s="212" t="s">
        <v>448</v>
      </c>
      <c r="N165" s="212" t="s">
        <v>470</v>
      </c>
      <c r="O165" s="213">
        <v>41419</v>
      </c>
      <c r="P165" s="212" t="s">
        <v>531</v>
      </c>
      <c r="Q165" s="214">
        <v>100</v>
      </c>
      <c r="R165" s="212" t="s">
        <v>445</v>
      </c>
      <c r="S165" s="212" t="s">
        <v>532</v>
      </c>
      <c r="T165" s="212" t="s">
        <v>445</v>
      </c>
      <c r="U165" s="212" t="s">
        <v>446</v>
      </c>
      <c r="V165" s="214" t="b">
        <v>1</v>
      </c>
      <c r="W165" s="214">
        <v>1989</v>
      </c>
      <c r="X165" s="214">
        <v>5</v>
      </c>
      <c r="Y165" s="214">
        <v>2</v>
      </c>
      <c r="Z165" s="214">
        <v>4</v>
      </c>
      <c r="AA165" s="212" t="s">
        <v>447</v>
      </c>
      <c r="AB165" s="212" t="s">
        <v>531</v>
      </c>
      <c r="AC165" s="212" t="s">
        <v>533</v>
      </c>
      <c r="AD165" s="214">
        <v>2.6466440000000002</v>
      </c>
      <c r="AE165" s="214">
        <v>80</v>
      </c>
      <c r="AF165" s="214">
        <v>0.2072</v>
      </c>
      <c r="AG165" s="214">
        <v>-99</v>
      </c>
      <c r="AH165" s="212" t="s">
        <v>224</v>
      </c>
      <c r="AI165" s="212" t="s">
        <v>449</v>
      </c>
      <c r="AJ165" s="212" t="s">
        <v>408</v>
      </c>
      <c r="AK165" s="212" t="s">
        <v>531</v>
      </c>
      <c r="AL165" s="212" t="s">
        <v>450</v>
      </c>
      <c r="AM165" s="214" t="b">
        <v>1</v>
      </c>
      <c r="AN165" s="214" t="b">
        <v>0</v>
      </c>
      <c r="AO165" s="212" t="s">
        <v>409</v>
      </c>
      <c r="AP165" s="212" t="s">
        <v>410</v>
      </c>
      <c r="AQ165" s="214">
        <v>120.19158</v>
      </c>
      <c r="AR165" s="214" t="b">
        <v>0</v>
      </c>
      <c r="AS165" s="212" t="s">
        <v>534</v>
      </c>
      <c r="AU165" s="222" t="s">
        <v>819</v>
      </c>
    </row>
    <row r="166" spans="1:47" s="219" customFormat="1" ht="13.5" customHeight="1" x14ac:dyDescent="0.25">
      <c r="A166" s="245">
        <f t="shared" si="16"/>
        <v>261</v>
      </c>
      <c r="B166" s="246" t="str">
        <f t="shared" si="17"/>
        <v>Oil Field - Well</v>
      </c>
      <c r="C166" s="246" t="str">
        <f ca="1">IF(B166="","",VLOOKUP(D166,'Species Data'!B:E,4,FALSE))</f>
        <v>c6_comp</v>
      </c>
      <c r="D166" s="246">
        <f t="shared" ca="1" si="18"/>
        <v>1999</v>
      </c>
      <c r="E166" s="246">
        <f t="shared" ca="1" si="19"/>
        <v>3.0064000000000002</v>
      </c>
      <c r="F166" s="246" t="str">
        <f t="shared" ca="1" si="20"/>
        <v>C-6 Compounds</v>
      </c>
      <c r="G166" s="246">
        <f t="shared" ca="1" si="21"/>
        <v>86.175359999999998</v>
      </c>
      <c r="H166" s="204" t="str">
        <f ca="1">IF(G166="","",IF(VLOOKUP(Well_Head!F166,'Species Data'!D:F,3,FALSE)=0,"X",IF(G166&lt;44.1,2,1)))</f>
        <v>X</v>
      </c>
      <c r="I166" s="204">
        <f t="shared" ca="1" si="22"/>
        <v>2.1343803864649171</v>
      </c>
      <c r="J166" s="247">
        <f ca="1">IF(I166="","",IF(COUNTIF($D$12:D166,D166)=1,IF(H166=1,I166*H166,IF(H166="X","X",0)),0))</f>
        <v>0</v>
      </c>
      <c r="K166" s="248">
        <f t="shared" ca="1" si="23"/>
        <v>0</v>
      </c>
      <c r="L166" s="238" t="s">
        <v>626</v>
      </c>
      <c r="M166" s="212" t="s">
        <v>448</v>
      </c>
      <c r="N166" s="212" t="s">
        <v>470</v>
      </c>
      <c r="O166" s="213">
        <v>41419</v>
      </c>
      <c r="P166" s="212" t="s">
        <v>531</v>
      </c>
      <c r="Q166" s="214">
        <v>100</v>
      </c>
      <c r="R166" s="212" t="s">
        <v>445</v>
      </c>
      <c r="S166" s="212" t="s">
        <v>532</v>
      </c>
      <c r="T166" s="212" t="s">
        <v>445</v>
      </c>
      <c r="U166" s="212" t="s">
        <v>446</v>
      </c>
      <c r="V166" s="214" t="b">
        <v>1</v>
      </c>
      <c r="W166" s="214">
        <v>1989</v>
      </c>
      <c r="X166" s="214">
        <v>5</v>
      </c>
      <c r="Y166" s="214">
        <v>2</v>
      </c>
      <c r="Z166" s="214">
        <v>4</v>
      </c>
      <c r="AA166" s="212" t="s">
        <v>447</v>
      </c>
      <c r="AB166" s="212" t="s">
        <v>531</v>
      </c>
      <c r="AC166" s="212" t="s">
        <v>533</v>
      </c>
      <c r="AD166" s="214">
        <v>2.6466440000000002</v>
      </c>
      <c r="AE166" s="214">
        <v>89</v>
      </c>
      <c r="AF166" s="214">
        <v>7.0099999999999996E-2</v>
      </c>
      <c r="AG166" s="214">
        <v>-99</v>
      </c>
      <c r="AH166" s="212" t="s">
        <v>224</v>
      </c>
      <c r="AI166" s="212" t="s">
        <v>449</v>
      </c>
      <c r="AJ166" s="212" t="s">
        <v>411</v>
      </c>
      <c r="AK166" s="212" t="s">
        <v>531</v>
      </c>
      <c r="AL166" s="212" t="s">
        <v>451</v>
      </c>
      <c r="AM166" s="214" t="b">
        <v>1</v>
      </c>
      <c r="AN166" s="214" t="b">
        <v>0</v>
      </c>
      <c r="AO166" s="212" t="s">
        <v>412</v>
      </c>
      <c r="AP166" s="212" t="s">
        <v>413</v>
      </c>
      <c r="AQ166" s="214">
        <v>120.19158</v>
      </c>
      <c r="AR166" s="214" t="b">
        <v>0</v>
      </c>
      <c r="AS166" s="212" t="s">
        <v>534</v>
      </c>
      <c r="AU166" s="222" t="s">
        <v>819</v>
      </c>
    </row>
    <row r="167" spans="1:47" s="263" customFormat="1" ht="13.5" customHeight="1" x14ac:dyDescent="0.25">
      <c r="A167" s="245">
        <f t="shared" ref="A167:A230" si="24">IF(B167="","",A166+1)</f>
        <v>262</v>
      </c>
      <c r="B167" s="246" t="str">
        <f t="shared" si="17"/>
        <v>Oil Field - Well</v>
      </c>
      <c r="C167" s="246" t="str">
        <f ca="1">IF(B167="","",VLOOKUP(D167,'Species Data'!B:E,4,FALSE))</f>
        <v>c7_comp</v>
      </c>
      <c r="D167" s="246">
        <f t="shared" ca="1" si="18"/>
        <v>2005</v>
      </c>
      <c r="E167" s="246">
        <f t="shared" ca="1" si="19"/>
        <v>21.5246</v>
      </c>
      <c r="F167" s="246" t="str">
        <f t="shared" ca="1" si="20"/>
        <v>C-7 Compounds</v>
      </c>
      <c r="G167" s="246">
        <f t="shared" ca="1" si="21"/>
        <v>100.20194000000001</v>
      </c>
      <c r="H167" s="204" t="str">
        <f ca="1">IF(G167="","",IF(VLOOKUP(Well_Head!F167,'Species Data'!D:F,3,FALSE)=0,"X",IF(G167&lt;44.1,2,1)))</f>
        <v>X</v>
      </c>
      <c r="I167" s="204">
        <f t="shared" ca="1" si="22"/>
        <v>4.8450170327985953</v>
      </c>
      <c r="J167" s="247">
        <f ca="1">IF(I167="","",IF(COUNTIF($D$12:D167,D167)=1,IF(H167=1,I167*H167,IF(H167="X","X",0)),0))</f>
        <v>0</v>
      </c>
      <c r="K167" s="248">
        <f t="shared" ca="1" si="23"/>
        <v>0</v>
      </c>
      <c r="L167" s="238" t="s">
        <v>626</v>
      </c>
      <c r="M167" s="212" t="s">
        <v>448</v>
      </c>
      <c r="N167" s="212" t="s">
        <v>470</v>
      </c>
      <c r="O167" s="213">
        <v>41419</v>
      </c>
      <c r="P167" s="212" t="s">
        <v>531</v>
      </c>
      <c r="Q167" s="214">
        <v>100</v>
      </c>
      <c r="R167" s="212" t="s">
        <v>445</v>
      </c>
      <c r="S167" s="212" t="s">
        <v>532</v>
      </c>
      <c r="T167" s="212" t="s">
        <v>445</v>
      </c>
      <c r="U167" s="212" t="s">
        <v>446</v>
      </c>
      <c r="V167" s="214" t="b">
        <v>1</v>
      </c>
      <c r="W167" s="214">
        <v>1989</v>
      </c>
      <c r="X167" s="214">
        <v>5</v>
      </c>
      <c r="Y167" s="214">
        <v>2</v>
      </c>
      <c r="Z167" s="214">
        <v>4</v>
      </c>
      <c r="AA167" s="212" t="s">
        <v>447</v>
      </c>
      <c r="AB167" s="212" t="s">
        <v>531</v>
      </c>
      <c r="AC167" s="212" t="s">
        <v>533</v>
      </c>
      <c r="AD167" s="214">
        <v>2.6466440000000002</v>
      </c>
      <c r="AE167" s="214">
        <v>122</v>
      </c>
      <c r="AF167" s="214">
        <v>0.34870000000000001</v>
      </c>
      <c r="AG167" s="214">
        <v>-99</v>
      </c>
      <c r="AH167" s="212" t="s">
        <v>224</v>
      </c>
      <c r="AI167" s="212" t="s">
        <v>449</v>
      </c>
      <c r="AJ167" s="212" t="s">
        <v>301</v>
      </c>
      <c r="AK167" s="212" t="s">
        <v>531</v>
      </c>
      <c r="AL167" s="212" t="s">
        <v>384</v>
      </c>
      <c r="AM167" s="214" t="b">
        <v>1</v>
      </c>
      <c r="AN167" s="214" t="b">
        <v>0</v>
      </c>
      <c r="AO167" s="212" t="s">
        <v>302</v>
      </c>
      <c r="AP167" s="212" t="s">
        <v>303</v>
      </c>
      <c r="AQ167" s="214">
        <v>86.175359999999998</v>
      </c>
      <c r="AR167" s="214" t="b">
        <v>0</v>
      </c>
      <c r="AS167" s="212" t="s">
        <v>534</v>
      </c>
      <c r="AU167" s="222" t="s">
        <v>819</v>
      </c>
    </row>
    <row r="168" spans="1:47" s="263" customFormat="1" ht="13.5" customHeight="1" x14ac:dyDescent="0.25">
      <c r="A168" s="245">
        <f t="shared" si="24"/>
        <v>263</v>
      </c>
      <c r="B168" s="246" t="str">
        <f t="shared" si="17"/>
        <v>Oil Field - Well</v>
      </c>
      <c r="C168" s="246" t="str">
        <f ca="1">IF(B168="","",VLOOKUP(D168,'Species Data'!B:E,4,FALSE))</f>
        <v>c8_comp</v>
      </c>
      <c r="D168" s="246">
        <f t="shared" ca="1" si="18"/>
        <v>2011</v>
      </c>
      <c r="E168" s="246">
        <f t="shared" ca="1" si="19"/>
        <v>22.475000000000001</v>
      </c>
      <c r="F168" s="246" t="str">
        <f t="shared" ca="1" si="20"/>
        <v>C-8 Compounds</v>
      </c>
      <c r="G168" s="246">
        <f t="shared" ca="1" si="21"/>
        <v>113.21160686946486</v>
      </c>
      <c r="H168" s="204" t="str">
        <f ca="1">IF(G168="","",IF(VLOOKUP(Well_Head!F168,'Species Data'!D:F,3,FALSE)=0,"X",IF(G168&lt;44.1,2,1)))</f>
        <v>X</v>
      </c>
      <c r="I168" s="204">
        <f t="shared" ca="1" si="22"/>
        <v>5.0392950480272818</v>
      </c>
      <c r="J168" s="247">
        <f ca="1">IF(I168="","",IF(COUNTIF($D$12:D168,D168)=1,IF(H168=1,I168*H168,IF(H168="X","X",0)),0))</f>
        <v>0</v>
      </c>
      <c r="K168" s="248">
        <f t="shared" ca="1" si="23"/>
        <v>0</v>
      </c>
      <c r="L168" s="238" t="s">
        <v>626</v>
      </c>
      <c r="M168" s="212" t="s">
        <v>448</v>
      </c>
      <c r="N168" s="212" t="s">
        <v>470</v>
      </c>
      <c r="O168" s="213">
        <v>41419</v>
      </c>
      <c r="P168" s="212" t="s">
        <v>531</v>
      </c>
      <c r="Q168" s="214">
        <v>100</v>
      </c>
      <c r="R168" s="212" t="s">
        <v>445</v>
      </c>
      <c r="S168" s="212" t="s">
        <v>532</v>
      </c>
      <c r="T168" s="212" t="s">
        <v>445</v>
      </c>
      <c r="U168" s="212" t="s">
        <v>446</v>
      </c>
      <c r="V168" s="214" t="b">
        <v>1</v>
      </c>
      <c r="W168" s="214">
        <v>1989</v>
      </c>
      <c r="X168" s="214">
        <v>5</v>
      </c>
      <c r="Y168" s="214">
        <v>2</v>
      </c>
      <c r="Z168" s="214">
        <v>4</v>
      </c>
      <c r="AA168" s="212" t="s">
        <v>447</v>
      </c>
      <c r="AB168" s="212" t="s">
        <v>531</v>
      </c>
      <c r="AC168" s="212" t="s">
        <v>533</v>
      </c>
      <c r="AD168" s="214">
        <v>2.6466440000000002</v>
      </c>
      <c r="AE168" s="214">
        <v>127</v>
      </c>
      <c r="AF168" s="214">
        <v>0.251</v>
      </c>
      <c r="AG168" s="214">
        <v>-99</v>
      </c>
      <c r="AH168" s="212" t="s">
        <v>224</v>
      </c>
      <c r="AI168" s="212" t="s">
        <v>449</v>
      </c>
      <c r="AJ168" s="212" t="s">
        <v>441</v>
      </c>
      <c r="AK168" s="212" t="s">
        <v>531</v>
      </c>
      <c r="AL168" s="212" t="s">
        <v>462</v>
      </c>
      <c r="AM168" s="214" t="b">
        <v>0</v>
      </c>
      <c r="AN168" s="214" t="b">
        <v>0</v>
      </c>
      <c r="AO168" s="212" t="s">
        <v>442</v>
      </c>
      <c r="AP168" s="212" t="s">
        <v>531</v>
      </c>
      <c r="AQ168" s="214">
        <v>72.148780000000002</v>
      </c>
      <c r="AR168" s="214" t="b">
        <v>0</v>
      </c>
      <c r="AS168" s="212" t="s">
        <v>534</v>
      </c>
      <c r="AU168" s="222" t="s">
        <v>819</v>
      </c>
    </row>
    <row r="169" spans="1:47" s="263" customFormat="1" ht="13.5" customHeight="1" x14ac:dyDescent="0.25">
      <c r="A169" s="245">
        <f t="shared" si="24"/>
        <v>264</v>
      </c>
      <c r="B169" s="246" t="str">
        <f t="shared" si="17"/>
        <v>Oil Field - Well</v>
      </c>
      <c r="C169" s="246" t="str">
        <f ca="1">IF(B169="","",VLOOKUP(D169,'Species Data'!B:E,4,FALSE))</f>
        <v>c9_comp</v>
      </c>
      <c r="D169" s="246">
        <f t="shared" ca="1" si="18"/>
        <v>2018</v>
      </c>
      <c r="E169" s="246">
        <f t="shared" ca="1" si="19"/>
        <v>19.777999999999999</v>
      </c>
      <c r="F169" s="246" t="str">
        <f t="shared" ca="1" si="20"/>
        <v>C-9 Compounds</v>
      </c>
      <c r="G169" s="246">
        <f t="shared" ca="1" si="21"/>
        <v>127.23917598649743</v>
      </c>
      <c r="H169" s="204" t="str">
        <f ca="1">IF(G169="","",IF(VLOOKUP(Well_Head!F169,'Species Data'!D:F,3,FALSE)=0,"X",IF(G169&lt;44.1,2,1)))</f>
        <v>X</v>
      </c>
      <c r="I169" s="204">
        <f t="shared" ca="1" si="22"/>
        <v>4.5871944954599391</v>
      </c>
      <c r="J169" s="247">
        <f ca="1">IF(I169="","",IF(COUNTIF($D$12:D169,D169)=1,IF(H169=1,I169*H169,IF(H169="X","X",0)),0))</f>
        <v>0</v>
      </c>
      <c r="K169" s="248">
        <f t="shared" ca="1" si="23"/>
        <v>0</v>
      </c>
      <c r="L169" s="238" t="s">
        <v>626</v>
      </c>
      <c r="M169" s="212" t="s">
        <v>448</v>
      </c>
      <c r="N169" s="212" t="s">
        <v>470</v>
      </c>
      <c r="O169" s="213">
        <v>41419</v>
      </c>
      <c r="P169" s="212" t="s">
        <v>531</v>
      </c>
      <c r="Q169" s="214">
        <v>100</v>
      </c>
      <c r="R169" s="212" t="s">
        <v>445</v>
      </c>
      <c r="S169" s="212" t="s">
        <v>532</v>
      </c>
      <c r="T169" s="212" t="s">
        <v>445</v>
      </c>
      <c r="U169" s="212" t="s">
        <v>446</v>
      </c>
      <c r="V169" s="214" t="b">
        <v>1</v>
      </c>
      <c r="W169" s="214">
        <v>1989</v>
      </c>
      <c r="X169" s="214">
        <v>5</v>
      </c>
      <c r="Y169" s="214">
        <v>2</v>
      </c>
      <c r="Z169" s="214">
        <v>4</v>
      </c>
      <c r="AA169" s="212" t="s">
        <v>447</v>
      </c>
      <c r="AB169" s="212" t="s">
        <v>531</v>
      </c>
      <c r="AC169" s="212" t="s">
        <v>533</v>
      </c>
      <c r="AD169" s="214">
        <v>2.6466440000000002</v>
      </c>
      <c r="AE169" s="214">
        <v>130</v>
      </c>
      <c r="AF169" s="214">
        <v>0.29509999999999997</v>
      </c>
      <c r="AG169" s="214">
        <v>-99</v>
      </c>
      <c r="AH169" s="212" t="s">
        <v>224</v>
      </c>
      <c r="AI169" s="212" t="s">
        <v>449</v>
      </c>
      <c r="AJ169" s="212" t="s">
        <v>404</v>
      </c>
      <c r="AK169" s="212" t="s">
        <v>531</v>
      </c>
      <c r="AL169" s="212" t="s">
        <v>405</v>
      </c>
      <c r="AM169" s="214" t="b">
        <v>1</v>
      </c>
      <c r="AN169" s="214" t="b">
        <v>0</v>
      </c>
      <c r="AO169" s="212" t="s">
        <v>406</v>
      </c>
      <c r="AP169" s="212" t="s">
        <v>407</v>
      </c>
      <c r="AQ169" s="214">
        <v>114.22852</v>
      </c>
      <c r="AR169" s="214" t="b">
        <v>0</v>
      </c>
      <c r="AS169" s="212" t="s">
        <v>534</v>
      </c>
      <c r="AU169" s="222" t="s">
        <v>819</v>
      </c>
    </row>
    <row r="170" spans="1:47" s="263" customFormat="1" ht="13.5" customHeight="1" x14ac:dyDescent="0.25">
      <c r="A170" s="245">
        <f t="shared" si="24"/>
        <v>265</v>
      </c>
      <c r="B170" s="246" t="str">
        <f t="shared" si="17"/>
        <v>Oil Field - Well</v>
      </c>
      <c r="C170" s="246" t="str">
        <f ca="1">IF(B170="","",VLOOKUP(D170,'Species Data'!B:E,4,FALSE))</f>
        <v>trimetben124</v>
      </c>
      <c r="D170" s="246">
        <f t="shared" ca="1" si="18"/>
        <v>30</v>
      </c>
      <c r="E170" s="246">
        <f t="shared" ca="1" si="19"/>
        <v>4.7999999999999996E-3</v>
      </c>
      <c r="F170" s="246" t="str">
        <f t="shared" ca="1" si="20"/>
        <v>1,2,4-trimethylbenzene  (1,3,4-trimethylbenzene)</v>
      </c>
      <c r="G170" s="246">
        <f t="shared" ca="1" si="21"/>
        <v>120.19158</v>
      </c>
      <c r="H170" s="204">
        <f ca="1">IF(G170="","",IF(VLOOKUP(Well_Head!F170,'Species Data'!D:F,3,FALSE)=0,"X",IF(G170&lt;44.1,2,1)))</f>
        <v>1</v>
      </c>
      <c r="I170" s="204">
        <f t="shared" ca="1" si="22"/>
        <v>0.18081133210273925</v>
      </c>
      <c r="J170" s="247">
        <f ca="1">IF(I170="","",IF(COUNTIF($D$12:D170,D170)=1,IF(H170=1,I170*H170,IF(H170="X","X",0)),0))</f>
        <v>0</v>
      </c>
      <c r="K170" s="248">
        <f t="shared" ca="1" si="23"/>
        <v>0</v>
      </c>
      <c r="L170" s="238" t="s">
        <v>626</v>
      </c>
      <c r="M170" s="212" t="s">
        <v>448</v>
      </c>
      <c r="N170" s="212" t="s">
        <v>470</v>
      </c>
      <c r="O170" s="213">
        <v>41419</v>
      </c>
      <c r="P170" s="212" t="s">
        <v>531</v>
      </c>
      <c r="Q170" s="214">
        <v>100</v>
      </c>
      <c r="R170" s="212" t="s">
        <v>445</v>
      </c>
      <c r="S170" s="212" t="s">
        <v>532</v>
      </c>
      <c r="T170" s="212" t="s">
        <v>445</v>
      </c>
      <c r="U170" s="212" t="s">
        <v>446</v>
      </c>
      <c r="V170" s="214" t="b">
        <v>1</v>
      </c>
      <c r="W170" s="214">
        <v>1989</v>
      </c>
      <c r="X170" s="214">
        <v>5</v>
      </c>
      <c r="Y170" s="214">
        <v>2</v>
      </c>
      <c r="Z170" s="214">
        <v>4</v>
      </c>
      <c r="AA170" s="212" t="s">
        <v>447</v>
      </c>
      <c r="AB170" s="212" t="s">
        <v>531</v>
      </c>
      <c r="AC170" s="212" t="s">
        <v>533</v>
      </c>
      <c r="AD170" s="214">
        <v>2.6466440000000002</v>
      </c>
      <c r="AE170" s="214">
        <v>136</v>
      </c>
      <c r="AF170" s="214">
        <v>1.2881</v>
      </c>
      <c r="AG170" s="214">
        <v>-99</v>
      </c>
      <c r="AH170" s="212" t="s">
        <v>224</v>
      </c>
      <c r="AI170" s="212" t="s">
        <v>449</v>
      </c>
      <c r="AJ170" s="212" t="s">
        <v>304</v>
      </c>
      <c r="AK170" s="212" t="s">
        <v>531</v>
      </c>
      <c r="AL170" s="212" t="s">
        <v>620</v>
      </c>
      <c r="AM170" s="214" t="b">
        <v>1</v>
      </c>
      <c r="AN170" s="214" t="b">
        <v>0</v>
      </c>
      <c r="AO170" s="212" t="s">
        <v>305</v>
      </c>
      <c r="AP170" s="212" t="s">
        <v>306</v>
      </c>
      <c r="AQ170" s="214">
        <v>86.175359999999998</v>
      </c>
      <c r="AR170" s="214" t="b">
        <v>0</v>
      </c>
      <c r="AS170" s="212" t="s">
        <v>534</v>
      </c>
      <c r="AU170" s="222" t="s">
        <v>819</v>
      </c>
    </row>
    <row r="171" spans="1:47" s="263" customFormat="1" ht="13.5" customHeight="1" x14ac:dyDescent="0.25">
      <c r="A171" s="245">
        <f t="shared" si="24"/>
        <v>266</v>
      </c>
      <c r="B171" s="246" t="str">
        <f t="shared" si="17"/>
        <v>Oil Field - Well</v>
      </c>
      <c r="C171" s="246" t="str">
        <f ca="1">IF(B171="","",VLOOKUP(D171,'Species Data'!B:E,4,FALSE))</f>
        <v>trimethben135</v>
      </c>
      <c r="D171" s="246">
        <f t="shared" ca="1" si="18"/>
        <v>44</v>
      </c>
      <c r="E171" s="246">
        <f t="shared" ca="1" si="19"/>
        <v>5.7000000000000002E-3</v>
      </c>
      <c r="F171" s="246" t="str">
        <f t="shared" ca="1" si="20"/>
        <v>1,3,5-trimethylbenzene</v>
      </c>
      <c r="G171" s="246">
        <f t="shared" ca="1" si="21"/>
        <v>120.19158</v>
      </c>
      <c r="H171" s="204">
        <f ca="1">IF(G171="","",IF(VLOOKUP(Well_Head!F171,'Species Data'!D:F,3,FALSE)=0,"X",IF(G171&lt;44.1,2,1)))</f>
        <v>1</v>
      </c>
      <c r="I171" s="204">
        <f t="shared" ca="1" si="22"/>
        <v>0.11778903285326239</v>
      </c>
      <c r="J171" s="247">
        <f ca="1">IF(I171="","",IF(COUNTIF($D$12:D171,D171)=1,IF(H171=1,I171*H171,IF(H171="X","X",0)),0))</f>
        <v>0</v>
      </c>
      <c r="K171" s="248">
        <f t="shared" ca="1" si="23"/>
        <v>0</v>
      </c>
      <c r="L171" s="238" t="s">
        <v>626</v>
      </c>
      <c r="M171" s="212" t="s">
        <v>448</v>
      </c>
      <c r="N171" s="212" t="s">
        <v>470</v>
      </c>
      <c r="O171" s="213">
        <v>41419</v>
      </c>
      <c r="P171" s="212" t="s">
        <v>531</v>
      </c>
      <c r="Q171" s="214">
        <v>100</v>
      </c>
      <c r="R171" s="212" t="s">
        <v>445</v>
      </c>
      <c r="S171" s="212" t="s">
        <v>532</v>
      </c>
      <c r="T171" s="212" t="s">
        <v>445</v>
      </c>
      <c r="U171" s="212" t="s">
        <v>446</v>
      </c>
      <c r="V171" s="214" t="b">
        <v>1</v>
      </c>
      <c r="W171" s="214">
        <v>1989</v>
      </c>
      <c r="X171" s="214">
        <v>5</v>
      </c>
      <c r="Y171" s="214">
        <v>2</v>
      </c>
      <c r="Z171" s="214">
        <v>4</v>
      </c>
      <c r="AA171" s="212" t="s">
        <v>447</v>
      </c>
      <c r="AB171" s="212" t="s">
        <v>531</v>
      </c>
      <c r="AC171" s="212" t="s">
        <v>533</v>
      </c>
      <c r="AD171" s="214">
        <v>2.6466440000000002</v>
      </c>
      <c r="AE171" s="214">
        <v>138</v>
      </c>
      <c r="AF171" s="214">
        <v>5.6599999999999998E-2</v>
      </c>
      <c r="AG171" s="214">
        <v>-99</v>
      </c>
      <c r="AH171" s="212" t="s">
        <v>224</v>
      </c>
      <c r="AI171" s="212" t="s">
        <v>449</v>
      </c>
      <c r="AJ171" s="212" t="s">
        <v>443</v>
      </c>
      <c r="AK171" s="212" t="s">
        <v>531</v>
      </c>
      <c r="AL171" s="212" t="s">
        <v>463</v>
      </c>
      <c r="AM171" s="214" t="b">
        <v>0</v>
      </c>
      <c r="AN171" s="214" t="b">
        <v>0</v>
      </c>
      <c r="AO171" s="212" t="s">
        <v>444</v>
      </c>
      <c r="AP171" s="212" t="s">
        <v>531</v>
      </c>
      <c r="AQ171" s="214">
        <v>114.22852</v>
      </c>
      <c r="AR171" s="214" t="b">
        <v>0</v>
      </c>
      <c r="AS171" s="212" t="s">
        <v>534</v>
      </c>
      <c r="AU171" s="222" t="s">
        <v>819</v>
      </c>
    </row>
    <row r="172" spans="1:47" s="263" customFormat="1" ht="13.5" customHeight="1" x14ac:dyDescent="0.25">
      <c r="A172" s="245">
        <f t="shared" si="24"/>
        <v>267</v>
      </c>
      <c r="B172" s="246" t="str">
        <f t="shared" si="17"/>
        <v>Oil Field - Well</v>
      </c>
      <c r="C172" s="246" t="str">
        <f ca="1">IF(B172="","",VLOOKUP(D172,'Species Data'!B:E,4,FALSE))</f>
        <v>dietben14</v>
      </c>
      <c r="D172" s="246">
        <f t="shared" ca="1" si="18"/>
        <v>59</v>
      </c>
      <c r="E172" s="246">
        <f t="shared" ca="1" si="19"/>
        <v>4.1999999999999997E-3</v>
      </c>
      <c r="F172" s="246" t="str">
        <f t="shared" ca="1" si="20"/>
        <v>1,4-diethylbenzene (para)</v>
      </c>
      <c r="G172" s="246">
        <f t="shared" ca="1" si="21"/>
        <v>134.21816000000001</v>
      </c>
      <c r="H172" s="204" t="str">
        <f ca="1">IF(G172="","",IF(VLOOKUP(Well_Head!F172,'Species Data'!D:F,3,FALSE)=0,"X",IF(G172&lt;44.1,2,1)))</f>
        <v>X</v>
      </c>
      <c r="I172" s="204">
        <f t="shared" ca="1" si="22"/>
        <v>7.9233430174192432E-2</v>
      </c>
      <c r="J172" s="247">
        <f ca="1">IF(I172="","",IF(COUNTIF($D$12:D172,D172)=1,IF(H172=1,I172*H172,IF(H172="X","X",0)),0))</f>
        <v>0</v>
      </c>
      <c r="K172" s="248">
        <f t="shared" ca="1" si="23"/>
        <v>0</v>
      </c>
      <c r="L172" s="238" t="s">
        <v>626</v>
      </c>
      <c r="M172" s="212" t="s">
        <v>448</v>
      </c>
      <c r="N172" s="212" t="s">
        <v>470</v>
      </c>
      <c r="O172" s="213">
        <v>41419</v>
      </c>
      <c r="P172" s="212" t="s">
        <v>531</v>
      </c>
      <c r="Q172" s="214">
        <v>100</v>
      </c>
      <c r="R172" s="212" t="s">
        <v>445</v>
      </c>
      <c r="S172" s="212" t="s">
        <v>532</v>
      </c>
      <c r="T172" s="212" t="s">
        <v>445</v>
      </c>
      <c r="U172" s="212" t="s">
        <v>446</v>
      </c>
      <c r="V172" s="214" t="b">
        <v>1</v>
      </c>
      <c r="W172" s="214">
        <v>1989</v>
      </c>
      <c r="X172" s="214">
        <v>5</v>
      </c>
      <c r="Y172" s="214">
        <v>2</v>
      </c>
      <c r="Z172" s="214">
        <v>4</v>
      </c>
      <c r="AA172" s="212" t="s">
        <v>447</v>
      </c>
      <c r="AB172" s="212" t="s">
        <v>531</v>
      </c>
      <c r="AC172" s="212" t="s">
        <v>533</v>
      </c>
      <c r="AD172" s="214">
        <v>2.6466440000000002</v>
      </c>
      <c r="AE172" s="214">
        <v>149</v>
      </c>
      <c r="AF172" s="214">
        <v>0.25800000000000001</v>
      </c>
      <c r="AG172" s="214">
        <v>-99</v>
      </c>
      <c r="AH172" s="212" t="s">
        <v>224</v>
      </c>
      <c r="AI172" s="212" t="s">
        <v>449</v>
      </c>
      <c r="AJ172" s="212" t="s">
        <v>427</v>
      </c>
      <c r="AK172" s="212" t="s">
        <v>531</v>
      </c>
      <c r="AL172" s="212" t="s">
        <v>457</v>
      </c>
      <c r="AM172" s="214" t="b">
        <v>0</v>
      </c>
      <c r="AN172" s="214" t="b">
        <v>0</v>
      </c>
      <c r="AO172" s="212" t="s">
        <v>428</v>
      </c>
      <c r="AP172" s="212" t="s">
        <v>429</v>
      </c>
      <c r="AQ172" s="214">
        <v>114.22852</v>
      </c>
      <c r="AR172" s="214" t="b">
        <v>0</v>
      </c>
      <c r="AS172" s="212" t="s">
        <v>534</v>
      </c>
      <c r="AU172" s="222" t="s">
        <v>819</v>
      </c>
    </row>
    <row r="173" spans="1:47" s="263" customFormat="1" ht="13.5" customHeight="1" x14ac:dyDescent="0.25">
      <c r="A173" s="245">
        <f t="shared" si="24"/>
        <v>268</v>
      </c>
      <c r="B173" s="246" t="str">
        <f t="shared" si="17"/>
        <v>Oil Field - Well</v>
      </c>
      <c r="C173" s="246" t="str">
        <f ca="1">IF(B173="","",VLOOKUP(D173,'Species Data'!B:E,4,FALSE))</f>
        <v>ethben12</v>
      </c>
      <c r="D173" s="246">
        <f t="shared" ca="1" si="18"/>
        <v>80</v>
      </c>
      <c r="E173" s="246">
        <f t="shared" ca="1" si="19"/>
        <v>2.5999999999999999E-3</v>
      </c>
      <c r="F173" s="246" t="str">
        <f t="shared" ca="1" si="20"/>
        <v>1-Methyl-2-ethylbenzene</v>
      </c>
      <c r="G173" s="246">
        <f t="shared" ca="1" si="21"/>
        <v>120.19158</v>
      </c>
      <c r="H173" s="204">
        <f ca="1">IF(G173="","",IF(VLOOKUP(Well_Head!F173,'Species Data'!D:F,3,FALSE)=0,"X",IF(G173&lt;44.1,2,1)))</f>
        <v>1</v>
      </c>
      <c r="I173" s="204">
        <f t="shared" ca="1" si="22"/>
        <v>0.13882239189403453</v>
      </c>
      <c r="J173" s="247">
        <f ca="1">IF(I173="","",IF(COUNTIF($D$12:D173,D173)=1,IF(H173=1,I173*H173,IF(H173="X","X",0)),0))</f>
        <v>0</v>
      </c>
      <c r="K173" s="248">
        <f t="shared" ca="1" si="23"/>
        <v>0</v>
      </c>
      <c r="L173" s="238" t="s">
        <v>626</v>
      </c>
      <c r="M173" s="212" t="s">
        <v>448</v>
      </c>
      <c r="N173" s="212" t="s">
        <v>470</v>
      </c>
      <c r="O173" s="213">
        <v>41419</v>
      </c>
      <c r="P173" s="212" t="s">
        <v>531</v>
      </c>
      <c r="Q173" s="214">
        <v>100</v>
      </c>
      <c r="R173" s="212" t="s">
        <v>445</v>
      </c>
      <c r="S173" s="212" t="s">
        <v>532</v>
      </c>
      <c r="T173" s="212" t="s">
        <v>445</v>
      </c>
      <c r="U173" s="212" t="s">
        <v>446</v>
      </c>
      <c r="V173" s="214" t="b">
        <v>1</v>
      </c>
      <c r="W173" s="214">
        <v>1989</v>
      </c>
      <c r="X173" s="214">
        <v>5</v>
      </c>
      <c r="Y173" s="214">
        <v>2</v>
      </c>
      <c r="Z173" s="214">
        <v>4</v>
      </c>
      <c r="AA173" s="212" t="s">
        <v>447</v>
      </c>
      <c r="AB173" s="212" t="s">
        <v>531</v>
      </c>
      <c r="AC173" s="212" t="s">
        <v>533</v>
      </c>
      <c r="AD173" s="214">
        <v>2.6466440000000002</v>
      </c>
      <c r="AE173" s="214">
        <v>152</v>
      </c>
      <c r="AF173" s="214">
        <v>0.26540000000000002</v>
      </c>
      <c r="AG173" s="214">
        <v>-99</v>
      </c>
      <c r="AH173" s="212" t="s">
        <v>224</v>
      </c>
      <c r="AI173" s="212" t="s">
        <v>449</v>
      </c>
      <c r="AJ173" s="212" t="s">
        <v>310</v>
      </c>
      <c r="AK173" s="212" t="s">
        <v>531</v>
      </c>
      <c r="AL173" s="212" t="s">
        <v>386</v>
      </c>
      <c r="AM173" s="214" t="b">
        <v>1</v>
      </c>
      <c r="AN173" s="214" t="b">
        <v>0</v>
      </c>
      <c r="AO173" s="212" t="s">
        <v>311</v>
      </c>
      <c r="AP173" s="212" t="s">
        <v>312</v>
      </c>
      <c r="AQ173" s="214">
        <v>100.20194000000001</v>
      </c>
      <c r="AR173" s="214" t="b">
        <v>0</v>
      </c>
      <c r="AS173" s="212" t="s">
        <v>534</v>
      </c>
      <c r="AU173" s="222" t="s">
        <v>819</v>
      </c>
    </row>
    <row r="174" spans="1:47" s="263" customFormat="1" ht="13.5" customHeight="1" x14ac:dyDescent="0.25">
      <c r="A174" s="245">
        <f t="shared" si="24"/>
        <v>269</v>
      </c>
      <c r="B174" s="246" t="str">
        <f t="shared" si="17"/>
        <v>Oil Field - Well</v>
      </c>
      <c r="C174" s="246" t="str">
        <f ca="1">IF(B174="","",VLOOKUP(D174,'Species Data'!B:E,4,FALSE))</f>
        <v>ethben13</v>
      </c>
      <c r="D174" s="246">
        <f t="shared" ca="1" si="18"/>
        <v>89</v>
      </c>
      <c r="E174" s="246">
        <f t="shared" ca="1" si="19"/>
        <v>7.1999999999999998E-3</v>
      </c>
      <c r="F174" s="246" t="str">
        <f t="shared" ca="1" si="20"/>
        <v>1-Methyl-3-ethylbenzene (3-Ethyltoluene)</v>
      </c>
      <c r="G174" s="246">
        <f t="shared" ca="1" si="21"/>
        <v>120.19158</v>
      </c>
      <c r="H174" s="204">
        <f ca="1">IF(G174="","",IF(VLOOKUP(Well_Head!F174,'Species Data'!D:F,3,FALSE)=0,"X",IF(G174&lt;44.1,2,1)))</f>
        <v>1</v>
      </c>
      <c r="I174" s="204">
        <f t="shared" ca="1" si="22"/>
        <v>0.1338446080322987</v>
      </c>
      <c r="J174" s="247">
        <f ca="1">IF(I174="","",IF(COUNTIF($D$12:D174,D174)=1,IF(H174=1,I174*H174,IF(H174="X","X",0)),0))</f>
        <v>0</v>
      </c>
      <c r="K174" s="248">
        <f t="shared" ca="1" si="23"/>
        <v>0</v>
      </c>
      <c r="L174" s="238" t="s">
        <v>626</v>
      </c>
      <c r="M174" s="212" t="s">
        <v>448</v>
      </c>
      <c r="N174" s="212" t="s">
        <v>470</v>
      </c>
      <c r="O174" s="213">
        <v>41419</v>
      </c>
      <c r="P174" s="212" t="s">
        <v>531</v>
      </c>
      <c r="Q174" s="214">
        <v>100</v>
      </c>
      <c r="R174" s="212" t="s">
        <v>445</v>
      </c>
      <c r="S174" s="212" t="s">
        <v>532</v>
      </c>
      <c r="T174" s="212" t="s">
        <v>445</v>
      </c>
      <c r="U174" s="212" t="s">
        <v>446</v>
      </c>
      <c r="V174" s="214" t="b">
        <v>1</v>
      </c>
      <c r="W174" s="214">
        <v>1989</v>
      </c>
      <c r="X174" s="214">
        <v>5</v>
      </c>
      <c r="Y174" s="214">
        <v>2</v>
      </c>
      <c r="Z174" s="214">
        <v>4</v>
      </c>
      <c r="AA174" s="212" t="s">
        <v>447</v>
      </c>
      <c r="AB174" s="212" t="s">
        <v>531</v>
      </c>
      <c r="AC174" s="212" t="s">
        <v>533</v>
      </c>
      <c r="AD174" s="214">
        <v>2.6466440000000002</v>
      </c>
      <c r="AE174" s="214">
        <v>193</v>
      </c>
      <c r="AF174" s="214">
        <v>5.1299999999999998E-2</v>
      </c>
      <c r="AG174" s="214">
        <v>-99</v>
      </c>
      <c r="AH174" s="212" t="s">
        <v>224</v>
      </c>
      <c r="AI174" s="212" t="s">
        <v>449</v>
      </c>
      <c r="AJ174" s="212" t="s">
        <v>313</v>
      </c>
      <c r="AK174" s="212" t="s">
        <v>531</v>
      </c>
      <c r="AL174" s="212" t="s">
        <v>387</v>
      </c>
      <c r="AM174" s="214" t="b">
        <v>1</v>
      </c>
      <c r="AN174" s="214" t="b">
        <v>0</v>
      </c>
      <c r="AO174" s="212" t="s">
        <v>314</v>
      </c>
      <c r="AP174" s="212" t="s">
        <v>315</v>
      </c>
      <c r="AQ174" s="214">
        <v>114.22852</v>
      </c>
      <c r="AR174" s="214" t="b">
        <v>0</v>
      </c>
      <c r="AS174" s="212" t="s">
        <v>534</v>
      </c>
      <c r="AU174" s="222" t="s">
        <v>819</v>
      </c>
    </row>
    <row r="175" spans="1:47" s="263" customFormat="1" ht="13.5" customHeight="1" x14ac:dyDescent="0.25">
      <c r="A175" s="245">
        <f t="shared" si="24"/>
        <v>270</v>
      </c>
      <c r="B175" s="246" t="str">
        <f t="shared" si="17"/>
        <v>Oil Field - Well</v>
      </c>
      <c r="C175" s="246" t="str">
        <f ca="1">IF(B175="","",VLOOKUP(D175,'Species Data'!B:E,4,FALSE))</f>
        <v>dimetbut22</v>
      </c>
      <c r="D175" s="246">
        <f t="shared" ca="1" si="18"/>
        <v>122</v>
      </c>
      <c r="E175" s="246">
        <f t="shared" ca="1" si="19"/>
        <v>4.3799999999999999E-2</v>
      </c>
      <c r="F175" s="246" t="str">
        <f t="shared" ca="1" si="20"/>
        <v>2,2-dimethylbutane</v>
      </c>
      <c r="G175" s="246">
        <f t="shared" ca="1" si="21"/>
        <v>86.175359999999998</v>
      </c>
      <c r="H175" s="204">
        <f ca="1">IF(G175="","",IF(VLOOKUP(Well_Head!F175,'Species Data'!D:F,3,FALSE)=0,"X",IF(G175&lt;44.1,2,1)))</f>
        <v>1</v>
      </c>
      <c r="I175" s="204">
        <f t="shared" ca="1" si="22"/>
        <v>0.21534470764353159</v>
      </c>
      <c r="J175" s="247">
        <f ca="1">IF(I175="","",IF(COUNTIF($D$12:D175,D175)=1,IF(H175=1,I175*H175,IF(H175="X","X",0)),0))</f>
        <v>0</v>
      </c>
      <c r="K175" s="248">
        <f t="shared" ca="1" si="23"/>
        <v>0</v>
      </c>
      <c r="L175" s="238" t="s">
        <v>626</v>
      </c>
      <c r="M175" s="212" t="s">
        <v>448</v>
      </c>
      <c r="N175" s="212" t="s">
        <v>470</v>
      </c>
      <c r="O175" s="213">
        <v>41419</v>
      </c>
      <c r="P175" s="212" t="s">
        <v>531</v>
      </c>
      <c r="Q175" s="214">
        <v>100</v>
      </c>
      <c r="R175" s="212" t="s">
        <v>445</v>
      </c>
      <c r="S175" s="212" t="s">
        <v>532</v>
      </c>
      <c r="T175" s="212" t="s">
        <v>445</v>
      </c>
      <c r="U175" s="212" t="s">
        <v>446</v>
      </c>
      <c r="V175" s="214" t="b">
        <v>1</v>
      </c>
      <c r="W175" s="214">
        <v>1989</v>
      </c>
      <c r="X175" s="214">
        <v>5</v>
      </c>
      <c r="Y175" s="214">
        <v>2</v>
      </c>
      <c r="Z175" s="214">
        <v>4</v>
      </c>
      <c r="AA175" s="212" t="s">
        <v>447</v>
      </c>
      <c r="AB175" s="212" t="s">
        <v>531</v>
      </c>
      <c r="AC175" s="212" t="s">
        <v>533</v>
      </c>
      <c r="AD175" s="214">
        <v>2.6466440000000002</v>
      </c>
      <c r="AE175" s="214">
        <v>194</v>
      </c>
      <c r="AF175" s="214">
        <v>0.7923</v>
      </c>
      <c r="AG175" s="214">
        <v>-99</v>
      </c>
      <c r="AH175" s="212" t="s">
        <v>224</v>
      </c>
      <c r="AI175" s="212" t="s">
        <v>449</v>
      </c>
      <c r="AJ175" s="212" t="s">
        <v>316</v>
      </c>
      <c r="AK175" s="212" t="s">
        <v>531</v>
      </c>
      <c r="AL175" s="212" t="s">
        <v>388</v>
      </c>
      <c r="AM175" s="214" t="b">
        <v>1</v>
      </c>
      <c r="AN175" s="214" t="b">
        <v>0</v>
      </c>
      <c r="AO175" s="212" t="s">
        <v>317</v>
      </c>
      <c r="AP175" s="212" t="s">
        <v>318</v>
      </c>
      <c r="AQ175" s="214">
        <v>100.20194000000001</v>
      </c>
      <c r="AR175" s="214" t="b">
        <v>0</v>
      </c>
      <c r="AS175" s="212" t="s">
        <v>534</v>
      </c>
      <c r="AU175" s="222" t="s">
        <v>819</v>
      </c>
    </row>
    <row r="176" spans="1:47" s="263" customFormat="1" ht="13.5" customHeight="1" x14ac:dyDescent="0.25">
      <c r="A176" s="245">
        <f t="shared" si="24"/>
        <v>271</v>
      </c>
      <c r="B176" s="246" t="str">
        <f t="shared" si="17"/>
        <v>Oil Field - Well</v>
      </c>
      <c r="C176" s="246" t="str">
        <f ca="1">IF(B176="","",VLOOKUP(D176,'Species Data'!B:E,4,FALSE))</f>
        <v>dimethpro</v>
      </c>
      <c r="D176" s="246">
        <f t="shared" ca="1" si="18"/>
        <v>127</v>
      </c>
      <c r="E176" s="246">
        <f t="shared" ca="1" si="19"/>
        <v>2.0299999999999999E-2</v>
      </c>
      <c r="F176" s="246" t="str">
        <f t="shared" ca="1" si="20"/>
        <v>2,2-dimethylpropane</v>
      </c>
      <c r="G176" s="246">
        <f t="shared" ca="1" si="21"/>
        <v>72.148780000000002</v>
      </c>
      <c r="H176" s="204">
        <f ca="1">IF(G176="","",IF(VLOOKUP(Well_Head!F176,'Species Data'!D:F,3,FALSE)=0,"X",IF(G176&lt;44.1,2,1)))</f>
        <v>1</v>
      </c>
      <c r="I176" s="204">
        <f t="shared" ca="1" si="22"/>
        <v>0.12532237539401436</v>
      </c>
      <c r="J176" s="247">
        <f ca="1">IF(I176="","",IF(COUNTIF($D$12:D176,D176)=1,IF(H176=1,I176*H176,IF(H176="X","X",0)),0))</f>
        <v>0</v>
      </c>
      <c r="K176" s="248">
        <f t="shared" ca="1" si="23"/>
        <v>0</v>
      </c>
      <c r="L176" s="238" t="s">
        <v>626</v>
      </c>
      <c r="M176" s="212" t="s">
        <v>448</v>
      </c>
      <c r="N176" s="212" t="s">
        <v>470</v>
      </c>
      <c r="O176" s="213">
        <v>41419</v>
      </c>
      <c r="P176" s="212" t="s">
        <v>531</v>
      </c>
      <c r="Q176" s="214">
        <v>100</v>
      </c>
      <c r="R176" s="212" t="s">
        <v>445</v>
      </c>
      <c r="S176" s="212" t="s">
        <v>532</v>
      </c>
      <c r="T176" s="212" t="s">
        <v>445</v>
      </c>
      <c r="U176" s="212" t="s">
        <v>446</v>
      </c>
      <c r="V176" s="214" t="b">
        <v>1</v>
      </c>
      <c r="W176" s="214">
        <v>1989</v>
      </c>
      <c r="X176" s="214">
        <v>5</v>
      </c>
      <c r="Y176" s="214">
        <v>2</v>
      </c>
      <c r="Z176" s="214">
        <v>4</v>
      </c>
      <c r="AA176" s="212" t="s">
        <v>447</v>
      </c>
      <c r="AB176" s="212" t="s">
        <v>531</v>
      </c>
      <c r="AC176" s="212" t="s">
        <v>533</v>
      </c>
      <c r="AD176" s="214">
        <v>2.6466440000000002</v>
      </c>
      <c r="AE176" s="214">
        <v>199</v>
      </c>
      <c r="AF176" s="214">
        <v>1.7399999999999999E-2</v>
      </c>
      <c r="AG176" s="214">
        <v>-99</v>
      </c>
      <c r="AH176" s="212" t="s">
        <v>224</v>
      </c>
      <c r="AI176" s="212" t="s">
        <v>449</v>
      </c>
      <c r="AJ176" s="212" t="s">
        <v>319</v>
      </c>
      <c r="AK176" s="212" t="s">
        <v>531</v>
      </c>
      <c r="AL176" s="212" t="s">
        <v>389</v>
      </c>
      <c r="AM176" s="214" t="b">
        <v>1</v>
      </c>
      <c r="AN176" s="214" t="b">
        <v>0</v>
      </c>
      <c r="AO176" s="212" t="s">
        <v>320</v>
      </c>
      <c r="AP176" s="212" t="s">
        <v>321</v>
      </c>
      <c r="AQ176" s="214">
        <v>86.175359999999998</v>
      </c>
      <c r="AR176" s="214" t="b">
        <v>0</v>
      </c>
      <c r="AS176" s="212" t="s">
        <v>534</v>
      </c>
      <c r="AU176" s="222" t="s">
        <v>819</v>
      </c>
    </row>
    <row r="177" spans="1:47" s="263" customFormat="1" ht="13.5" customHeight="1" x14ac:dyDescent="0.25">
      <c r="A177" s="245">
        <f t="shared" si="24"/>
        <v>272</v>
      </c>
      <c r="B177" s="246" t="str">
        <f t="shared" si="17"/>
        <v>Oil Field - Well</v>
      </c>
      <c r="C177" s="246" t="str">
        <f ca="1">IF(B177="","",VLOOKUP(D177,'Species Data'!B:E,4,FALSE))</f>
        <v>trimentpen3</v>
      </c>
      <c r="D177" s="246">
        <f t="shared" ca="1" si="18"/>
        <v>130</v>
      </c>
      <c r="E177" s="246">
        <f t="shared" ca="1" si="19"/>
        <v>0.25259999999999999</v>
      </c>
      <c r="F177" s="246" t="str">
        <f t="shared" ca="1" si="20"/>
        <v>2,3,4-trimethylpentane</v>
      </c>
      <c r="G177" s="246">
        <f t="shared" ca="1" si="21"/>
        <v>114.22852</v>
      </c>
      <c r="H177" s="204">
        <f ca="1">IF(G177="","",IF(VLOOKUP(Well_Head!F177,'Species Data'!D:F,3,FALSE)=0,"X",IF(G177&lt;44.1,2,1)))</f>
        <v>1</v>
      </c>
      <c r="I177" s="204">
        <f t="shared" ca="1" si="22"/>
        <v>0.18992245434966645</v>
      </c>
      <c r="J177" s="247">
        <f ca="1">IF(I177="","",IF(COUNTIF($D$12:D177,D177)=1,IF(H177=1,I177*H177,IF(H177="X","X",0)),0))</f>
        <v>0</v>
      </c>
      <c r="K177" s="248">
        <f t="shared" ca="1" si="23"/>
        <v>0</v>
      </c>
      <c r="L177" s="238" t="s">
        <v>626</v>
      </c>
      <c r="M177" s="212" t="s">
        <v>448</v>
      </c>
      <c r="N177" s="212" t="s">
        <v>470</v>
      </c>
      <c r="O177" s="213">
        <v>41419</v>
      </c>
      <c r="P177" s="212" t="s">
        <v>531</v>
      </c>
      <c r="Q177" s="214">
        <v>100</v>
      </c>
      <c r="R177" s="212" t="s">
        <v>445</v>
      </c>
      <c r="S177" s="212" t="s">
        <v>532</v>
      </c>
      <c r="T177" s="212" t="s">
        <v>445</v>
      </c>
      <c r="U177" s="212" t="s">
        <v>446</v>
      </c>
      <c r="V177" s="214" t="b">
        <v>1</v>
      </c>
      <c r="W177" s="214">
        <v>1989</v>
      </c>
      <c r="X177" s="214">
        <v>5</v>
      </c>
      <c r="Y177" s="214">
        <v>2</v>
      </c>
      <c r="Z177" s="214">
        <v>4</v>
      </c>
      <c r="AA177" s="212" t="s">
        <v>447</v>
      </c>
      <c r="AB177" s="212" t="s">
        <v>531</v>
      </c>
      <c r="AC177" s="212" t="s">
        <v>533</v>
      </c>
      <c r="AD177" s="214">
        <v>2.6466440000000002</v>
      </c>
      <c r="AE177" s="214">
        <v>226</v>
      </c>
      <c r="AF177" s="214">
        <v>0.17749999999999999</v>
      </c>
      <c r="AG177" s="214">
        <v>-99</v>
      </c>
      <c r="AH177" s="212" t="s">
        <v>224</v>
      </c>
      <c r="AI177" s="212" t="s">
        <v>449</v>
      </c>
      <c r="AJ177" s="212" t="s">
        <v>439</v>
      </c>
      <c r="AK177" s="212" t="s">
        <v>531</v>
      </c>
      <c r="AL177" s="212" t="s">
        <v>461</v>
      </c>
      <c r="AM177" s="214" t="b">
        <v>0</v>
      </c>
      <c r="AN177" s="214" t="b">
        <v>0</v>
      </c>
      <c r="AO177" s="212" t="s">
        <v>440</v>
      </c>
      <c r="AP177" s="212" t="s">
        <v>531</v>
      </c>
      <c r="AQ177" s="214">
        <v>114.22852</v>
      </c>
      <c r="AR177" s="214" t="b">
        <v>0</v>
      </c>
      <c r="AS177" s="212" t="s">
        <v>534</v>
      </c>
      <c r="AU177" s="222" t="s">
        <v>819</v>
      </c>
    </row>
    <row r="178" spans="1:47" s="263" customFormat="1" ht="13.5" customHeight="1" x14ac:dyDescent="0.25">
      <c r="A178" s="245">
        <f t="shared" si="24"/>
        <v>273</v>
      </c>
      <c r="B178" s="246" t="str">
        <f t="shared" si="17"/>
        <v>Oil Field - Well</v>
      </c>
      <c r="C178" s="246" t="str">
        <f ca="1">IF(B178="","",VLOOKUP(D178,'Species Data'!B:E,4,FALSE))</f>
        <v>dimetbut</v>
      </c>
      <c r="D178" s="246">
        <f t="shared" ca="1" si="18"/>
        <v>136</v>
      </c>
      <c r="E178" s="246">
        <f t="shared" ca="1" si="19"/>
        <v>0.1474</v>
      </c>
      <c r="F178" s="246" t="str">
        <f t="shared" ca="1" si="20"/>
        <v>2,3-dimethylbutane</v>
      </c>
      <c r="G178" s="246">
        <f t="shared" ca="1" si="21"/>
        <v>86.175359999999998</v>
      </c>
      <c r="H178" s="204">
        <f ca="1">IF(G178="","",IF(VLOOKUP(Well_Head!F178,'Species Data'!D:F,3,FALSE)=0,"X",IF(G178&lt;44.1,2,1)))</f>
        <v>1</v>
      </c>
      <c r="I178" s="204">
        <f t="shared" ca="1" si="22"/>
        <v>0.77192316568386921</v>
      </c>
      <c r="J178" s="247">
        <f ca="1">IF(I178="","",IF(COUNTIF($D$12:D178,D178)=1,IF(H178=1,I178*H178,IF(H178="X","X",0)),0))</f>
        <v>0</v>
      </c>
      <c r="K178" s="248">
        <f t="shared" ca="1" si="23"/>
        <v>0</v>
      </c>
      <c r="L178" s="238" t="s">
        <v>626</v>
      </c>
      <c r="M178" s="212" t="s">
        <v>448</v>
      </c>
      <c r="N178" s="212" t="s">
        <v>470</v>
      </c>
      <c r="O178" s="213">
        <v>41419</v>
      </c>
      <c r="P178" s="212" t="s">
        <v>531</v>
      </c>
      <c r="Q178" s="214">
        <v>100</v>
      </c>
      <c r="R178" s="212" t="s">
        <v>445</v>
      </c>
      <c r="S178" s="212" t="s">
        <v>532</v>
      </c>
      <c r="T178" s="212" t="s">
        <v>445</v>
      </c>
      <c r="U178" s="212" t="s">
        <v>446</v>
      </c>
      <c r="V178" s="214" t="b">
        <v>1</v>
      </c>
      <c r="W178" s="214">
        <v>1989</v>
      </c>
      <c r="X178" s="214">
        <v>5</v>
      </c>
      <c r="Y178" s="214">
        <v>2</v>
      </c>
      <c r="Z178" s="214">
        <v>4</v>
      </c>
      <c r="AA178" s="212" t="s">
        <v>447</v>
      </c>
      <c r="AB178" s="212" t="s">
        <v>531</v>
      </c>
      <c r="AC178" s="212" t="s">
        <v>533</v>
      </c>
      <c r="AD178" s="214">
        <v>2.6466440000000002</v>
      </c>
      <c r="AE178" s="214">
        <v>245</v>
      </c>
      <c r="AF178" s="214">
        <v>2.2800000000000001E-2</v>
      </c>
      <c r="AG178" s="214">
        <v>-99</v>
      </c>
      <c r="AH178" s="212" t="s">
        <v>224</v>
      </c>
      <c r="AI178" s="212" t="s">
        <v>449</v>
      </c>
      <c r="AJ178" s="212" t="s">
        <v>325</v>
      </c>
      <c r="AK178" s="212" t="s">
        <v>531</v>
      </c>
      <c r="AL178" s="212" t="s">
        <v>390</v>
      </c>
      <c r="AM178" s="214" t="b">
        <v>1</v>
      </c>
      <c r="AN178" s="214" t="b">
        <v>0</v>
      </c>
      <c r="AO178" s="212" t="s">
        <v>326</v>
      </c>
      <c r="AP178" s="212" t="s">
        <v>327</v>
      </c>
      <c r="AQ178" s="214">
        <v>100.20194000000001</v>
      </c>
      <c r="AR178" s="214" t="b">
        <v>0</v>
      </c>
      <c r="AS178" s="212" t="s">
        <v>534</v>
      </c>
      <c r="AU178" s="222" t="s">
        <v>819</v>
      </c>
    </row>
    <row r="179" spans="1:47" s="263" customFormat="1" ht="13.5" customHeight="1" x14ac:dyDescent="0.25">
      <c r="A179" s="245">
        <f t="shared" si="24"/>
        <v>274</v>
      </c>
      <c r="B179" s="246" t="str">
        <f t="shared" si="17"/>
        <v>Oil Field - Well</v>
      </c>
      <c r="C179" s="246" t="str">
        <f ca="1">IF(B179="","",VLOOKUP(D179,'Species Data'!B:E,4,FALSE))</f>
        <v>dimethhex23</v>
      </c>
      <c r="D179" s="246">
        <f t="shared" ca="1" si="18"/>
        <v>138</v>
      </c>
      <c r="E179" s="246">
        <f t="shared" ca="1" si="19"/>
        <v>1.7500000000000002E-2</v>
      </c>
      <c r="F179" s="246" t="str">
        <f t="shared" ca="1" si="20"/>
        <v>2,3-dimethylhexane</v>
      </c>
      <c r="G179" s="246">
        <f t="shared" ca="1" si="21"/>
        <v>114.22852</v>
      </c>
      <c r="H179" s="204">
        <f ca="1">IF(G179="","",IF(VLOOKUP(Well_Head!F179,'Species Data'!D:F,3,FALSE)=0,"X",IF(G179&lt;44.1,2,1)))</f>
        <v>1</v>
      </c>
      <c r="I179" s="204">
        <f t="shared" ca="1" si="22"/>
        <v>5.9266739103792238E-2</v>
      </c>
      <c r="J179" s="247">
        <f ca="1">IF(I179="","",IF(COUNTIF($D$12:D179,D179)=1,IF(H179=1,I179*H179,IF(H179="X","X",0)),0))</f>
        <v>0</v>
      </c>
      <c r="K179" s="248">
        <f t="shared" ca="1" si="23"/>
        <v>0</v>
      </c>
      <c r="L179" s="238" t="s">
        <v>626</v>
      </c>
      <c r="M179" s="212" t="s">
        <v>448</v>
      </c>
      <c r="N179" s="212" t="s">
        <v>470</v>
      </c>
      <c r="O179" s="213">
        <v>41419</v>
      </c>
      <c r="P179" s="212" t="s">
        <v>531</v>
      </c>
      <c r="Q179" s="214">
        <v>100</v>
      </c>
      <c r="R179" s="212" t="s">
        <v>445</v>
      </c>
      <c r="S179" s="212" t="s">
        <v>532</v>
      </c>
      <c r="T179" s="212" t="s">
        <v>445</v>
      </c>
      <c r="U179" s="212" t="s">
        <v>446</v>
      </c>
      <c r="V179" s="214" t="b">
        <v>1</v>
      </c>
      <c r="W179" s="214">
        <v>1989</v>
      </c>
      <c r="X179" s="214">
        <v>5</v>
      </c>
      <c r="Y179" s="214">
        <v>2</v>
      </c>
      <c r="Z179" s="214">
        <v>4</v>
      </c>
      <c r="AA179" s="212" t="s">
        <v>447</v>
      </c>
      <c r="AB179" s="212" t="s">
        <v>531</v>
      </c>
      <c r="AC179" s="212" t="s">
        <v>533</v>
      </c>
      <c r="AD179" s="214">
        <v>2.6466440000000002</v>
      </c>
      <c r="AE179" s="214">
        <v>248</v>
      </c>
      <c r="AF179" s="214">
        <v>7.1199999999999999E-2</v>
      </c>
      <c r="AG179" s="214">
        <v>-99</v>
      </c>
      <c r="AH179" s="212" t="s">
        <v>224</v>
      </c>
      <c r="AI179" s="212" t="s">
        <v>449</v>
      </c>
      <c r="AJ179" s="212" t="s">
        <v>328</v>
      </c>
      <c r="AK179" s="212" t="s">
        <v>531</v>
      </c>
      <c r="AL179" s="212" t="s">
        <v>391</v>
      </c>
      <c r="AM179" s="214" t="b">
        <v>1</v>
      </c>
      <c r="AN179" s="214" t="b">
        <v>0</v>
      </c>
      <c r="AO179" s="212" t="s">
        <v>329</v>
      </c>
      <c r="AP179" s="212" t="s">
        <v>330</v>
      </c>
      <c r="AQ179" s="214">
        <v>86.175359999999998</v>
      </c>
      <c r="AR179" s="214" t="b">
        <v>0</v>
      </c>
      <c r="AS179" s="212" t="s">
        <v>534</v>
      </c>
      <c r="AU179" s="222" t="s">
        <v>819</v>
      </c>
    </row>
    <row r="180" spans="1:47" s="263" customFormat="1" ht="13.5" customHeight="1" x14ac:dyDescent="0.25">
      <c r="A180" s="245">
        <f t="shared" si="24"/>
        <v>275</v>
      </c>
      <c r="B180" s="246" t="str">
        <f t="shared" si="17"/>
        <v>Oil Field - Well</v>
      </c>
      <c r="C180" s="246" t="str">
        <f ca="1">IF(B180="","",VLOOKUP(D180,'Species Data'!B:E,4,FALSE))</f>
        <v>dimetpen3</v>
      </c>
      <c r="D180" s="246">
        <f t="shared" ca="1" si="18"/>
        <v>140</v>
      </c>
      <c r="E180" s="246">
        <f t="shared" ca="1" si="19"/>
        <v>0.14280000000000001</v>
      </c>
      <c r="F180" s="246" t="str">
        <f t="shared" ca="1" si="20"/>
        <v>2,3-dimethylpentane</v>
      </c>
      <c r="G180" s="246">
        <f t="shared" ca="1" si="21"/>
        <v>100.20194000000001</v>
      </c>
      <c r="H180" s="204">
        <f ca="1">IF(G180="","",IF(VLOOKUP(Well_Head!F180,'Species Data'!D:F,3,FALSE)=0,"X",IF(G180&lt;44.1,2,1)))</f>
        <v>1</v>
      </c>
      <c r="I180" s="204">
        <f t="shared" ca="1" si="22"/>
        <v>0.38365602446847435</v>
      </c>
      <c r="J180" s="247">
        <f ca="1">IF(I180="","",IF(COUNTIF($D$12:D180,D180)=1,IF(H180=1,I180*H180,IF(H180="X","X",0)),0))</f>
        <v>0</v>
      </c>
      <c r="K180" s="248">
        <f t="shared" ca="1" si="23"/>
        <v>0</v>
      </c>
      <c r="L180" s="238" t="s">
        <v>626</v>
      </c>
      <c r="M180" s="212" t="s">
        <v>448</v>
      </c>
      <c r="N180" s="212" t="s">
        <v>470</v>
      </c>
      <c r="O180" s="213">
        <v>41419</v>
      </c>
      <c r="P180" s="212" t="s">
        <v>531</v>
      </c>
      <c r="Q180" s="214">
        <v>100</v>
      </c>
      <c r="R180" s="212" t="s">
        <v>445</v>
      </c>
      <c r="S180" s="212" t="s">
        <v>532</v>
      </c>
      <c r="T180" s="212" t="s">
        <v>445</v>
      </c>
      <c r="U180" s="212" t="s">
        <v>446</v>
      </c>
      <c r="V180" s="214" t="b">
        <v>1</v>
      </c>
      <c r="W180" s="214">
        <v>1989</v>
      </c>
      <c r="X180" s="214">
        <v>5</v>
      </c>
      <c r="Y180" s="214">
        <v>2</v>
      </c>
      <c r="Z180" s="214">
        <v>4</v>
      </c>
      <c r="AA180" s="212" t="s">
        <v>447</v>
      </c>
      <c r="AB180" s="212" t="s">
        <v>531</v>
      </c>
      <c r="AC180" s="212" t="s">
        <v>533</v>
      </c>
      <c r="AD180" s="214">
        <v>2.6466440000000002</v>
      </c>
      <c r="AE180" s="214">
        <v>385</v>
      </c>
      <c r="AF180" s="214">
        <v>0.15640000000000001</v>
      </c>
      <c r="AG180" s="214">
        <v>-99</v>
      </c>
      <c r="AH180" s="212" t="s">
        <v>224</v>
      </c>
      <c r="AI180" s="212" t="s">
        <v>449</v>
      </c>
      <c r="AJ180" s="212" t="s">
        <v>331</v>
      </c>
      <c r="AK180" s="212" t="s">
        <v>531</v>
      </c>
      <c r="AL180" s="212" t="s">
        <v>392</v>
      </c>
      <c r="AM180" s="214" t="b">
        <v>1</v>
      </c>
      <c r="AN180" s="214" t="b">
        <v>0</v>
      </c>
      <c r="AO180" s="212" t="s">
        <v>332</v>
      </c>
      <c r="AP180" s="212" t="s">
        <v>333</v>
      </c>
      <c r="AQ180" s="214">
        <v>84.159480000000002</v>
      </c>
      <c r="AR180" s="214" t="b">
        <v>0</v>
      </c>
      <c r="AS180" s="212" t="s">
        <v>534</v>
      </c>
      <c r="AU180" s="222" t="s">
        <v>819</v>
      </c>
    </row>
    <row r="181" spans="1:47" s="263" customFormat="1" ht="13.5" customHeight="1" x14ac:dyDescent="0.25">
      <c r="A181" s="245">
        <f t="shared" si="24"/>
        <v>276</v>
      </c>
      <c r="B181" s="246" t="str">
        <f t="shared" si="17"/>
        <v>Oil Field - Well</v>
      </c>
      <c r="C181" s="246" t="str">
        <f ca="1">IF(B181="","",VLOOKUP(D181,'Species Data'!B:E,4,FALSE))</f>
        <v>dimethhex24</v>
      </c>
      <c r="D181" s="246">
        <f t="shared" ca="1" si="18"/>
        <v>149</v>
      </c>
      <c r="E181" s="246">
        <f t="shared" ca="1" si="19"/>
        <v>0.1227</v>
      </c>
      <c r="F181" s="246" t="str">
        <f t="shared" ca="1" si="20"/>
        <v>2,4-dimethylhexane</v>
      </c>
      <c r="G181" s="246">
        <f t="shared" ca="1" si="21"/>
        <v>114.22852</v>
      </c>
      <c r="H181" s="204">
        <f ca="1">IF(G181="","",IF(VLOOKUP(Well_Head!F181,'Species Data'!D:F,3,FALSE)=0,"X",IF(G181&lt;44.1,2,1)))</f>
        <v>1</v>
      </c>
      <c r="I181" s="204">
        <f t="shared" ca="1" si="22"/>
        <v>0.16547798002864228</v>
      </c>
      <c r="J181" s="247">
        <f ca="1">IF(I181="","",IF(COUNTIF($D$12:D181,D181)=1,IF(H181=1,I181*H181,IF(H181="X","X",0)),0))</f>
        <v>0</v>
      </c>
      <c r="K181" s="248">
        <f t="shared" ca="1" si="23"/>
        <v>0</v>
      </c>
      <c r="L181" s="238" t="s">
        <v>626</v>
      </c>
      <c r="M181" s="212" t="s">
        <v>448</v>
      </c>
      <c r="N181" s="212" t="s">
        <v>470</v>
      </c>
      <c r="O181" s="213">
        <v>41419</v>
      </c>
      <c r="P181" s="212" t="s">
        <v>531</v>
      </c>
      <c r="Q181" s="214">
        <v>100</v>
      </c>
      <c r="R181" s="212" t="s">
        <v>445</v>
      </c>
      <c r="S181" s="212" t="s">
        <v>532</v>
      </c>
      <c r="T181" s="212" t="s">
        <v>445</v>
      </c>
      <c r="U181" s="212" t="s">
        <v>446</v>
      </c>
      <c r="V181" s="214" t="b">
        <v>1</v>
      </c>
      <c r="W181" s="214">
        <v>1989</v>
      </c>
      <c r="X181" s="214">
        <v>5</v>
      </c>
      <c r="Y181" s="214">
        <v>2</v>
      </c>
      <c r="Z181" s="214">
        <v>4</v>
      </c>
      <c r="AA181" s="212" t="s">
        <v>447</v>
      </c>
      <c r="AB181" s="212" t="s">
        <v>531</v>
      </c>
      <c r="AC181" s="212" t="s">
        <v>533</v>
      </c>
      <c r="AD181" s="214">
        <v>2.6466440000000002</v>
      </c>
      <c r="AE181" s="214">
        <v>438</v>
      </c>
      <c r="AF181" s="214">
        <v>0.12139999999999999</v>
      </c>
      <c r="AG181" s="214">
        <v>-99</v>
      </c>
      <c r="AH181" s="212" t="s">
        <v>224</v>
      </c>
      <c r="AI181" s="212" t="s">
        <v>449</v>
      </c>
      <c r="AJ181" s="212" t="s">
        <v>265</v>
      </c>
      <c r="AK181" s="212" t="s">
        <v>531</v>
      </c>
      <c r="AL181" s="212" t="s">
        <v>374</v>
      </c>
      <c r="AM181" s="214" t="b">
        <v>1</v>
      </c>
      <c r="AN181" s="214" t="b">
        <v>0</v>
      </c>
      <c r="AO181" s="212" t="s">
        <v>266</v>
      </c>
      <c r="AP181" s="212" t="s">
        <v>267</v>
      </c>
      <c r="AQ181" s="214">
        <v>30.069040000000005</v>
      </c>
      <c r="AR181" s="214" t="b">
        <v>1</v>
      </c>
      <c r="AS181" s="212" t="s">
        <v>534</v>
      </c>
      <c r="AU181" s="222" t="s">
        <v>819</v>
      </c>
    </row>
    <row r="182" spans="1:47" s="263" customFormat="1" ht="13.5" customHeight="1" x14ac:dyDescent="0.25">
      <c r="A182" s="245">
        <f t="shared" si="24"/>
        <v>277</v>
      </c>
      <c r="B182" s="246" t="str">
        <f t="shared" si="17"/>
        <v>Oil Field - Well</v>
      </c>
      <c r="C182" s="246" t="str">
        <f ca="1">IF(B182="","",VLOOKUP(D182,'Species Data'!B:E,4,FALSE))</f>
        <v>dimetpen4</v>
      </c>
      <c r="D182" s="246">
        <f t="shared" ca="1" si="18"/>
        <v>152</v>
      </c>
      <c r="E182" s="246">
        <f t="shared" ca="1" si="19"/>
        <v>4.4200000000000003E-2</v>
      </c>
      <c r="F182" s="246" t="str">
        <f t="shared" ca="1" si="20"/>
        <v>2,4-dimethylpentane</v>
      </c>
      <c r="G182" s="246">
        <f t="shared" ca="1" si="21"/>
        <v>100.20194000000001</v>
      </c>
      <c r="H182" s="204">
        <f ca="1">IF(G182="","",IF(VLOOKUP(Well_Head!F182,'Species Data'!D:F,3,FALSE)=0,"X",IF(G182&lt;44.1,2,1)))</f>
        <v>1</v>
      </c>
      <c r="I182" s="204">
        <f t="shared" ca="1" si="22"/>
        <v>0.15698908076443205</v>
      </c>
      <c r="J182" s="247">
        <f ca="1">IF(I182="","",IF(COUNTIF($D$12:D182,D182)=1,IF(H182=1,I182*H182,IF(H182="X","X",0)),0))</f>
        <v>0</v>
      </c>
      <c r="K182" s="248">
        <f t="shared" ca="1" si="23"/>
        <v>0</v>
      </c>
      <c r="L182" s="238" t="s">
        <v>626</v>
      </c>
      <c r="M182" s="212" t="s">
        <v>448</v>
      </c>
      <c r="N182" s="212" t="s">
        <v>470</v>
      </c>
      <c r="O182" s="213">
        <v>41419</v>
      </c>
      <c r="P182" s="212" t="s">
        <v>531</v>
      </c>
      <c r="Q182" s="214">
        <v>100</v>
      </c>
      <c r="R182" s="212" t="s">
        <v>445</v>
      </c>
      <c r="S182" s="212" t="s">
        <v>532</v>
      </c>
      <c r="T182" s="212" t="s">
        <v>445</v>
      </c>
      <c r="U182" s="212" t="s">
        <v>446</v>
      </c>
      <c r="V182" s="214" t="b">
        <v>1</v>
      </c>
      <c r="W182" s="214">
        <v>1989</v>
      </c>
      <c r="X182" s="214">
        <v>5</v>
      </c>
      <c r="Y182" s="214">
        <v>2</v>
      </c>
      <c r="Z182" s="214">
        <v>4</v>
      </c>
      <c r="AA182" s="212" t="s">
        <v>447</v>
      </c>
      <c r="AB182" s="212" t="s">
        <v>531</v>
      </c>
      <c r="AC182" s="212" t="s">
        <v>533</v>
      </c>
      <c r="AD182" s="214">
        <v>2.6466440000000002</v>
      </c>
      <c r="AE182" s="214">
        <v>449</v>
      </c>
      <c r="AF182" s="214">
        <v>0.79630000000000001</v>
      </c>
      <c r="AG182" s="214">
        <v>-99</v>
      </c>
      <c r="AH182" s="212" t="s">
        <v>224</v>
      </c>
      <c r="AI182" s="212" t="s">
        <v>449</v>
      </c>
      <c r="AJ182" s="212" t="s">
        <v>337</v>
      </c>
      <c r="AK182" s="212" t="s">
        <v>531</v>
      </c>
      <c r="AL182" s="212" t="s">
        <v>394</v>
      </c>
      <c r="AM182" s="214" t="b">
        <v>1</v>
      </c>
      <c r="AN182" s="214" t="b">
        <v>1</v>
      </c>
      <c r="AO182" s="212" t="s">
        <v>338</v>
      </c>
      <c r="AP182" s="212" t="s">
        <v>339</v>
      </c>
      <c r="AQ182" s="214">
        <v>106.16500000000001</v>
      </c>
      <c r="AR182" s="214" t="b">
        <v>0</v>
      </c>
      <c r="AS182" s="212" t="s">
        <v>534</v>
      </c>
      <c r="AU182" s="222" t="s">
        <v>819</v>
      </c>
    </row>
    <row r="183" spans="1:47" s="263" customFormat="1" ht="13.5" customHeight="1" x14ac:dyDescent="0.25">
      <c r="A183" s="245">
        <f t="shared" si="24"/>
        <v>278</v>
      </c>
      <c r="B183" s="246" t="str">
        <f t="shared" si="17"/>
        <v>Oil Field - Well</v>
      </c>
      <c r="C183" s="246" t="str">
        <f ca="1">IF(B183="","",VLOOKUP(D183,'Species Data'!B:E,4,FALSE))</f>
        <v>methep2</v>
      </c>
      <c r="D183" s="246">
        <f t="shared" ca="1" si="18"/>
        <v>193</v>
      </c>
      <c r="E183" s="246">
        <f t="shared" ca="1" si="19"/>
        <v>2.3599999999999999E-2</v>
      </c>
      <c r="F183" s="246" t="str">
        <f t="shared" ca="1" si="20"/>
        <v>2-methylheptane</v>
      </c>
      <c r="G183" s="246">
        <f t="shared" ca="1" si="21"/>
        <v>114.22852</v>
      </c>
      <c r="H183" s="204">
        <f ca="1">IF(G183="","",IF(VLOOKUP(Well_Head!F183,'Species Data'!D:F,3,FALSE)=0,"X",IF(G183&lt;44.1,2,1)))</f>
        <v>1</v>
      </c>
      <c r="I183" s="204">
        <f t="shared" ca="1" si="22"/>
        <v>0.21534470764353159</v>
      </c>
      <c r="J183" s="247">
        <f ca="1">IF(I183="","",IF(COUNTIF($D$12:D183,D183)=1,IF(H183=1,I183*H183,IF(H183="X","X",0)),0))</f>
        <v>0</v>
      </c>
      <c r="K183" s="248">
        <f t="shared" ca="1" si="23"/>
        <v>0</v>
      </c>
      <c r="L183" s="238" t="s">
        <v>626</v>
      </c>
      <c r="M183" s="212" t="s">
        <v>448</v>
      </c>
      <c r="N183" s="212" t="s">
        <v>470</v>
      </c>
      <c r="O183" s="213">
        <v>41419</v>
      </c>
      <c r="P183" s="212" t="s">
        <v>531</v>
      </c>
      <c r="Q183" s="214">
        <v>100</v>
      </c>
      <c r="R183" s="212" t="s">
        <v>445</v>
      </c>
      <c r="S183" s="212" t="s">
        <v>532</v>
      </c>
      <c r="T183" s="212" t="s">
        <v>445</v>
      </c>
      <c r="U183" s="212" t="s">
        <v>446</v>
      </c>
      <c r="V183" s="214" t="b">
        <v>1</v>
      </c>
      <c r="W183" s="214">
        <v>1989</v>
      </c>
      <c r="X183" s="214">
        <v>5</v>
      </c>
      <c r="Y183" s="214">
        <v>2</v>
      </c>
      <c r="Z183" s="214">
        <v>4</v>
      </c>
      <c r="AA183" s="212" t="s">
        <v>447</v>
      </c>
      <c r="AB183" s="212" t="s">
        <v>531</v>
      </c>
      <c r="AC183" s="212" t="s">
        <v>533</v>
      </c>
      <c r="AD183" s="214">
        <v>2.6466440000000002</v>
      </c>
      <c r="AE183" s="214">
        <v>491</v>
      </c>
      <c r="AF183" s="214">
        <v>5.3100000000000001E-2</v>
      </c>
      <c r="AG183" s="214">
        <v>-99</v>
      </c>
      <c r="AH183" s="212" t="s">
        <v>224</v>
      </c>
      <c r="AI183" s="212" t="s">
        <v>449</v>
      </c>
      <c r="AJ183" s="212" t="s">
        <v>268</v>
      </c>
      <c r="AK183" s="212" t="s">
        <v>531</v>
      </c>
      <c r="AL183" s="212" t="s">
        <v>375</v>
      </c>
      <c r="AM183" s="214" t="b">
        <v>1</v>
      </c>
      <c r="AN183" s="214" t="b">
        <v>0</v>
      </c>
      <c r="AO183" s="212" t="s">
        <v>269</v>
      </c>
      <c r="AP183" s="212" t="s">
        <v>270</v>
      </c>
      <c r="AQ183" s="214">
        <v>58.122199999999992</v>
      </c>
      <c r="AR183" s="214" t="b">
        <v>0</v>
      </c>
      <c r="AS183" s="212" t="s">
        <v>534</v>
      </c>
      <c r="AU183" s="222" t="s">
        <v>819</v>
      </c>
    </row>
    <row r="184" spans="1:47" s="263" customFormat="1" ht="13.5" customHeight="1" x14ac:dyDescent="0.25">
      <c r="A184" s="245">
        <f t="shared" si="24"/>
        <v>279</v>
      </c>
      <c r="B184" s="246" t="str">
        <f t="shared" si="17"/>
        <v>Oil Field - Well</v>
      </c>
      <c r="C184" s="246" t="str">
        <f ca="1">IF(B184="","",VLOOKUP(D184,'Species Data'!B:E,4,FALSE))</f>
        <v>twomethex</v>
      </c>
      <c r="D184" s="246">
        <f t="shared" ca="1" si="18"/>
        <v>194</v>
      </c>
      <c r="E184" s="246">
        <f t="shared" ca="1" si="19"/>
        <v>0.1767</v>
      </c>
      <c r="F184" s="246" t="str">
        <f t="shared" ca="1" si="20"/>
        <v>2-methylhexane</v>
      </c>
      <c r="G184" s="246">
        <f t="shared" ca="1" si="21"/>
        <v>100.20194000000001</v>
      </c>
      <c r="H184" s="204">
        <f ca="1">IF(G184="","",IF(VLOOKUP(Well_Head!F184,'Species Data'!D:F,3,FALSE)=0,"X",IF(G184&lt;44.1,2,1)))</f>
        <v>1</v>
      </c>
      <c r="I184" s="204">
        <f t="shared" ca="1" si="22"/>
        <v>0.3337892968535851</v>
      </c>
      <c r="J184" s="247">
        <f ca="1">IF(I184="","",IF(COUNTIF($D$12:D184,D184)=1,IF(H184=1,I184*H184,IF(H184="X","X",0)),0))</f>
        <v>0</v>
      </c>
      <c r="K184" s="248">
        <f t="shared" ca="1" si="23"/>
        <v>0</v>
      </c>
      <c r="L184" s="238" t="s">
        <v>626</v>
      </c>
      <c r="M184" s="212" t="s">
        <v>448</v>
      </c>
      <c r="N184" s="212" t="s">
        <v>470</v>
      </c>
      <c r="O184" s="213">
        <v>41419</v>
      </c>
      <c r="P184" s="212" t="s">
        <v>531</v>
      </c>
      <c r="Q184" s="214">
        <v>100</v>
      </c>
      <c r="R184" s="212" t="s">
        <v>445</v>
      </c>
      <c r="S184" s="212" t="s">
        <v>532</v>
      </c>
      <c r="T184" s="212" t="s">
        <v>445</v>
      </c>
      <c r="U184" s="212" t="s">
        <v>446</v>
      </c>
      <c r="V184" s="214" t="b">
        <v>1</v>
      </c>
      <c r="W184" s="214">
        <v>1989</v>
      </c>
      <c r="X184" s="214">
        <v>5</v>
      </c>
      <c r="Y184" s="214">
        <v>2</v>
      </c>
      <c r="Z184" s="214">
        <v>4</v>
      </c>
      <c r="AA184" s="212" t="s">
        <v>447</v>
      </c>
      <c r="AB184" s="212" t="s">
        <v>531</v>
      </c>
      <c r="AC184" s="212" t="s">
        <v>533</v>
      </c>
      <c r="AD184" s="214">
        <v>2.6466440000000002</v>
      </c>
      <c r="AE184" s="214">
        <v>499</v>
      </c>
      <c r="AF184" s="214">
        <v>0.2455</v>
      </c>
      <c r="AG184" s="214">
        <v>-99</v>
      </c>
      <c r="AH184" s="212" t="s">
        <v>224</v>
      </c>
      <c r="AI184" s="212" t="s">
        <v>449</v>
      </c>
      <c r="AJ184" s="212" t="s">
        <v>531</v>
      </c>
      <c r="AK184" s="212" t="s">
        <v>642</v>
      </c>
      <c r="AL184" s="212" t="s">
        <v>643</v>
      </c>
      <c r="AM184" s="214" t="b">
        <v>0</v>
      </c>
      <c r="AN184" s="214" t="b">
        <v>0</v>
      </c>
      <c r="AO184" s="212" t="s">
        <v>644</v>
      </c>
      <c r="AP184" s="212" t="s">
        <v>531</v>
      </c>
      <c r="AQ184" s="214">
        <v>134.21816000000001</v>
      </c>
      <c r="AR184" s="214" t="b">
        <v>0</v>
      </c>
      <c r="AS184" s="212" t="s">
        <v>534</v>
      </c>
      <c r="AU184" s="222" t="s">
        <v>819</v>
      </c>
    </row>
    <row r="185" spans="1:47" s="263" customFormat="1" ht="13.5" customHeight="1" x14ac:dyDescent="0.25">
      <c r="A185" s="245">
        <f t="shared" si="24"/>
        <v>280</v>
      </c>
      <c r="B185" s="246" t="str">
        <f t="shared" si="17"/>
        <v>Oil Field - Well</v>
      </c>
      <c r="C185" s="246" t="str">
        <f ca="1">IF(B185="","",VLOOKUP(D185,'Species Data'!B:E,4,FALSE))</f>
        <v>twometpen</v>
      </c>
      <c r="D185" s="246">
        <f t="shared" ca="1" si="18"/>
        <v>199</v>
      </c>
      <c r="E185" s="246">
        <f t="shared" ca="1" si="19"/>
        <v>1.0353000000000001</v>
      </c>
      <c r="F185" s="246" t="str">
        <f t="shared" ca="1" si="20"/>
        <v>2-methylpentane (isohexane)</v>
      </c>
      <c r="G185" s="246">
        <f t="shared" ca="1" si="21"/>
        <v>86.175359999999998</v>
      </c>
      <c r="H185" s="204">
        <f ca="1">IF(G185="","",IF(VLOOKUP(Well_Head!F185,'Species Data'!D:F,3,FALSE)=0,"X",IF(G185&lt;44.1,2,1)))</f>
        <v>1</v>
      </c>
      <c r="I185" s="204">
        <f t="shared" ca="1" si="22"/>
        <v>0.797867641838229</v>
      </c>
      <c r="J185" s="247">
        <f ca="1">IF(I185="","",IF(COUNTIF($D$12:D185,D185)=1,IF(H185=1,I185*H185,IF(H185="X","X",0)),0))</f>
        <v>0</v>
      </c>
      <c r="K185" s="248">
        <f t="shared" ca="1" si="23"/>
        <v>0</v>
      </c>
      <c r="L185" s="238" t="s">
        <v>626</v>
      </c>
      <c r="M185" s="212" t="s">
        <v>448</v>
      </c>
      <c r="N185" s="212" t="s">
        <v>470</v>
      </c>
      <c r="O185" s="213">
        <v>41419</v>
      </c>
      <c r="P185" s="212" t="s">
        <v>531</v>
      </c>
      <c r="Q185" s="214">
        <v>100</v>
      </c>
      <c r="R185" s="212" t="s">
        <v>445</v>
      </c>
      <c r="S185" s="212" t="s">
        <v>532</v>
      </c>
      <c r="T185" s="212" t="s">
        <v>445</v>
      </c>
      <c r="U185" s="212" t="s">
        <v>446</v>
      </c>
      <c r="V185" s="214" t="b">
        <v>1</v>
      </c>
      <c r="W185" s="214">
        <v>1989</v>
      </c>
      <c r="X185" s="214">
        <v>5</v>
      </c>
      <c r="Y185" s="214">
        <v>2</v>
      </c>
      <c r="Z185" s="214">
        <v>4</v>
      </c>
      <c r="AA185" s="212" t="s">
        <v>447</v>
      </c>
      <c r="AB185" s="212" t="s">
        <v>531</v>
      </c>
      <c r="AC185" s="212" t="s">
        <v>533</v>
      </c>
      <c r="AD185" s="214">
        <v>2.6466440000000002</v>
      </c>
      <c r="AE185" s="214">
        <v>508</v>
      </c>
      <c r="AF185" s="214">
        <v>0.15579999999999999</v>
      </c>
      <c r="AG185" s="214">
        <v>-99</v>
      </c>
      <c r="AH185" s="212" t="s">
        <v>224</v>
      </c>
      <c r="AI185" s="212" t="s">
        <v>449</v>
      </c>
      <c r="AJ185" s="212" t="s">
        <v>342</v>
      </c>
      <c r="AK185" s="212" t="s">
        <v>531</v>
      </c>
      <c r="AL185" s="212" t="s">
        <v>395</v>
      </c>
      <c r="AM185" s="214" t="b">
        <v>1</v>
      </c>
      <c r="AN185" s="214" t="b">
        <v>0</v>
      </c>
      <c r="AO185" s="212" t="s">
        <v>343</v>
      </c>
      <c r="AP185" s="212" t="s">
        <v>344</v>
      </c>
      <c r="AQ185" s="214">
        <v>72.148780000000002</v>
      </c>
      <c r="AR185" s="214" t="b">
        <v>0</v>
      </c>
      <c r="AS185" s="212" t="s">
        <v>534</v>
      </c>
      <c r="AU185" s="222" t="s">
        <v>819</v>
      </c>
    </row>
    <row r="186" spans="1:47" s="263" customFormat="1" ht="13.5" customHeight="1" x14ac:dyDescent="0.25">
      <c r="A186" s="245">
        <f t="shared" si="24"/>
        <v>281</v>
      </c>
      <c r="B186" s="246" t="str">
        <f t="shared" si="17"/>
        <v>Oil Field - Well</v>
      </c>
      <c r="C186" s="246" t="str">
        <f ca="1">IF(B186="","",VLOOKUP(D186,'Species Data'!B:E,4,FALSE))</f>
        <v>ethylhexane</v>
      </c>
      <c r="D186" s="246">
        <f t="shared" ca="1" si="18"/>
        <v>226</v>
      </c>
      <c r="E186" s="246">
        <f t="shared" ca="1" si="19"/>
        <v>4.7699999999999999E-2</v>
      </c>
      <c r="F186" s="246" t="str">
        <f t="shared" ca="1" si="20"/>
        <v>3-ethylhexane</v>
      </c>
      <c r="G186" s="246">
        <f t="shared" ca="1" si="21"/>
        <v>114.22852</v>
      </c>
      <c r="H186" s="204" t="str">
        <f ca="1">IF(G186="","",IF(VLOOKUP(Well_Head!F186,'Species Data'!D:F,3,FALSE)=0,"X",IF(G186&lt;44.1,2,1)))</f>
        <v>X</v>
      </c>
      <c r="I186" s="204">
        <f t="shared" ca="1" si="22"/>
        <v>0.19565579469041575</v>
      </c>
      <c r="J186" s="247">
        <f ca="1">IF(I186="","",IF(COUNTIF($D$12:D186,D186)=1,IF(H186=1,I186*H186,IF(H186="X","X",0)),0))</f>
        <v>0</v>
      </c>
      <c r="K186" s="248">
        <f t="shared" ca="1" si="23"/>
        <v>0</v>
      </c>
      <c r="L186" s="238" t="s">
        <v>626</v>
      </c>
      <c r="M186" s="212" t="s">
        <v>448</v>
      </c>
      <c r="N186" s="212" t="s">
        <v>470</v>
      </c>
      <c r="O186" s="213">
        <v>41419</v>
      </c>
      <c r="P186" s="212" t="s">
        <v>531</v>
      </c>
      <c r="Q186" s="214">
        <v>100</v>
      </c>
      <c r="R186" s="212" t="s">
        <v>445</v>
      </c>
      <c r="S186" s="212" t="s">
        <v>532</v>
      </c>
      <c r="T186" s="212" t="s">
        <v>445</v>
      </c>
      <c r="U186" s="212" t="s">
        <v>446</v>
      </c>
      <c r="V186" s="214" t="b">
        <v>1</v>
      </c>
      <c r="W186" s="214">
        <v>1989</v>
      </c>
      <c r="X186" s="214">
        <v>5</v>
      </c>
      <c r="Y186" s="214">
        <v>2</v>
      </c>
      <c r="Z186" s="214">
        <v>4</v>
      </c>
      <c r="AA186" s="212" t="s">
        <v>447</v>
      </c>
      <c r="AB186" s="212" t="s">
        <v>531</v>
      </c>
      <c r="AC186" s="212" t="s">
        <v>533</v>
      </c>
      <c r="AD186" s="214">
        <v>2.6466440000000002</v>
      </c>
      <c r="AE186" s="214">
        <v>514</v>
      </c>
      <c r="AF186" s="214">
        <v>0.12609999999999999</v>
      </c>
      <c r="AG186" s="214">
        <v>-99</v>
      </c>
      <c r="AH186" s="212" t="s">
        <v>224</v>
      </c>
      <c r="AI186" s="212" t="s">
        <v>449</v>
      </c>
      <c r="AJ186" s="212" t="s">
        <v>362</v>
      </c>
      <c r="AK186" s="212" t="s">
        <v>531</v>
      </c>
      <c r="AL186" s="212" t="s">
        <v>399</v>
      </c>
      <c r="AM186" s="214" t="b">
        <v>1</v>
      </c>
      <c r="AN186" s="214" t="b">
        <v>1</v>
      </c>
      <c r="AO186" s="212" t="s">
        <v>363</v>
      </c>
      <c r="AP186" s="212" t="s">
        <v>364</v>
      </c>
      <c r="AQ186" s="214">
        <v>120.19158</v>
      </c>
      <c r="AR186" s="214" t="b">
        <v>0</v>
      </c>
      <c r="AS186" s="212" t="s">
        <v>534</v>
      </c>
      <c r="AU186" s="222" t="s">
        <v>819</v>
      </c>
    </row>
    <row r="187" spans="1:47" s="263" customFormat="1" ht="13.5" customHeight="1" x14ac:dyDescent="0.25">
      <c r="A187" s="245">
        <f t="shared" si="24"/>
        <v>282</v>
      </c>
      <c r="B187" s="246" t="str">
        <f t="shared" si="17"/>
        <v>Oil Field - Well</v>
      </c>
      <c r="C187" s="246" t="str">
        <f ca="1">IF(B187="","",VLOOKUP(D187,'Species Data'!B:E,4,FALSE))</f>
        <v>threemethex</v>
      </c>
      <c r="D187" s="246">
        <f t="shared" ca="1" si="18"/>
        <v>245</v>
      </c>
      <c r="E187" s="246">
        <f t="shared" ca="1" si="19"/>
        <v>0.2271</v>
      </c>
      <c r="F187" s="246" t="str">
        <f t="shared" ca="1" si="20"/>
        <v>3-methylhexane</v>
      </c>
      <c r="G187" s="246">
        <f t="shared" ca="1" si="21"/>
        <v>100.20194000000001</v>
      </c>
      <c r="H187" s="204">
        <f ca="1">IF(G187="","",IF(VLOOKUP(Well_Head!F187,'Species Data'!D:F,3,FALSE)=0,"X",IF(G187&lt;44.1,2,1)))</f>
        <v>1</v>
      </c>
      <c r="I187" s="204">
        <f t="shared" ca="1" si="22"/>
        <v>0.3128559379350353</v>
      </c>
      <c r="J187" s="247">
        <f ca="1">IF(I187="","",IF(COUNTIF($D$12:D187,D187)=1,IF(H187=1,I187*H187,IF(H187="X","X",0)),0))</f>
        <v>0</v>
      </c>
      <c r="K187" s="248">
        <f t="shared" ca="1" si="23"/>
        <v>0</v>
      </c>
      <c r="L187" s="238" t="s">
        <v>626</v>
      </c>
      <c r="M187" s="212" t="s">
        <v>448</v>
      </c>
      <c r="N187" s="212" t="s">
        <v>470</v>
      </c>
      <c r="O187" s="213">
        <v>41419</v>
      </c>
      <c r="P187" s="212" t="s">
        <v>531</v>
      </c>
      <c r="Q187" s="214">
        <v>100</v>
      </c>
      <c r="R187" s="212" t="s">
        <v>445</v>
      </c>
      <c r="S187" s="212" t="s">
        <v>532</v>
      </c>
      <c r="T187" s="212" t="s">
        <v>445</v>
      </c>
      <c r="U187" s="212" t="s">
        <v>446</v>
      </c>
      <c r="V187" s="214" t="b">
        <v>1</v>
      </c>
      <c r="W187" s="214">
        <v>1989</v>
      </c>
      <c r="X187" s="214">
        <v>5</v>
      </c>
      <c r="Y187" s="214">
        <v>2</v>
      </c>
      <c r="Z187" s="214">
        <v>4</v>
      </c>
      <c r="AA187" s="212" t="s">
        <v>447</v>
      </c>
      <c r="AB187" s="212" t="s">
        <v>531</v>
      </c>
      <c r="AC187" s="212" t="s">
        <v>533</v>
      </c>
      <c r="AD187" s="214">
        <v>2.6466440000000002</v>
      </c>
      <c r="AE187" s="214">
        <v>524</v>
      </c>
      <c r="AF187" s="214">
        <v>9.5999999999999992E-3</v>
      </c>
      <c r="AG187" s="214">
        <v>-99</v>
      </c>
      <c r="AH187" s="212" t="s">
        <v>224</v>
      </c>
      <c r="AI187" s="212" t="s">
        <v>449</v>
      </c>
      <c r="AJ187" s="212" t="s">
        <v>436</v>
      </c>
      <c r="AK187" s="212" t="s">
        <v>531</v>
      </c>
      <c r="AL187" s="212" t="s">
        <v>460</v>
      </c>
      <c r="AM187" s="214" t="b">
        <v>0</v>
      </c>
      <c r="AN187" s="214" t="b">
        <v>1</v>
      </c>
      <c r="AO187" s="212" t="s">
        <v>437</v>
      </c>
      <c r="AP187" s="212" t="s">
        <v>438</v>
      </c>
      <c r="AQ187" s="214">
        <v>106.16500000000001</v>
      </c>
      <c r="AR187" s="214" t="b">
        <v>0</v>
      </c>
      <c r="AS187" s="212" t="s">
        <v>534</v>
      </c>
      <c r="AU187" s="222" t="s">
        <v>819</v>
      </c>
    </row>
    <row r="188" spans="1:47" s="263" customFormat="1" ht="13.5" customHeight="1" x14ac:dyDescent="0.25">
      <c r="A188" s="245">
        <f t="shared" si="24"/>
        <v>283</v>
      </c>
      <c r="B188" s="246" t="str">
        <f t="shared" si="17"/>
        <v>Oil Field - Well</v>
      </c>
      <c r="C188" s="246" t="str">
        <f ca="1">IF(B188="","",VLOOKUP(D188,'Species Data'!B:E,4,FALSE))</f>
        <v>threemetpen</v>
      </c>
      <c r="D188" s="246">
        <f t="shared" ca="1" si="18"/>
        <v>248</v>
      </c>
      <c r="E188" s="246">
        <f t="shared" ca="1" si="19"/>
        <v>0.64449999999999996</v>
      </c>
      <c r="F188" s="246" t="str">
        <f t="shared" ca="1" si="20"/>
        <v>3-methylpentane</v>
      </c>
      <c r="G188" s="246">
        <f t="shared" ca="1" si="21"/>
        <v>86.175359999999998</v>
      </c>
      <c r="H188" s="204">
        <f ca="1">IF(G188="","",IF(VLOOKUP(Well_Head!F188,'Species Data'!D:F,3,FALSE)=0,"X",IF(G188&lt;44.1,2,1)))</f>
        <v>1</v>
      </c>
      <c r="I188" s="204">
        <f t="shared" ca="1" si="22"/>
        <v>0.69705640751338704</v>
      </c>
      <c r="J188" s="247">
        <f ca="1">IF(I188="","",IF(COUNTIF($D$12:D188,D188)=1,IF(H188=1,I188*H188,IF(H188="X","X",0)),0))</f>
        <v>0</v>
      </c>
      <c r="K188" s="248">
        <f t="shared" ca="1" si="23"/>
        <v>0</v>
      </c>
      <c r="L188" s="238" t="s">
        <v>626</v>
      </c>
      <c r="M188" s="212" t="s">
        <v>448</v>
      </c>
      <c r="N188" s="212" t="s">
        <v>470</v>
      </c>
      <c r="O188" s="213">
        <v>41419</v>
      </c>
      <c r="P188" s="212" t="s">
        <v>531</v>
      </c>
      <c r="Q188" s="214">
        <v>100</v>
      </c>
      <c r="R188" s="212" t="s">
        <v>445</v>
      </c>
      <c r="S188" s="212" t="s">
        <v>532</v>
      </c>
      <c r="T188" s="212" t="s">
        <v>445</v>
      </c>
      <c r="U188" s="212" t="s">
        <v>446</v>
      </c>
      <c r="V188" s="214" t="b">
        <v>1</v>
      </c>
      <c r="W188" s="214">
        <v>1989</v>
      </c>
      <c r="X188" s="214">
        <v>5</v>
      </c>
      <c r="Y188" s="214">
        <v>2</v>
      </c>
      <c r="Z188" s="214">
        <v>4</v>
      </c>
      <c r="AA188" s="212" t="s">
        <v>447</v>
      </c>
      <c r="AB188" s="212" t="s">
        <v>531</v>
      </c>
      <c r="AC188" s="212" t="s">
        <v>533</v>
      </c>
      <c r="AD188" s="214">
        <v>2.6466440000000002</v>
      </c>
      <c r="AE188" s="214">
        <v>529</v>
      </c>
      <c r="AF188" s="214">
        <v>62.094900000000003</v>
      </c>
      <c r="AG188" s="214">
        <v>-99</v>
      </c>
      <c r="AH188" s="212" t="s">
        <v>224</v>
      </c>
      <c r="AI188" s="212" t="s">
        <v>449</v>
      </c>
      <c r="AJ188" s="212" t="s">
        <v>271</v>
      </c>
      <c r="AK188" s="212" t="s">
        <v>531</v>
      </c>
      <c r="AL188" s="212" t="s">
        <v>376</v>
      </c>
      <c r="AM188" s="214" t="b">
        <v>0</v>
      </c>
      <c r="AN188" s="214" t="b">
        <v>0</v>
      </c>
      <c r="AO188" s="212" t="s">
        <v>272</v>
      </c>
      <c r="AP188" s="212" t="s">
        <v>531</v>
      </c>
      <c r="AQ188" s="214">
        <v>16.042459999999998</v>
      </c>
      <c r="AR188" s="214" t="b">
        <v>1</v>
      </c>
      <c r="AS188" s="212" t="s">
        <v>534</v>
      </c>
      <c r="AU188" s="222" t="s">
        <v>819</v>
      </c>
    </row>
    <row r="189" spans="1:47" s="263" customFormat="1" ht="13.5" customHeight="1" x14ac:dyDescent="0.25">
      <c r="A189" s="245">
        <f t="shared" si="24"/>
        <v>284</v>
      </c>
      <c r="B189" s="246" t="str">
        <f t="shared" si="17"/>
        <v>Oil Field - Well</v>
      </c>
      <c r="C189" s="246" t="str">
        <f ca="1">IF(B189="","",VLOOKUP(D189,'Species Data'!B:E,4,FALSE))</f>
        <v>benzene</v>
      </c>
      <c r="D189" s="246">
        <f t="shared" ca="1" si="18"/>
        <v>302</v>
      </c>
      <c r="E189" s="246">
        <f t="shared" ca="1" si="19"/>
        <v>0.1231</v>
      </c>
      <c r="F189" s="246" t="str">
        <f t="shared" ca="1" si="20"/>
        <v>Benzene</v>
      </c>
      <c r="G189" s="246">
        <f t="shared" ca="1" si="21"/>
        <v>78.111840000000001</v>
      </c>
      <c r="H189" s="204">
        <f ca="1">IF(G189="","",IF(VLOOKUP(Well_Head!F189,'Species Data'!D:F,3,FALSE)=0,"X",IF(G189&lt;44.1,2,1)))</f>
        <v>1</v>
      </c>
      <c r="I189" s="204">
        <f t="shared" ca="1" si="22"/>
        <v>0.3538559880462076</v>
      </c>
      <c r="J189" s="247">
        <f ca="1">IF(I189="","",IF(COUNTIF($D$12:D189,D189)=1,IF(H189=1,I189*H189,IF(H189="X","X",0)),0))</f>
        <v>0</v>
      </c>
      <c r="K189" s="248">
        <f t="shared" ca="1" si="23"/>
        <v>0</v>
      </c>
      <c r="L189" s="238" t="s">
        <v>626</v>
      </c>
      <c r="M189" s="212" t="s">
        <v>448</v>
      </c>
      <c r="N189" s="212" t="s">
        <v>470</v>
      </c>
      <c r="O189" s="213">
        <v>41419</v>
      </c>
      <c r="P189" s="212" t="s">
        <v>531</v>
      </c>
      <c r="Q189" s="214">
        <v>100</v>
      </c>
      <c r="R189" s="212" t="s">
        <v>445</v>
      </c>
      <c r="S189" s="212" t="s">
        <v>532</v>
      </c>
      <c r="T189" s="212" t="s">
        <v>445</v>
      </c>
      <c r="U189" s="212" t="s">
        <v>446</v>
      </c>
      <c r="V189" s="214" t="b">
        <v>1</v>
      </c>
      <c r="W189" s="214">
        <v>1989</v>
      </c>
      <c r="X189" s="214">
        <v>5</v>
      </c>
      <c r="Y189" s="214">
        <v>2</v>
      </c>
      <c r="Z189" s="214">
        <v>4</v>
      </c>
      <c r="AA189" s="212" t="s">
        <v>447</v>
      </c>
      <c r="AB189" s="212" t="s">
        <v>531</v>
      </c>
      <c r="AC189" s="212" t="s">
        <v>533</v>
      </c>
      <c r="AD189" s="214">
        <v>2.6466440000000002</v>
      </c>
      <c r="AE189" s="214">
        <v>550</v>
      </c>
      <c r="AF189" s="214">
        <v>1.6899999999999998E-2</v>
      </c>
      <c r="AG189" s="214">
        <v>-99</v>
      </c>
      <c r="AH189" s="212" t="s">
        <v>224</v>
      </c>
      <c r="AI189" s="212" t="s">
        <v>449</v>
      </c>
      <c r="AJ189" s="212" t="s">
        <v>348</v>
      </c>
      <c r="AK189" s="212" t="s">
        <v>531</v>
      </c>
      <c r="AL189" s="212" t="s">
        <v>396</v>
      </c>
      <c r="AM189" s="214" t="b">
        <v>1</v>
      </c>
      <c r="AN189" s="214" t="b">
        <v>0</v>
      </c>
      <c r="AO189" s="212" t="s">
        <v>349</v>
      </c>
      <c r="AP189" s="212" t="s">
        <v>350</v>
      </c>
      <c r="AQ189" s="214">
        <v>98.186059999999998</v>
      </c>
      <c r="AR189" s="214" t="b">
        <v>0</v>
      </c>
      <c r="AS189" s="212" t="s">
        <v>534</v>
      </c>
      <c r="AU189" s="222" t="s">
        <v>819</v>
      </c>
    </row>
    <row r="190" spans="1:47" s="263" customFormat="1" ht="13.5" customHeight="1" x14ac:dyDescent="0.25">
      <c r="A190" s="245">
        <f t="shared" si="24"/>
        <v>285</v>
      </c>
      <c r="B190" s="246" t="str">
        <f t="shared" si="17"/>
        <v>Oil Field - Well</v>
      </c>
      <c r="C190" s="246" t="str">
        <f ca="1">IF(B190="","",VLOOKUP(D190,'Species Data'!B:E,4,FALSE))</f>
        <v>cyclohexane</v>
      </c>
      <c r="D190" s="246">
        <f t="shared" ca="1" si="18"/>
        <v>385</v>
      </c>
      <c r="E190" s="246">
        <f t="shared" ca="1" si="19"/>
        <v>8.5000000000000006E-3</v>
      </c>
      <c r="F190" s="246" t="str">
        <f t="shared" ca="1" si="20"/>
        <v>Cyclohexane</v>
      </c>
      <c r="G190" s="246">
        <f t="shared" ca="1" si="21"/>
        <v>84.159480000000002</v>
      </c>
      <c r="H190" s="204">
        <f ca="1">IF(G190="","",IF(VLOOKUP(Well_Head!F190,'Species Data'!D:F,3,FALSE)=0,"X",IF(G190&lt;44.1,2,1)))</f>
        <v>1</v>
      </c>
      <c r="I190" s="204">
        <f t="shared" ca="1" si="22"/>
        <v>7.8433429196413454E-2</v>
      </c>
      <c r="J190" s="247">
        <f ca="1">IF(I190="","",IF(COUNTIF($D$12:D190,D190)=1,IF(H190=1,I190*H190,IF(H190="X","X",0)),0))</f>
        <v>0</v>
      </c>
      <c r="K190" s="248">
        <f t="shared" ca="1" si="23"/>
        <v>0</v>
      </c>
      <c r="L190" s="238" t="s">
        <v>626</v>
      </c>
      <c r="M190" s="212" t="s">
        <v>448</v>
      </c>
      <c r="N190" s="212" t="s">
        <v>470</v>
      </c>
      <c r="O190" s="213">
        <v>41419</v>
      </c>
      <c r="P190" s="212" t="s">
        <v>531</v>
      </c>
      <c r="Q190" s="214">
        <v>100</v>
      </c>
      <c r="R190" s="212" t="s">
        <v>445</v>
      </c>
      <c r="S190" s="212" t="s">
        <v>532</v>
      </c>
      <c r="T190" s="212" t="s">
        <v>445</v>
      </c>
      <c r="U190" s="212" t="s">
        <v>446</v>
      </c>
      <c r="V190" s="214" t="b">
        <v>1</v>
      </c>
      <c r="W190" s="214">
        <v>1989</v>
      </c>
      <c r="X190" s="214">
        <v>5</v>
      </c>
      <c r="Y190" s="214">
        <v>2</v>
      </c>
      <c r="Z190" s="214">
        <v>4</v>
      </c>
      <c r="AA190" s="212" t="s">
        <v>447</v>
      </c>
      <c r="AB190" s="212" t="s">
        <v>531</v>
      </c>
      <c r="AC190" s="212" t="s">
        <v>533</v>
      </c>
      <c r="AD190" s="214">
        <v>2.6466440000000002</v>
      </c>
      <c r="AE190" s="214">
        <v>551</v>
      </c>
      <c r="AF190" s="214">
        <v>0.14119999999999999</v>
      </c>
      <c r="AG190" s="214">
        <v>-99</v>
      </c>
      <c r="AH190" s="212" t="s">
        <v>224</v>
      </c>
      <c r="AI190" s="212" t="s">
        <v>449</v>
      </c>
      <c r="AJ190" s="212" t="s">
        <v>351</v>
      </c>
      <c r="AK190" s="212" t="s">
        <v>531</v>
      </c>
      <c r="AL190" s="212" t="s">
        <v>397</v>
      </c>
      <c r="AM190" s="214" t="b">
        <v>1</v>
      </c>
      <c r="AN190" s="214" t="b">
        <v>0</v>
      </c>
      <c r="AO190" s="212" t="s">
        <v>352</v>
      </c>
      <c r="AP190" s="212" t="s">
        <v>353</v>
      </c>
      <c r="AQ190" s="214">
        <v>84.159480000000002</v>
      </c>
      <c r="AR190" s="214" t="b">
        <v>0</v>
      </c>
      <c r="AS190" s="212" t="s">
        <v>534</v>
      </c>
      <c r="AU190" s="222" t="s">
        <v>819</v>
      </c>
    </row>
    <row r="191" spans="1:47" s="263" customFormat="1" ht="13.5" customHeight="1" x14ac:dyDescent="0.25">
      <c r="A191" s="245">
        <f t="shared" si="24"/>
        <v>286</v>
      </c>
      <c r="B191" s="246" t="str">
        <f t="shared" si="17"/>
        <v>Oil Field - Well</v>
      </c>
      <c r="C191" s="246" t="str">
        <f ca="1">IF(B191="","",VLOOKUP(D191,'Species Data'!B:E,4,FALSE))</f>
        <v>ethane</v>
      </c>
      <c r="D191" s="246">
        <f t="shared" ca="1" si="18"/>
        <v>438</v>
      </c>
      <c r="E191" s="246">
        <f t="shared" ca="1" si="19"/>
        <v>10.1622</v>
      </c>
      <c r="F191" s="246" t="str">
        <f t="shared" ca="1" si="20"/>
        <v>Ethane</v>
      </c>
      <c r="G191" s="246">
        <f t="shared" ca="1" si="21"/>
        <v>30.069040000000005</v>
      </c>
      <c r="H191" s="204">
        <f ca="1">IF(G191="","",IF(VLOOKUP(Well_Head!F191,'Species Data'!D:F,3,FALSE)=0,"X",IF(G191&lt;44.1,2,1)))</f>
        <v>2</v>
      </c>
      <c r="I191" s="204">
        <f t="shared" ca="1" si="22"/>
        <v>7.2582977601417076</v>
      </c>
      <c r="J191" s="247">
        <f ca="1">IF(I191="","",IF(COUNTIF($D$12:D191,D191)=1,IF(H191=1,I191*H191,IF(H191="X","X",0)),0))</f>
        <v>0</v>
      </c>
      <c r="K191" s="248">
        <f t="shared" ca="1" si="23"/>
        <v>0</v>
      </c>
      <c r="L191" s="238" t="s">
        <v>626</v>
      </c>
      <c r="M191" s="212" t="s">
        <v>448</v>
      </c>
      <c r="N191" s="212" t="s">
        <v>470</v>
      </c>
      <c r="O191" s="213">
        <v>41419</v>
      </c>
      <c r="P191" s="212" t="s">
        <v>531</v>
      </c>
      <c r="Q191" s="214">
        <v>100</v>
      </c>
      <c r="R191" s="212" t="s">
        <v>445</v>
      </c>
      <c r="S191" s="212" t="s">
        <v>532</v>
      </c>
      <c r="T191" s="212" t="s">
        <v>445</v>
      </c>
      <c r="U191" s="212" t="s">
        <v>446</v>
      </c>
      <c r="V191" s="214" t="b">
        <v>1</v>
      </c>
      <c r="W191" s="214">
        <v>1989</v>
      </c>
      <c r="X191" s="214">
        <v>5</v>
      </c>
      <c r="Y191" s="214">
        <v>2</v>
      </c>
      <c r="Z191" s="214">
        <v>4</v>
      </c>
      <c r="AA191" s="212" t="s">
        <v>447</v>
      </c>
      <c r="AB191" s="212" t="s">
        <v>531</v>
      </c>
      <c r="AC191" s="212" t="s">
        <v>533</v>
      </c>
      <c r="AD191" s="214">
        <v>2.6466440000000002</v>
      </c>
      <c r="AE191" s="214">
        <v>592</v>
      </c>
      <c r="AF191" s="214">
        <v>6.8400000000000002E-2</v>
      </c>
      <c r="AG191" s="214">
        <v>-99</v>
      </c>
      <c r="AH191" s="212" t="s">
        <v>224</v>
      </c>
      <c r="AI191" s="212" t="s">
        <v>449</v>
      </c>
      <c r="AJ191" s="212" t="s">
        <v>273</v>
      </c>
      <c r="AK191" s="212" t="s">
        <v>531</v>
      </c>
      <c r="AL191" s="212" t="s">
        <v>377</v>
      </c>
      <c r="AM191" s="214" t="b">
        <v>1</v>
      </c>
      <c r="AN191" s="214" t="b">
        <v>0</v>
      </c>
      <c r="AO191" s="212" t="s">
        <v>274</v>
      </c>
      <c r="AP191" s="212" t="s">
        <v>275</v>
      </c>
      <c r="AQ191" s="214">
        <v>58.122199999999992</v>
      </c>
      <c r="AR191" s="214" t="b">
        <v>0</v>
      </c>
      <c r="AS191" s="212" t="s">
        <v>534</v>
      </c>
      <c r="AU191" s="222" t="s">
        <v>819</v>
      </c>
    </row>
    <row r="192" spans="1:47" s="263" customFormat="1" ht="13.5" customHeight="1" x14ac:dyDescent="0.25">
      <c r="A192" s="245">
        <f t="shared" si="24"/>
        <v>287</v>
      </c>
      <c r="B192" s="246" t="str">
        <f t="shared" si="17"/>
        <v>Oil Field - Well</v>
      </c>
      <c r="C192" s="246" t="str">
        <f ca="1">IF(B192="","",VLOOKUP(D192,'Species Data'!B:E,4,FALSE))</f>
        <v>ethyl_benz</v>
      </c>
      <c r="D192" s="246">
        <f t="shared" ca="1" si="18"/>
        <v>449</v>
      </c>
      <c r="E192" s="246">
        <f t="shared" ca="1" si="19"/>
        <v>7.5499999999999998E-2</v>
      </c>
      <c r="F192" s="246" t="str">
        <f t="shared" ca="1" si="20"/>
        <v>Ethylbenzene</v>
      </c>
      <c r="G192" s="246">
        <f t="shared" ca="1" si="21"/>
        <v>106.16500000000001</v>
      </c>
      <c r="H192" s="204">
        <f ca="1">IF(G192="","",IF(VLOOKUP(Well_Head!F192,'Species Data'!D:F,3,FALSE)=0,"X",IF(G192&lt;44.1,2,1)))</f>
        <v>1</v>
      </c>
      <c r="I192" s="204">
        <f t="shared" ca="1" si="22"/>
        <v>0.43623386650805906</v>
      </c>
      <c r="J192" s="247">
        <f ca="1">IF(I192="","",IF(COUNTIF($D$12:D192,D192)=1,IF(H192=1,I192*H192,IF(H192="X","X",0)),0))</f>
        <v>0</v>
      </c>
      <c r="K192" s="248">
        <f t="shared" ca="1" si="23"/>
        <v>0</v>
      </c>
      <c r="L192" s="238" t="s">
        <v>626</v>
      </c>
      <c r="M192" s="212" t="s">
        <v>448</v>
      </c>
      <c r="N192" s="212" t="s">
        <v>470</v>
      </c>
      <c r="O192" s="213">
        <v>41419</v>
      </c>
      <c r="P192" s="212" t="s">
        <v>531</v>
      </c>
      <c r="Q192" s="214">
        <v>100</v>
      </c>
      <c r="R192" s="212" t="s">
        <v>445</v>
      </c>
      <c r="S192" s="212" t="s">
        <v>532</v>
      </c>
      <c r="T192" s="212" t="s">
        <v>445</v>
      </c>
      <c r="U192" s="212" t="s">
        <v>446</v>
      </c>
      <c r="V192" s="214" t="b">
        <v>1</v>
      </c>
      <c r="W192" s="214">
        <v>1989</v>
      </c>
      <c r="X192" s="214">
        <v>5</v>
      </c>
      <c r="Y192" s="214">
        <v>2</v>
      </c>
      <c r="Z192" s="214">
        <v>4</v>
      </c>
      <c r="AA192" s="212" t="s">
        <v>447</v>
      </c>
      <c r="AB192" s="212" t="s">
        <v>531</v>
      </c>
      <c r="AC192" s="212" t="s">
        <v>533</v>
      </c>
      <c r="AD192" s="214">
        <v>2.6466440000000002</v>
      </c>
      <c r="AE192" s="214">
        <v>598</v>
      </c>
      <c r="AF192" s="214">
        <v>0.15279999999999999</v>
      </c>
      <c r="AG192" s="214">
        <v>-99</v>
      </c>
      <c r="AH192" s="212" t="s">
        <v>224</v>
      </c>
      <c r="AI192" s="212" t="s">
        <v>449</v>
      </c>
      <c r="AJ192" s="212" t="s">
        <v>414</v>
      </c>
      <c r="AK192" s="212" t="s">
        <v>531</v>
      </c>
      <c r="AL192" s="212" t="s">
        <v>452</v>
      </c>
      <c r="AM192" s="214" t="b">
        <v>1</v>
      </c>
      <c r="AN192" s="214" t="b">
        <v>0</v>
      </c>
      <c r="AO192" s="212" t="s">
        <v>415</v>
      </c>
      <c r="AP192" s="212" t="s">
        <v>416</v>
      </c>
      <c r="AQ192" s="214">
        <v>142.28167999999999</v>
      </c>
      <c r="AR192" s="214" t="b">
        <v>0</v>
      </c>
      <c r="AS192" s="212" t="s">
        <v>534</v>
      </c>
      <c r="AU192" s="222" t="s">
        <v>819</v>
      </c>
    </row>
    <row r="193" spans="1:47" s="263" customFormat="1" ht="13.5" customHeight="1" x14ac:dyDescent="0.25">
      <c r="A193" s="245">
        <f t="shared" si="24"/>
        <v>288</v>
      </c>
      <c r="B193" s="246" t="str">
        <f t="shared" si="17"/>
        <v>Oil Field - Well</v>
      </c>
      <c r="C193" s="246" t="str">
        <f ca="1">IF(B193="","",VLOOKUP(D193,'Species Data'!B:E,4,FALSE))</f>
        <v>isobut</v>
      </c>
      <c r="D193" s="246">
        <f t="shared" ca="1" si="18"/>
        <v>491</v>
      </c>
      <c r="E193" s="246">
        <f t="shared" ca="1" si="19"/>
        <v>2.7121</v>
      </c>
      <c r="F193" s="246" t="str">
        <f t="shared" ca="1" si="20"/>
        <v>Isobutane</v>
      </c>
      <c r="G193" s="246">
        <f t="shared" ca="1" si="21"/>
        <v>58.122199999999992</v>
      </c>
      <c r="H193" s="204">
        <f ca="1">IF(G193="","",IF(VLOOKUP(Well_Head!F193,'Species Data'!D:F,3,FALSE)=0,"X",IF(G193&lt;44.1,2,1)))</f>
        <v>1</v>
      </c>
      <c r="I193" s="204">
        <f t="shared" ca="1" si="22"/>
        <v>2.9024368807561878</v>
      </c>
      <c r="J193" s="247">
        <f ca="1">IF(I193="","",IF(COUNTIF($D$12:D193,D193)=1,IF(H193=1,I193*H193,IF(H193="X","X",0)),0))</f>
        <v>0</v>
      </c>
      <c r="K193" s="248">
        <f t="shared" ca="1" si="23"/>
        <v>0</v>
      </c>
      <c r="L193" s="238" t="s">
        <v>626</v>
      </c>
      <c r="M193" s="212" t="s">
        <v>448</v>
      </c>
      <c r="N193" s="212" t="s">
        <v>470</v>
      </c>
      <c r="O193" s="213">
        <v>41419</v>
      </c>
      <c r="P193" s="212" t="s">
        <v>531</v>
      </c>
      <c r="Q193" s="214">
        <v>100</v>
      </c>
      <c r="R193" s="212" t="s">
        <v>445</v>
      </c>
      <c r="S193" s="212" t="s">
        <v>532</v>
      </c>
      <c r="T193" s="212" t="s">
        <v>445</v>
      </c>
      <c r="U193" s="212" t="s">
        <v>446</v>
      </c>
      <c r="V193" s="214" t="b">
        <v>1</v>
      </c>
      <c r="W193" s="214">
        <v>1989</v>
      </c>
      <c r="X193" s="214">
        <v>5</v>
      </c>
      <c r="Y193" s="214">
        <v>2</v>
      </c>
      <c r="Z193" s="214">
        <v>4</v>
      </c>
      <c r="AA193" s="212" t="s">
        <v>447</v>
      </c>
      <c r="AB193" s="212" t="s">
        <v>531</v>
      </c>
      <c r="AC193" s="212" t="s">
        <v>533</v>
      </c>
      <c r="AD193" s="214">
        <v>2.6466440000000002</v>
      </c>
      <c r="AE193" s="214">
        <v>601</v>
      </c>
      <c r="AF193" s="214">
        <v>8.2000000000000007E-3</v>
      </c>
      <c r="AG193" s="214">
        <v>-99</v>
      </c>
      <c r="AH193" s="212" t="s">
        <v>224</v>
      </c>
      <c r="AI193" s="212" t="s">
        <v>449</v>
      </c>
      <c r="AJ193" s="212" t="s">
        <v>279</v>
      </c>
      <c r="AK193" s="212" t="s">
        <v>531</v>
      </c>
      <c r="AL193" s="212" t="s">
        <v>379</v>
      </c>
      <c r="AM193" s="214" t="b">
        <v>1</v>
      </c>
      <c r="AN193" s="214" t="b">
        <v>1</v>
      </c>
      <c r="AO193" s="212" t="s">
        <v>280</v>
      </c>
      <c r="AP193" s="212" t="s">
        <v>281</v>
      </c>
      <c r="AQ193" s="214">
        <v>86.175359999999998</v>
      </c>
      <c r="AR193" s="214" t="b">
        <v>0</v>
      </c>
      <c r="AS193" s="212" t="s">
        <v>534</v>
      </c>
      <c r="AU193" s="222" t="s">
        <v>819</v>
      </c>
    </row>
    <row r="194" spans="1:47" s="263" customFormat="1" ht="13.5" customHeight="1" x14ac:dyDescent="0.25">
      <c r="A194" s="245">
        <f t="shared" si="24"/>
        <v>289</v>
      </c>
      <c r="B194" s="246" t="str">
        <f t="shared" si="17"/>
        <v>Oil Field - Well</v>
      </c>
      <c r="C194" s="246" t="str">
        <f ca="1">IF(B194="","",VLOOKUP(D194,'Species Data'!B:E,4,FALSE))</f>
        <v>i_but</v>
      </c>
      <c r="D194" s="246">
        <f t="shared" ca="1" si="18"/>
        <v>499</v>
      </c>
      <c r="E194" s="246">
        <f t="shared" ca="1" si="19"/>
        <v>4.4999999999999997E-3</v>
      </c>
      <c r="F194" s="246" t="str">
        <f t="shared" ca="1" si="20"/>
        <v>Isomers of butylbenzene</v>
      </c>
      <c r="G194" s="246">
        <f t="shared" ca="1" si="21"/>
        <v>134.21816000000001</v>
      </c>
      <c r="H194" s="204">
        <f ca="1">IF(G194="","",IF(VLOOKUP(Well_Head!F194,'Species Data'!D:F,3,FALSE)=0,"X",IF(G194&lt;44.1,2,1)))</f>
        <v>1</v>
      </c>
      <c r="I194" s="204">
        <f t="shared" ca="1" si="22"/>
        <v>0.12713348871870844</v>
      </c>
      <c r="J194" s="247">
        <f ca="1">IF(I194="","",IF(COUNTIF($D$12:D194,D194)=1,IF(H194=1,I194*H194,IF(H194="X","X",0)),0))</f>
        <v>0</v>
      </c>
      <c r="K194" s="248">
        <f t="shared" ca="1" si="23"/>
        <v>0</v>
      </c>
      <c r="L194" s="238" t="s">
        <v>626</v>
      </c>
      <c r="M194" s="212" t="s">
        <v>448</v>
      </c>
      <c r="N194" s="212" t="s">
        <v>470</v>
      </c>
      <c r="O194" s="213">
        <v>41419</v>
      </c>
      <c r="P194" s="212" t="s">
        <v>531</v>
      </c>
      <c r="Q194" s="214">
        <v>100</v>
      </c>
      <c r="R194" s="212" t="s">
        <v>445</v>
      </c>
      <c r="S194" s="212" t="s">
        <v>532</v>
      </c>
      <c r="T194" s="212" t="s">
        <v>445</v>
      </c>
      <c r="U194" s="212" t="s">
        <v>446</v>
      </c>
      <c r="V194" s="214" t="b">
        <v>1</v>
      </c>
      <c r="W194" s="214">
        <v>1989</v>
      </c>
      <c r="X194" s="214">
        <v>5</v>
      </c>
      <c r="Y194" s="214">
        <v>2</v>
      </c>
      <c r="Z194" s="214">
        <v>4</v>
      </c>
      <c r="AA194" s="212" t="s">
        <v>447</v>
      </c>
      <c r="AB194" s="212" t="s">
        <v>531</v>
      </c>
      <c r="AC194" s="212" t="s">
        <v>533</v>
      </c>
      <c r="AD194" s="214">
        <v>2.6466440000000002</v>
      </c>
      <c r="AE194" s="214">
        <v>603</v>
      </c>
      <c r="AF194" s="214">
        <v>0.14630000000000001</v>
      </c>
      <c r="AG194" s="214">
        <v>-99</v>
      </c>
      <c r="AH194" s="212" t="s">
        <v>224</v>
      </c>
      <c r="AI194" s="212" t="s">
        <v>449</v>
      </c>
      <c r="AJ194" s="212" t="s">
        <v>417</v>
      </c>
      <c r="AK194" s="212" t="s">
        <v>531</v>
      </c>
      <c r="AL194" s="212" t="s">
        <v>453</v>
      </c>
      <c r="AM194" s="214" t="b">
        <v>1</v>
      </c>
      <c r="AN194" s="214" t="b">
        <v>0</v>
      </c>
      <c r="AO194" s="212" t="s">
        <v>418</v>
      </c>
      <c r="AP194" s="212" t="s">
        <v>419</v>
      </c>
      <c r="AQ194" s="214">
        <v>128.2551</v>
      </c>
      <c r="AR194" s="214" t="b">
        <v>0</v>
      </c>
      <c r="AS194" s="212" t="s">
        <v>534</v>
      </c>
      <c r="AU194" s="222" t="s">
        <v>819</v>
      </c>
    </row>
    <row r="195" spans="1:47" s="263" customFormat="1" ht="13.5" customHeight="1" x14ac:dyDescent="0.25">
      <c r="A195" s="245">
        <f t="shared" si="24"/>
        <v>290</v>
      </c>
      <c r="B195" s="246" t="str">
        <f t="shared" si="17"/>
        <v>Oil Field - Well</v>
      </c>
      <c r="C195" s="246" t="str">
        <f ca="1">IF(B195="","",VLOOKUP(D195,'Species Data'!B:E,4,FALSE))</f>
        <v>isopentane</v>
      </c>
      <c r="D195" s="246">
        <f t="shared" ca="1" si="18"/>
        <v>508</v>
      </c>
      <c r="E195" s="246">
        <f t="shared" ca="1" si="19"/>
        <v>2.9424999999999999</v>
      </c>
      <c r="F195" s="246" t="str">
        <f t="shared" ca="1" si="20"/>
        <v>Isopentane (2-Methylbutane)</v>
      </c>
      <c r="G195" s="246">
        <f t="shared" ca="1" si="21"/>
        <v>72.148780000000002</v>
      </c>
      <c r="H195" s="204">
        <f ca="1">IF(G195="","",IF(VLOOKUP(Well_Head!F195,'Species Data'!D:F,3,FALSE)=0,"X",IF(G195&lt;44.1,2,1)))</f>
        <v>1</v>
      </c>
      <c r="I195" s="204">
        <f t="shared" ca="1" si="22"/>
        <v>2.9334258075204316</v>
      </c>
      <c r="J195" s="247">
        <f ca="1">IF(I195="","",IF(COUNTIF($D$12:D195,D195)=1,IF(H195=1,I195*H195,IF(H195="X","X",0)),0))</f>
        <v>0</v>
      </c>
      <c r="K195" s="248">
        <f t="shared" ca="1" si="23"/>
        <v>0</v>
      </c>
      <c r="L195" s="238" t="s">
        <v>626</v>
      </c>
      <c r="M195" s="212" t="s">
        <v>448</v>
      </c>
      <c r="N195" s="212" t="s">
        <v>470</v>
      </c>
      <c r="O195" s="213">
        <v>41419</v>
      </c>
      <c r="P195" s="212" t="s">
        <v>531</v>
      </c>
      <c r="Q195" s="214">
        <v>100</v>
      </c>
      <c r="R195" s="212" t="s">
        <v>445</v>
      </c>
      <c r="S195" s="212" t="s">
        <v>532</v>
      </c>
      <c r="T195" s="212" t="s">
        <v>445</v>
      </c>
      <c r="U195" s="212" t="s">
        <v>446</v>
      </c>
      <c r="V195" s="214" t="b">
        <v>1</v>
      </c>
      <c r="W195" s="214">
        <v>1989</v>
      </c>
      <c r="X195" s="214">
        <v>5</v>
      </c>
      <c r="Y195" s="214">
        <v>2</v>
      </c>
      <c r="Z195" s="214">
        <v>4</v>
      </c>
      <c r="AA195" s="212" t="s">
        <v>447</v>
      </c>
      <c r="AB195" s="212" t="s">
        <v>531</v>
      </c>
      <c r="AC195" s="212" t="s">
        <v>533</v>
      </c>
      <c r="AD195" s="214">
        <v>2.6466440000000002</v>
      </c>
      <c r="AE195" s="214">
        <v>604</v>
      </c>
      <c r="AF195" s="214">
        <v>1.4280999999999999</v>
      </c>
      <c r="AG195" s="214">
        <v>-99</v>
      </c>
      <c r="AH195" s="212" t="s">
        <v>224</v>
      </c>
      <c r="AI195" s="212" t="s">
        <v>449</v>
      </c>
      <c r="AJ195" s="212" t="s">
        <v>282</v>
      </c>
      <c r="AK195" s="212" t="s">
        <v>531</v>
      </c>
      <c r="AL195" s="212" t="s">
        <v>380</v>
      </c>
      <c r="AM195" s="214" t="b">
        <v>1</v>
      </c>
      <c r="AN195" s="214" t="b">
        <v>0</v>
      </c>
      <c r="AO195" s="212" t="s">
        <v>283</v>
      </c>
      <c r="AP195" s="212" t="s">
        <v>284</v>
      </c>
      <c r="AQ195" s="214">
        <v>114.22852</v>
      </c>
      <c r="AR195" s="214" t="b">
        <v>0</v>
      </c>
      <c r="AS195" s="212" t="s">
        <v>534</v>
      </c>
      <c r="AU195" s="222" t="s">
        <v>819</v>
      </c>
    </row>
    <row r="196" spans="1:47" s="263" customFormat="1" ht="13.5" customHeight="1" x14ac:dyDescent="0.25">
      <c r="A196" s="245">
        <f t="shared" si="24"/>
        <v>291</v>
      </c>
      <c r="B196" s="246" t="str">
        <f t="shared" si="17"/>
        <v>Oil Field - Well</v>
      </c>
      <c r="C196" s="246" t="str">
        <f ca="1">IF(B196="","",VLOOKUP(D196,'Species Data'!B:E,4,FALSE))</f>
        <v>isopben</v>
      </c>
      <c r="D196" s="246">
        <f t="shared" ca="1" si="18"/>
        <v>514</v>
      </c>
      <c r="E196" s="246">
        <f t="shared" ca="1" si="19"/>
        <v>2.7000000000000001E-3</v>
      </c>
      <c r="F196" s="246" t="str">
        <f t="shared" ca="1" si="20"/>
        <v>Isopropylbenzene (cumene)</v>
      </c>
      <c r="G196" s="246">
        <f t="shared" ca="1" si="21"/>
        <v>120.19158</v>
      </c>
      <c r="H196" s="204">
        <f ca="1">IF(G196="","",IF(VLOOKUP(Well_Head!F196,'Species Data'!D:F,3,FALSE)=0,"X",IF(G196&lt;44.1,2,1)))</f>
        <v>1</v>
      </c>
      <c r="I196" s="204">
        <f t="shared" ca="1" si="22"/>
        <v>7.8922318682833947E-2</v>
      </c>
      <c r="J196" s="247">
        <f ca="1">IF(I196="","",IF(COUNTIF($D$12:D196,D196)=1,IF(H196=1,I196*H196,IF(H196="X","X",0)),0))</f>
        <v>0</v>
      </c>
      <c r="K196" s="248">
        <f t="shared" ca="1" si="23"/>
        <v>0</v>
      </c>
      <c r="L196" s="238" t="s">
        <v>626</v>
      </c>
      <c r="M196" s="212" t="s">
        <v>448</v>
      </c>
      <c r="N196" s="212" t="s">
        <v>470</v>
      </c>
      <c r="O196" s="213">
        <v>41419</v>
      </c>
      <c r="P196" s="212" t="s">
        <v>531</v>
      </c>
      <c r="Q196" s="214">
        <v>100</v>
      </c>
      <c r="R196" s="212" t="s">
        <v>445</v>
      </c>
      <c r="S196" s="212" t="s">
        <v>532</v>
      </c>
      <c r="T196" s="212" t="s">
        <v>445</v>
      </c>
      <c r="U196" s="212" t="s">
        <v>446</v>
      </c>
      <c r="V196" s="214" t="b">
        <v>1</v>
      </c>
      <c r="W196" s="214">
        <v>1989</v>
      </c>
      <c r="X196" s="214">
        <v>5</v>
      </c>
      <c r="Y196" s="214">
        <v>2</v>
      </c>
      <c r="Z196" s="214">
        <v>4</v>
      </c>
      <c r="AA196" s="212" t="s">
        <v>447</v>
      </c>
      <c r="AB196" s="212" t="s">
        <v>531</v>
      </c>
      <c r="AC196" s="212" t="s">
        <v>533</v>
      </c>
      <c r="AD196" s="214">
        <v>2.6466440000000002</v>
      </c>
      <c r="AE196" s="214">
        <v>605</v>
      </c>
      <c r="AF196" s="214">
        <v>2.5000000000000001E-2</v>
      </c>
      <c r="AG196" s="214">
        <v>-99</v>
      </c>
      <c r="AH196" s="212" t="s">
        <v>224</v>
      </c>
      <c r="AI196" s="212" t="s">
        <v>449</v>
      </c>
      <c r="AJ196" s="212" t="s">
        <v>285</v>
      </c>
      <c r="AK196" s="212" t="s">
        <v>531</v>
      </c>
      <c r="AL196" s="212" t="s">
        <v>381</v>
      </c>
      <c r="AM196" s="214" t="b">
        <v>1</v>
      </c>
      <c r="AN196" s="214" t="b">
        <v>0</v>
      </c>
      <c r="AO196" s="212" t="s">
        <v>286</v>
      </c>
      <c r="AP196" s="212" t="s">
        <v>287</v>
      </c>
      <c r="AQ196" s="214">
        <v>72.148780000000002</v>
      </c>
      <c r="AR196" s="214" t="b">
        <v>0</v>
      </c>
      <c r="AS196" s="212" t="s">
        <v>534</v>
      </c>
      <c r="AU196" s="222" t="s">
        <v>819</v>
      </c>
    </row>
    <row r="197" spans="1:47" s="263" customFormat="1" ht="13.5" customHeight="1" x14ac:dyDescent="0.25">
      <c r="A197" s="245">
        <f t="shared" si="24"/>
        <v>292</v>
      </c>
      <c r="B197" s="246" t="str">
        <f t="shared" si="17"/>
        <v>Oil Field - Well</v>
      </c>
      <c r="C197" s="246" t="str">
        <f ca="1">IF(B197="","",VLOOKUP(D197,'Species Data'!B:E,4,FALSE))</f>
        <v>M_xylene</v>
      </c>
      <c r="D197" s="246">
        <f t="shared" ca="1" si="18"/>
        <v>524</v>
      </c>
      <c r="E197" s="246">
        <f t="shared" ca="1" si="19"/>
        <v>3.3399999999999999E-2</v>
      </c>
      <c r="F197" s="246" t="str">
        <f t="shared" ca="1" si="20"/>
        <v>M-xylene</v>
      </c>
      <c r="G197" s="246">
        <f t="shared" ca="1" si="21"/>
        <v>106.16500000000001</v>
      </c>
      <c r="H197" s="204">
        <f ca="1">IF(G197="","",IF(VLOOKUP(Well_Head!F197,'Species Data'!D:F,3,FALSE)=0,"X",IF(G197&lt;44.1,2,1)))</f>
        <v>1</v>
      </c>
      <c r="I197" s="204">
        <f t="shared" ca="1" si="22"/>
        <v>0.21376692793735641</v>
      </c>
      <c r="J197" s="247">
        <f ca="1">IF(I197="","",IF(COUNTIF($D$12:D197,D197)=1,IF(H197=1,I197*H197,IF(H197="X","X",0)),0))</f>
        <v>0</v>
      </c>
      <c r="K197" s="248">
        <f t="shared" ca="1" si="23"/>
        <v>0</v>
      </c>
      <c r="L197" s="238" t="s">
        <v>626</v>
      </c>
      <c r="M197" s="212" t="s">
        <v>448</v>
      </c>
      <c r="N197" s="212" t="s">
        <v>470</v>
      </c>
      <c r="O197" s="213">
        <v>41419</v>
      </c>
      <c r="P197" s="212" t="s">
        <v>531</v>
      </c>
      <c r="Q197" s="214">
        <v>100</v>
      </c>
      <c r="R197" s="212" t="s">
        <v>445</v>
      </c>
      <c r="S197" s="212" t="s">
        <v>532</v>
      </c>
      <c r="T197" s="212" t="s">
        <v>445</v>
      </c>
      <c r="U197" s="212" t="s">
        <v>446</v>
      </c>
      <c r="V197" s="214" t="b">
        <v>1</v>
      </c>
      <c r="W197" s="214">
        <v>1989</v>
      </c>
      <c r="X197" s="214">
        <v>5</v>
      </c>
      <c r="Y197" s="214">
        <v>2</v>
      </c>
      <c r="Z197" s="214">
        <v>4</v>
      </c>
      <c r="AA197" s="212" t="s">
        <v>447</v>
      </c>
      <c r="AB197" s="212" t="s">
        <v>531</v>
      </c>
      <c r="AC197" s="212" t="s">
        <v>533</v>
      </c>
      <c r="AD197" s="214">
        <v>2.6466440000000002</v>
      </c>
      <c r="AE197" s="214">
        <v>608</v>
      </c>
      <c r="AF197" s="214">
        <v>0.14319999999999999</v>
      </c>
      <c r="AG197" s="214">
        <v>-99</v>
      </c>
      <c r="AH197" s="212" t="s">
        <v>224</v>
      </c>
      <c r="AI197" s="212" t="s">
        <v>449</v>
      </c>
      <c r="AJ197" s="212" t="s">
        <v>420</v>
      </c>
      <c r="AK197" s="212" t="s">
        <v>531</v>
      </c>
      <c r="AL197" s="212" t="s">
        <v>454</v>
      </c>
      <c r="AM197" s="214" t="b">
        <v>1</v>
      </c>
      <c r="AN197" s="214" t="b">
        <v>0</v>
      </c>
      <c r="AO197" s="212" t="s">
        <v>421</v>
      </c>
      <c r="AP197" s="212" t="s">
        <v>422</v>
      </c>
      <c r="AQ197" s="214">
        <v>120.19158</v>
      </c>
      <c r="AR197" s="214" t="b">
        <v>0</v>
      </c>
      <c r="AS197" s="212" t="s">
        <v>534</v>
      </c>
      <c r="AU197" s="222" t="s">
        <v>819</v>
      </c>
    </row>
    <row r="198" spans="1:47" s="263" customFormat="1" ht="13.5" customHeight="1" x14ac:dyDescent="0.25">
      <c r="A198" s="245">
        <f t="shared" si="24"/>
        <v>293</v>
      </c>
      <c r="B198" s="246" t="str">
        <f t="shared" si="17"/>
        <v>Oil Field - Well</v>
      </c>
      <c r="C198" s="246" t="str">
        <f ca="1">IF(B198="","",VLOOKUP(D198,'Species Data'!B:E,4,FALSE))</f>
        <v>methane</v>
      </c>
      <c r="D198" s="246">
        <f t="shared" ca="1" si="18"/>
        <v>529</v>
      </c>
      <c r="E198" s="246">
        <f t="shared" ca="1" si="19"/>
        <v>47.8262</v>
      </c>
      <c r="F198" s="246" t="str">
        <f t="shared" ca="1" si="20"/>
        <v>Methane</v>
      </c>
      <c r="G198" s="246">
        <f t="shared" ca="1" si="21"/>
        <v>16.042459999999998</v>
      </c>
      <c r="H198" s="204">
        <f ca="1">IF(G198="","",IF(VLOOKUP(Well_Head!F198,'Species Data'!D:F,3,FALSE)=0,"X",IF(G198&lt;44.1,2,1)))</f>
        <v>2</v>
      </c>
      <c r="I198" s="204">
        <f t="shared" ca="1" si="22"/>
        <v>36.272299888366533</v>
      </c>
      <c r="J198" s="247">
        <f ca="1">IF(I198="","",IF(COUNTIF($D$12:D198,D198)=1,IF(H198=1,I198*H198,IF(H198="X","X",0)),0))</f>
        <v>0</v>
      </c>
      <c r="K198" s="248">
        <f t="shared" ca="1" si="23"/>
        <v>0</v>
      </c>
      <c r="L198" s="238" t="s">
        <v>626</v>
      </c>
      <c r="M198" s="212" t="s">
        <v>448</v>
      </c>
      <c r="N198" s="212" t="s">
        <v>470</v>
      </c>
      <c r="O198" s="213">
        <v>41419</v>
      </c>
      <c r="P198" s="212" t="s">
        <v>531</v>
      </c>
      <c r="Q198" s="214">
        <v>100</v>
      </c>
      <c r="R198" s="212" t="s">
        <v>445</v>
      </c>
      <c r="S198" s="212" t="s">
        <v>532</v>
      </c>
      <c r="T198" s="212" t="s">
        <v>445</v>
      </c>
      <c r="U198" s="212" t="s">
        <v>446</v>
      </c>
      <c r="V198" s="214" t="b">
        <v>1</v>
      </c>
      <c r="W198" s="214">
        <v>1989</v>
      </c>
      <c r="X198" s="214">
        <v>5</v>
      </c>
      <c r="Y198" s="214">
        <v>2</v>
      </c>
      <c r="Z198" s="214">
        <v>4</v>
      </c>
      <c r="AA198" s="212" t="s">
        <v>447</v>
      </c>
      <c r="AB198" s="212" t="s">
        <v>531</v>
      </c>
      <c r="AC198" s="212" t="s">
        <v>533</v>
      </c>
      <c r="AD198" s="214">
        <v>2.6466440000000002</v>
      </c>
      <c r="AE198" s="214">
        <v>610</v>
      </c>
      <c r="AF198" s="214">
        <v>0.11509999999999999</v>
      </c>
      <c r="AG198" s="214">
        <v>-99</v>
      </c>
      <c r="AH198" s="212" t="s">
        <v>224</v>
      </c>
      <c r="AI198" s="212" t="s">
        <v>449</v>
      </c>
      <c r="AJ198" s="212" t="s">
        <v>430</v>
      </c>
      <c r="AK198" s="212" t="s">
        <v>531</v>
      </c>
      <c r="AL198" s="212" t="s">
        <v>458</v>
      </c>
      <c r="AM198" s="214" t="b">
        <v>1</v>
      </c>
      <c r="AN198" s="214" t="b">
        <v>0</v>
      </c>
      <c r="AO198" s="212" t="s">
        <v>431</v>
      </c>
      <c r="AP198" s="212" t="s">
        <v>432</v>
      </c>
      <c r="AQ198" s="214">
        <v>156.30826000000002</v>
      </c>
      <c r="AR198" s="214" t="b">
        <v>0</v>
      </c>
      <c r="AS198" s="212" t="s">
        <v>534</v>
      </c>
      <c r="AU198" s="222" t="s">
        <v>819</v>
      </c>
    </row>
    <row r="199" spans="1:47" s="263" customFormat="1" ht="13.5" customHeight="1" x14ac:dyDescent="0.25">
      <c r="A199" s="245">
        <f t="shared" si="24"/>
        <v>294</v>
      </c>
      <c r="B199" s="246" t="str">
        <f t="shared" si="17"/>
        <v>Oil Field - Well</v>
      </c>
      <c r="C199" s="246" t="str">
        <f ca="1">IF(B199="","",VLOOKUP(D199,'Species Data'!B:E,4,FALSE))</f>
        <v>methcycpen</v>
      </c>
      <c r="D199" s="246">
        <f t="shared" ca="1" si="18"/>
        <v>551</v>
      </c>
      <c r="E199" s="246">
        <f t="shared" ca="1" si="19"/>
        <v>1.6400000000000001E-2</v>
      </c>
      <c r="F199" s="246" t="str">
        <f t="shared" ca="1" si="20"/>
        <v>Methylcyclopentane</v>
      </c>
      <c r="G199" s="246">
        <f t="shared" ca="1" si="21"/>
        <v>84.159480000000002</v>
      </c>
      <c r="H199" s="204">
        <f ca="1">IF(G199="","",IF(VLOOKUP(Well_Head!F199,'Species Data'!D:F,3,FALSE)=0,"X",IF(G199&lt;44.1,2,1)))</f>
        <v>1</v>
      </c>
      <c r="I199" s="204">
        <f t="shared" ca="1" si="22"/>
        <v>0.80952321163948093</v>
      </c>
      <c r="J199" s="247">
        <f ca="1">IF(I199="","",IF(COUNTIF($D$12:D199,D199)=1,IF(H199=1,I199*H199,IF(H199="X","X",0)),0))</f>
        <v>0</v>
      </c>
      <c r="K199" s="248">
        <f t="shared" ca="1" si="23"/>
        <v>0</v>
      </c>
      <c r="L199" s="238" t="s">
        <v>626</v>
      </c>
      <c r="M199" s="212" t="s">
        <v>448</v>
      </c>
      <c r="N199" s="212" t="s">
        <v>470</v>
      </c>
      <c r="O199" s="213">
        <v>41419</v>
      </c>
      <c r="P199" s="212" t="s">
        <v>531</v>
      </c>
      <c r="Q199" s="214">
        <v>100</v>
      </c>
      <c r="R199" s="212" t="s">
        <v>445</v>
      </c>
      <c r="S199" s="212" t="s">
        <v>532</v>
      </c>
      <c r="T199" s="212" t="s">
        <v>445</v>
      </c>
      <c r="U199" s="212" t="s">
        <v>446</v>
      </c>
      <c r="V199" s="214" t="b">
        <v>1</v>
      </c>
      <c r="W199" s="214">
        <v>1989</v>
      </c>
      <c r="X199" s="214">
        <v>5</v>
      </c>
      <c r="Y199" s="214">
        <v>2</v>
      </c>
      <c r="Z199" s="214">
        <v>4</v>
      </c>
      <c r="AA199" s="212" t="s">
        <v>447</v>
      </c>
      <c r="AB199" s="212" t="s">
        <v>531</v>
      </c>
      <c r="AC199" s="212" t="s">
        <v>533</v>
      </c>
      <c r="AD199" s="214">
        <v>2.6466440000000002</v>
      </c>
      <c r="AE199" s="214">
        <v>620</v>
      </c>
      <c r="AF199" s="214">
        <v>0.20399999999999999</v>
      </c>
      <c r="AG199" s="214">
        <v>-99</v>
      </c>
      <c r="AH199" s="212" t="s">
        <v>224</v>
      </c>
      <c r="AI199" s="212" t="s">
        <v>449</v>
      </c>
      <c r="AJ199" s="212" t="s">
        <v>354</v>
      </c>
      <c r="AK199" s="212" t="s">
        <v>531</v>
      </c>
      <c r="AL199" s="212" t="s">
        <v>398</v>
      </c>
      <c r="AM199" s="214" t="b">
        <v>1</v>
      </c>
      <c r="AN199" s="214" t="b">
        <v>1</v>
      </c>
      <c r="AO199" s="212" t="s">
        <v>355</v>
      </c>
      <c r="AP199" s="212" t="s">
        <v>356</v>
      </c>
      <c r="AQ199" s="214">
        <v>106.16500000000001</v>
      </c>
      <c r="AR199" s="214" t="b">
        <v>0</v>
      </c>
      <c r="AS199" s="212" t="s">
        <v>534</v>
      </c>
      <c r="AU199" s="222" t="s">
        <v>819</v>
      </c>
    </row>
    <row r="200" spans="1:47" s="263" customFormat="1" ht="13.5" customHeight="1" x14ac:dyDescent="0.25">
      <c r="A200" s="245">
        <f t="shared" si="24"/>
        <v>295</v>
      </c>
      <c r="B200" s="246" t="str">
        <f t="shared" si="17"/>
        <v>Oil Field - Well</v>
      </c>
      <c r="C200" s="246" t="str">
        <f ca="1">IF(B200="","",VLOOKUP(D200,'Species Data'!B:E,4,FALSE))</f>
        <v>N_but</v>
      </c>
      <c r="D200" s="246">
        <f t="shared" ca="1" si="18"/>
        <v>592</v>
      </c>
      <c r="E200" s="246">
        <f t="shared" ca="1" si="19"/>
        <v>7.7709999999999999</v>
      </c>
      <c r="F200" s="246" t="str">
        <f t="shared" ca="1" si="20"/>
        <v>N-butane</v>
      </c>
      <c r="G200" s="246">
        <f t="shared" ca="1" si="21"/>
        <v>58.122199999999992</v>
      </c>
      <c r="H200" s="204">
        <f ca="1">IF(G200="","",IF(VLOOKUP(Well_Head!F200,'Species Data'!D:F,3,FALSE)=0,"X",IF(G200&lt;44.1,2,1)))</f>
        <v>1</v>
      </c>
      <c r="I200" s="204">
        <f t="shared" ca="1" si="22"/>
        <v>6.782997179218774</v>
      </c>
      <c r="J200" s="247">
        <f ca="1">IF(I200="","",IF(COUNTIF($D$12:D200,D200)=1,IF(H200=1,I200*H200,IF(H200="X","X",0)),0))</f>
        <v>0</v>
      </c>
      <c r="K200" s="248">
        <f t="shared" ca="1" si="23"/>
        <v>0</v>
      </c>
      <c r="L200" s="238" t="s">
        <v>626</v>
      </c>
      <c r="M200" s="212" t="s">
        <v>448</v>
      </c>
      <c r="N200" s="212" t="s">
        <v>470</v>
      </c>
      <c r="O200" s="213">
        <v>41419</v>
      </c>
      <c r="P200" s="212" t="s">
        <v>531</v>
      </c>
      <c r="Q200" s="214">
        <v>100</v>
      </c>
      <c r="R200" s="212" t="s">
        <v>445</v>
      </c>
      <c r="S200" s="212" t="s">
        <v>532</v>
      </c>
      <c r="T200" s="212" t="s">
        <v>445</v>
      </c>
      <c r="U200" s="212" t="s">
        <v>446</v>
      </c>
      <c r="V200" s="214" t="b">
        <v>1</v>
      </c>
      <c r="W200" s="214">
        <v>1989</v>
      </c>
      <c r="X200" s="214">
        <v>5</v>
      </c>
      <c r="Y200" s="214">
        <v>2</v>
      </c>
      <c r="Z200" s="214">
        <v>4</v>
      </c>
      <c r="AA200" s="212" t="s">
        <v>447</v>
      </c>
      <c r="AB200" s="212" t="s">
        <v>531</v>
      </c>
      <c r="AC200" s="212" t="s">
        <v>533</v>
      </c>
      <c r="AD200" s="214">
        <v>2.6466440000000002</v>
      </c>
      <c r="AE200" s="214">
        <v>648</v>
      </c>
      <c r="AF200" s="214">
        <v>2.5000000000000001E-2</v>
      </c>
      <c r="AG200" s="214">
        <v>-99</v>
      </c>
      <c r="AH200" s="212" t="s">
        <v>224</v>
      </c>
      <c r="AI200" s="212" t="s">
        <v>449</v>
      </c>
      <c r="AJ200" s="212" t="s">
        <v>433</v>
      </c>
      <c r="AK200" s="212" t="s">
        <v>531</v>
      </c>
      <c r="AL200" s="212" t="s">
        <v>459</v>
      </c>
      <c r="AM200" s="214" t="b">
        <v>0</v>
      </c>
      <c r="AN200" s="214" t="b">
        <v>1</v>
      </c>
      <c r="AO200" s="212" t="s">
        <v>434</v>
      </c>
      <c r="AP200" s="212" t="s">
        <v>435</v>
      </c>
      <c r="AQ200" s="214">
        <v>106.16500000000001</v>
      </c>
      <c r="AR200" s="214" t="b">
        <v>0</v>
      </c>
      <c r="AS200" s="212" t="s">
        <v>534</v>
      </c>
      <c r="AU200" s="222" t="s">
        <v>819</v>
      </c>
    </row>
    <row r="201" spans="1:47" s="263" customFormat="1" ht="13.5" customHeight="1" x14ac:dyDescent="0.25">
      <c r="A201" s="245">
        <f t="shared" si="24"/>
        <v>296</v>
      </c>
      <c r="B201" s="246" t="str">
        <f t="shared" si="17"/>
        <v>Oil Field - Well</v>
      </c>
      <c r="C201" s="246" t="str">
        <f ca="1">IF(B201="","",VLOOKUP(D201,'Species Data'!B:E,4,FALSE))</f>
        <v>N_dec</v>
      </c>
      <c r="D201" s="246">
        <f t="shared" ca="1" si="18"/>
        <v>598</v>
      </c>
      <c r="E201" s="246">
        <f t="shared" ca="1" si="19"/>
        <v>1.1000000000000001E-3</v>
      </c>
      <c r="F201" s="246" t="str">
        <f t="shared" ca="1" si="20"/>
        <v>N-decane</v>
      </c>
      <c r="G201" s="246">
        <f t="shared" ca="1" si="21"/>
        <v>142.28167999999999</v>
      </c>
      <c r="H201" s="204">
        <f ca="1">IF(G201="","",IF(VLOOKUP(Well_Head!F201,'Species Data'!D:F,3,FALSE)=0,"X",IF(G201&lt;44.1,2,1)))</f>
        <v>1</v>
      </c>
      <c r="I201" s="204">
        <f t="shared" ca="1" si="22"/>
        <v>7.7733428340856864E-2</v>
      </c>
      <c r="J201" s="247">
        <f ca="1">IF(I201="","",IF(COUNTIF($D$12:D201,D201)=1,IF(H201=1,I201*H201,IF(H201="X","X",0)),0))</f>
        <v>0</v>
      </c>
      <c r="K201" s="248">
        <f t="shared" ca="1" si="23"/>
        <v>0</v>
      </c>
      <c r="L201" s="238" t="s">
        <v>626</v>
      </c>
      <c r="M201" s="212" t="s">
        <v>448</v>
      </c>
      <c r="N201" s="212" t="s">
        <v>470</v>
      </c>
      <c r="O201" s="213">
        <v>41419</v>
      </c>
      <c r="P201" s="212" t="s">
        <v>531</v>
      </c>
      <c r="Q201" s="214">
        <v>100</v>
      </c>
      <c r="R201" s="212" t="s">
        <v>445</v>
      </c>
      <c r="S201" s="212" t="s">
        <v>532</v>
      </c>
      <c r="T201" s="212" t="s">
        <v>445</v>
      </c>
      <c r="U201" s="212" t="s">
        <v>446</v>
      </c>
      <c r="V201" s="214" t="b">
        <v>1</v>
      </c>
      <c r="W201" s="214">
        <v>1989</v>
      </c>
      <c r="X201" s="214">
        <v>5</v>
      </c>
      <c r="Y201" s="214">
        <v>2</v>
      </c>
      <c r="Z201" s="214">
        <v>4</v>
      </c>
      <c r="AA201" s="212" t="s">
        <v>447</v>
      </c>
      <c r="AB201" s="212" t="s">
        <v>531</v>
      </c>
      <c r="AC201" s="212" t="s">
        <v>533</v>
      </c>
      <c r="AD201" s="214">
        <v>2.6466440000000002</v>
      </c>
      <c r="AE201" s="214">
        <v>671</v>
      </c>
      <c r="AF201" s="214">
        <v>7.8100000000000003E-2</v>
      </c>
      <c r="AG201" s="214">
        <v>-99</v>
      </c>
      <c r="AH201" s="212" t="s">
        <v>224</v>
      </c>
      <c r="AI201" s="212" t="s">
        <v>449</v>
      </c>
      <c r="AJ201" s="212" t="s">
        <v>288</v>
      </c>
      <c r="AK201" s="212" t="s">
        <v>531</v>
      </c>
      <c r="AL201" s="212" t="s">
        <v>382</v>
      </c>
      <c r="AM201" s="214" t="b">
        <v>1</v>
      </c>
      <c r="AN201" s="214" t="b">
        <v>0</v>
      </c>
      <c r="AO201" s="212" t="s">
        <v>289</v>
      </c>
      <c r="AP201" s="212" t="s">
        <v>290</v>
      </c>
      <c r="AQ201" s="214">
        <v>44.095619999999997</v>
      </c>
      <c r="AR201" s="214" t="b">
        <v>0</v>
      </c>
      <c r="AS201" s="212" t="s">
        <v>534</v>
      </c>
      <c r="AU201" s="222" t="s">
        <v>819</v>
      </c>
    </row>
    <row r="202" spans="1:47" s="263" customFormat="1" ht="13.5" customHeight="1" x14ac:dyDescent="0.25">
      <c r="A202" s="245">
        <f t="shared" si="24"/>
        <v>297</v>
      </c>
      <c r="B202" s="246" t="str">
        <f t="shared" si="17"/>
        <v>Oil Field - Well</v>
      </c>
      <c r="C202" s="246" t="str">
        <f ca="1">IF(B202="","",VLOOKUP(D202,'Species Data'!B:E,4,FALSE))</f>
        <v>N_hep</v>
      </c>
      <c r="D202" s="246">
        <f t="shared" ca="1" si="18"/>
        <v>600</v>
      </c>
      <c r="E202" s="246">
        <f t="shared" ca="1" si="19"/>
        <v>0.31640000000000001</v>
      </c>
      <c r="F202" s="246" t="str">
        <f t="shared" ca="1" si="20"/>
        <v>N-heptane</v>
      </c>
      <c r="G202" s="246">
        <f t="shared" ca="1" si="21"/>
        <v>100.20194000000001</v>
      </c>
      <c r="H202" s="204">
        <f ca="1">IF(G202="","",IF(VLOOKUP(Well_Head!F202,'Species Data'!D:F,3,FALSE)=0,"X",IF(G202&lt;44.1,2,1)))</f>
        <v>1</v>
      </c>
      <c r="I202" s="204">
        <f t="shared" ca="1" si="22"/>
        <v>0.42536718655989475</v>
      </c>
      <c r="J202" s="247">
        <f ca="1">IF(I202="","",IF(COUNTIF($D$12:D202,D202)=1,IF(H202=1,I202*H202,IF(H202="X","X",0)),0))</f>
        <v>0.42536718655989475</v>
      </c>
      <c r="K202" s="248">
        <f t="shared" ca="1" si="23"/>
        <v>0.89367355318750108</v>
      </c>
      <c r="L202" s="238" t="s">
        <v>626</v>
      </c>
      <c r="M202" s="212" t="s">
        <v>448</v>
      </c>
      <c r="N202" s="212" t="s">
        <v>470</v>
      </c>
      <c r="O202" s="213">
        <v>41419</v>
      </c>
      <c r="P202" s="212" t="s">
        <v>531</v>
      </c>
      <c r="Q202" s="214">
        <v>100</v>
      </c>
      <c r="R202" s="212" t="s">
        <v>445</v>
      </c>
      <c r="S202" s="212" t="s">
        <v>532</v>
      </c>
      <c r="T202" s="212" t="s">
        <v>445</v>
      </c>
      <c r="U202" s="212" t="s">
        <v>446</v>
      </c>
      <c r="V202" s="214" t="b">
        <v>1</v>
      </c>
      <c r="W202" s="214">
        <v>1989</v>
      </c>
      <c r="X202" s="214">
        <v>5</v>
      </c>
      <c r="Y202" s="214">
        <v>2</v>
      </c>
      <c r="Z202" s="214">
        <v>4</v>
      </c>
      <c r="AA202" s="212" t="s">
        <v>447</v>
      </c>
      <c r="AB202" s="212" t="s">
        <v>531</v>
      </c>
      <c r="AC202" s="212" t="s">
        <v>533</v>
      </c>
      <c r="AD202" s="214">
        <v>2.6466440000000002</v>
      </c>
      <c r="AE202" s="214">
        <v>703</v>
      </c>
      <c r="AF202" s="214">
        <v>0.26419999999999999</v>
      </c>
      <c r="AG202" s="214">
        <v>-99</v>
      </c>
      <c r="AH202" s="212" t="s">
        <v>224</v>
      </c>
      <c r="AI202" s="212" t="s">
        <v>449</v>
      </c>
      <c r="AJ202" s="212" t="s">
        <v>423</v>
      </c>
      <c r="AK202" s="212" t="s">
        <v>531</v>
      </c>
      <c r="AL202" s="212" t="s">
        <v>455</v>
      </c>
      <c r="AM202" s="214" t="b">
        <v>0</v>
      </c>
      <c r="AN202" s="214" t="b">
        <v>0</v>
      </c>
      <c r="AO202" s="212" t="s">
        <v>424</v>
      </c>
      <c r="AP202" s="212" t="s">
        <v>531</v>
      </c>
      <c r="AQ202" s="214">
        <v>134.21816000000001</v>
      </c>
      <c r="AR202" s="214" t="b">
        <v>0</v>
      </c>
      <c r="AS202" s="212" t="s">
        <v>534</v>
      </c>
      <c r="AU202" s="222" t="s">
        <v>819</v>
      </c>
    </row>
    <row r="203" spans="1:47" s="263" customFormat="1" ht="13.5" customHeight="1" x14ac:dyDescent="0.25">
      <c r="A203" s="245">
        <f t="shared" si="24"/>
        <v>298</v>
      </c>
      <c r="B203" s="246" t="str">
        <f t="shared" si="17"/>
        <v>Oil Field - Well</v>
      </c>
      <c r="C203" s="246" t="str">
        <f ca="1">IF(B203="","",VLOOKUP(D203,'Species Data'!B:E,4,FALSE))</f>
        <v>N_hex</v>
      </c>
      <c r="D203" s="246">
        <f t="shared" ca="1" si="18"/>
        <v>601</v>
      </c>
      <c r="E203" s="246">
        <f t="shared" ca="1" si="19"/>
        <v>1.1569</v>
      </c>
      <c r="F203" s="246" t="str">
        <f t="shared" ca="1" si="20"/>
        <v>N-hexane</v>
      </c>
      <c r="G203" s="246">
        <f t="shared" ca="1" si="21"/>
        <v>86.175359999999998</v>
      </c>
      <c r="H203" s="204">
        <f ca="1">IF(G203="","",IF(VLOOKUP(Well_Head!F203,'Species Data'!D:F,3,FALSE)=0,"X",IF(G203&lt;44.1,2,1)))</f>
        <v>1</v>
      </c>
      <c r="I203" s="204">
        <f t="shared" ca="1" si="22"/>
        <v>0.89334553631121094</v>
      </c>
      <c r="J203" s="247">
        <f ca="1">IF(I203="","",IF(COUNTIF($D$12:D203,D203)=1,IF(H203=1,I203*H203,IF(H203="X","X",0)),0))</f>
        <v>0</v>
      </c>
      <c r="K203" s="248">
        <f t="shared" ca="1" si="23"/>
        <v>0</v>
      </c>
      <c r="L203" s="238" t="s">
        <v>626</v>
      </c>
      <c r="M203" s="212" t="s">
        <v>448</v>
      </c>
      <c r="N203" s="212" t="s">
        <v>470</v>
      </c>
      <c r="O203" s="213">
        <v>41419</v>
      </c>
      <c r="P203" s="212" t="s">
        <v>531</v>
      </c>
      <c r="Q203" s="214">
        <v>100</v>
      </c>
      <c r="R203" s="212" t="s">
        <v>445</v>
      </c>
      <c r="S203" s="212" t="s">
        <v>532</v>
      </c>
      <c r="T203" s="212" t="s">
        <v>445</v>
      </c>
      <c r="U203" s="212" t="s">
        <v>446</v>
      </c>
      <c r="V203" s="214" t="b">
        <v>1</v>
      </c>
      <c r="W203" s="214">
        <v>1989</v>
      </c>
      <c r="X203" s="214">
        <v>5</v>
      </c>
      <c r="Y203" s="214">
        <v>2</v>
      </c>
      <c r="Z203" s="214">
        <v>4</v>
      </c>
      <c r="AA203" s="212" t="s">
        <v>447</v>
      </c>
      <c r="AB203" s="212" t="s">
        <v>531</v>
      </c>
      <c r="AC203" s="212" t="s">
        <v>533</v>
      </c>
      <c r="AD203" s="214">
        <v>2.6466440000000002</v>
      </c>
      <c r="AE203" s="214">
        <v>717</v>
      </c>
      <c r="AF203" s="214">
        <v>0.1192</v>
      </c>
      <c r="AG203" s="214">
        <v>-99</v>
      </c>
      <c r="AH203" s="212" t="s">
        <v>224</v>
      </c>
      <c r="AI203" s="212" t="s">
        <v>449</v>
      </c>
      <c r="AJ203" s="212" t="s">
        <v>294</v>
      </c>
      <c r="AK203" s="212" t="s">
        <v>531</v>
      </c>
      <c r="AL203" s="212" t="s">
        <v>383</v>
      </c>
      <c r="AM203" s="214" t="b">
        <v>1</v>
      </c>
      <c r="AN203" s="214" t="b">
        <v>1</v>
      </c>
      <c r="AO203" s="212" t="s">
        <v>295</v>
      </c>
      <c r="AP203" s="212" t="s">
        <v>296</v>
      </c>
      <c r="AQ203" s="214">
        <v>92.138419999999996</v>
      </c>
      <c r="AR203" s="214" t="b">
        <v>0</v>
      </c>
      <c r="AS203" s="212" t="s">
        <v>534</v>
      </c>
      <c r="AU203" s="222" t="s">
        <v>819</v>
      </c>
    </row>
    <row r="204" spans="1:47" s="263" customFormat="1" ht="13.5" customHeight="1" x14ac:dyDescent="0.25">
      <c r="A204" s="245">
        <f t="shared" si="24"/>
        <v>299</v>
      </c>
      <c r="B204" s="246" t="str">
        <f t="shared" ref="B204:B267" si="25">IF(ROW(A204)-(ROW($A$12))&lt;$B$10,$B$9,"")</f>
        <v>Oil Field - Well</v>
      </c>
      <c r="C204" s="246" t="str">
        <f ca="1">IF(B204="","",VLOOKUP(D204,'Species Data'!B:E,4,FALSE))</f>
        <v>N_nonane</v>
      </c>
      <c r="D204" s="246">
        <f t="shared" ca="1" si="18"/>
        <v>603</v>
      </c>
      <c r="E204" s="246">
        <f t="shared" ca="1" si="19"/>
        <v>1.8599999999999998E-2</v>
      </c>
      <c r="F204" s="246" t="str">
        <f t="shared" ca="1" si="20"/>
        <v>N-nonane</v>
      </c>
      <c r="G204" s="246">
        <f t="shared" ca="1" si="21"/>
        <v>128.2551</v>
      </c>
      <c r="H204" s="204">
        <f ca="1">IF(G204="","",IF(VLOOKUP(Well_Head!F204,'Species Data'!D:F,3,FALSE)=0,"X",IF(G204&lt;44.1,2,1)))</f>
        <v>1</v>
      </c>
      <c r="I204" s="204">
        <f t="shared" ca="1" si="22"/>
        <v>0.35487821151781407</v>
      </c>
      <c r="J204" s="247">
        <f ca="1">IF(I204="","",IF(COUNTIF($D$12:D204,D204)=1,IF(H204=1,I204*H204,IF(H204="X","X",0)),0))</f>
        <v>0</v>
      </c>
      <c r="K204" s="248">
        <f t="shared" ca="1" si="23"/>
        <v>0</v>
      </c>
      <c r="L204" s="238" t="s">
        <v>626</v>
      </c>
      <c r="M204" s="212" t="s">
        <v>448</v>
      </c>
      <c r="N204" s="212" t="s">
        <v>470</v>
      </c>
      <c r="O204" s="213">
        <v>41419</v>
      </c>
      <c r="P204" s="212" t="s">
        <v>531</v>
      </c>
      <c r="Q204" s="214">
        <v>100</v>
      </c>
      <c r="R204" s="212" t="s">
        <v>445</v>
      </c>
      <c r="S204" s="212" t="s">
        <v>532</v>
      </c>
      <c r="T204" s="212" t="s">
        <v>445</v>
      </c>
      <c r="U204" s="212" t="s">
        <v>446</v>
      </c>
      <c r="V204" s="214" t="b">
        <v>1</v>
      </c>
      <c r="W204" s="214">
        <v>1989</v>
      </c>
      <c r="X204" s="214">
        <v>5</v>
      </c>
      <c r="Y204" s="214">
        <v>2</v>
      </c>
      <c r="Z204" s="214">
        <v>4</v>
      </c>
      <c r="AA204" s="212" t="s">
        <v>447</v>
      </c>
      <c r="AB204" s="212" t="s">
        <v>531</v>
      </c>
      <c r="AC204" s="212" t="s">
        <v>533</v>
      </c>
      <c r="AD204" s="214">
        <v>2.6466440000000002</v>
      </c>
      <c r="AE204" s="214">
        <v>981</v>
      </c>
      <c r="AF204" s="214">
        <v>0.1696</v>
      </c>
      <c r="AG204" s="214">
        <v>-99</v>
      </c>
      <c r="AH204" s="212" t="s">
        <v>224</v>
      </c>
      <c r="AI204" s="212" t="s">
        <v>449</v>
      </c>
      <c r="AJ204" s="212" t="s">
        <v>645</v>
      </c>
      <c r="AK204" s="212" t="s">
        <v>531</v>
      </c>
      <c r="AL204" s="212" t="s">
        <v>531</v>
      </c>
      <c r="AM204" s="214" t="b">
        <v>0</v>
      </c>
      <c r="AN204" s="214" t="b">
        <v>0</v>
      </c>
      <c r="AO204" s="212" t="s">
        <v>646</v>
      </c>
      <c r="AP204" s="212" t="s">
        <v>647</v>
      </c>
      <c r="AQ204" s="214">
        <v>134.21816000000001</v>
      </c>
      <c r="AR204" s="214" t="b">
        <v>0</v>
      </c>
      <c r="AS204" s="212" t="s">
        <v>534</v>
      </c>
      <c r="AU204" s="222" t="s">
        <v>819</v>
      </c>
    </row>
    <row r="205" spans="1:47" s="263" customFormat="1" ht="13.5" customHeight="1" x14ac:dyDescent="0.25">
      <c r="A205" s="245">
        <f t="shared" si="24"/>
        <v>300</v>
      </c>
      <c r="B205" s="246" t="str">
        <f t="shared" si="25"/>
        <v>Oil Field - Well</v>
      </c>
      <c r="C205" s="246" t="str">
        <f ca="1">IF(B205="","",VLOOKUP(D205,'Species Data'!B:E,4,FALSE))</f>
        <v>N_octane</v>
      </c>
      <c r="D205" s="246">
        <f t="shared" ref="D205:D268" ca="1" si="26">IF(B205="","",INDIRECT("AE"&amp;$A205))</f>
        <v>604</v>
      </c>
      <c r="E205" s="246">
        <f t="shared" ref="E205:E268" ca="1" si="27">IF(D205="","",INDIRECT("AF"&amp;$A205))</f>
        <v>8.14E-2</v>
      </c>
      <c r="F205" s="246" t="str">
        <f t="shared" ref="F205:F268" ca="1" si="28">IF(E205="","",INDIRECT("AO"&amp;$A205))</f>
        <v>N-octane</v>
      </c>
      <c r="G205" s="246">
        <f t="shared" ref="G205:G268" ca="1" si="29">IF(F205="","",INDIRECT("AQ"&amp;$A205))</f>
        <v>114.22852</v>
      </c>
      <c r="H205" s="204">
        <f ca="1">IF(G205="","",IF(VLOOKUP(Well_Head!F205,'Species Data'!D:F,3,FALSE)=0,"X",IF(G205&lt;44.1,2,1)))</f>
        <v>1</v>
      </c>
      <c r="I205" s="204">
        <f t="shared" ref="I205:I268" ca="1" si="30">IF(H205="","",SUMIF(D:D,D205,E:E)/($E$9/100))</f>
        <v>0.67063415299729812</v>
      </c>
      <c r="J205" s="247">
        <f ca="1">IF(I205="","",IF(COUNTIF($D$12:D205,D205)=1,IF(H205=1,I205*H205,IF(H205="X","X",0)),0))</f>
        <v>0</v>
      </c>
      <c r="K205" s="248">
        <f t="shared" ref="K205:K268" ca="1" si="31">IF(J205="","",IF(J205="X",0,J205/$J$9*100))</f>
        <v>0</v>
      </c>
      <c r="L205" s="238" t="s">
        <v>626</v>
      </c>
      <c r="M205" s="212" t="s">
        <v>448</v>
      </c>
      <c r="N205" s="212" t="s">
        <v>470</v>
      </c>
      <c r="O205" s="213">
        <v>41419</v>
      </c>
      <c r="P205" s="212" t="s">
        <v>531</v>
      </c>
      <c r="Q205" s="214">
        <v>100</v>
      </c>
      <c r="R205" s="212" t="s">
        <v>445</v>
      </c>
      <c r="S205" s="212" t="s">
        <v>532</v>
      </c>
      <c r="T205" s="212" t="s">
        <v>445</v>
      </c>
      <c r="U205" s="212" t="s">
        <v>446</v>
      </c>
      <c r="V205" s="214" t="b">
        <v>1</v>
      </c>
      <c r="W205" s="214">
        <v>1989</v>
      </c>
      <c r="X205" s="214">
        <v>5</v>
      </c>
      <c r="Y205" s="214">
        <v>2</v>
      </c>
      <c r="Z205" s="214">
        <v>4</v>
      </c>
      <c r="AA205" s="212" t="s">
        <v>447</v>
      </c>
      <c r="AB205" s="212" t="s">
        <v>531</v>
      </c>
      <c r="AC205" s="212" t="s">
        <v>533</v>
      </c>
      <c r="AD205" s="214">
        <v>2.6466440000000002</v>
      </c>
      <c r="AE205" s="214">
        <v>1924</v>
      </c>
      <c r="AF205" s="214">
        <v>6.0922999999999998</v>
      </c>
      <c r="AG205" s="214">
        <v>-99</v>
      </c>
      <c r="AH205" s="212" t="s">
        <v>224</v>
      </c>
      <c r="AI205" s="212" t="s">
        <v>449</v>
      </c>
      <c r="AJ205" s="212" t="s">
        <v>224</v>
      </c>
      <c r="AK205" s="212" t="s">
        <v>531</v>
      </c>
      <c r="AL205" s="212" t="s">
        <v>466</v>
      </c>
      <c r="AM205" s="214" t="b">
        <v>0</v>
      </c>
      <c r="AN205" s="214" t="b">
        <v>0</v>
      </c>
      <c r="AO205" s="212" t="s">
        <v>535</v>
      </c>
      <c r="AP205" s="212" t="s">
        <v>536</v>
      </c>
      <c r="AQ205" s="214">
        <v>142.28167999999999</v>
      </c>
      <c r="AR205" s="214" t="b">
        <v>0</v>
      </c>
      <c r="AS205" s="212" t="s">
        <v>534</v>
      </c>
      <c r="AU205" s="222" t="s">
        <v>819</v>
      </c>
    </row>
    <row r="206" spans="1:47" s="263" customFormat="1" ht="13.5" customHeight="1" x14ac:dyDescent="0.25">
      <c r="A206" s="245">
        <f t="shared" si="24"/>
        <v>301</v>
      </c>
      <c r="B206" s="246" t="str">
        <f t="shared" si="25"/>
        <v>Oil Field - Well</v>
      </c>
      <c r="C206" s="246" t="str">
        <f ca="1">IF(B206="","",VLOOKUP(D206,'Species Data'!B:E,4,FALSE))</f>
        <v>N_pentane</v>
      </c>
      <c r="D206" s="246">
        <f t="shared" ca="1" si="26"/>
        <v>605</v>
      </c>
      <c r="E206" s="246">
        <f t="shared" ca="1" si="27"/>
        <v>3.3931</v>
      </c>
      <c r="F206" s="246" t="str">
        <f t="shared" ca="1" si="28"/>
        <v>N-pentane</v>
      </c>
      <c r="G206" s="246">
        <f t="shared" ca="1" si="29"/>
        <v>72.148780000000002</v>
      </c>
      <c r="H206" s="204">
        <f ca="1">IF(G206="","",IF(VLOOKUP(Well_Head!F206,'Species Data'!D:F,3,FALSE)=0,"X",IF(G206&lt;44.1,2,1)))</f>
        <v>1</v>
      </c>
      <c r="I206" s="204">
        <f t="shared" ca="1" si="30"/>
        <v>2.2200360467107241</v>
      </c>
      <c r="J206" s="247">
        <f ca="1">IF(I206="","",IF(COUNTIF($D$12:D206,D206)=1,IF(H206=1,I206*H206,IF(H206="X","X",0)),0))</f>
        <v>0</v>
      </c>
      <c r="K206" s="248">
        <f t="shared" ca="1" si="31"/>
        <v>0</v>
      </c>
      <c r="L206" s="238" t="s">
        <v>626</v>
      </c>
      <c r="M206" s="212" t="s">
        <v>448</v>
      </c>
      <c r="N206" s="212" t="s">
        <v>470</v>
      </c>
      <c r="O206" s="213">
        <v>41419</v>
      </c>
      <c r="P206" s="212" t="s">
        <v>531</v>
      </c>
      <c r="Q206" s="214">
        <v>100</v>
      </c>
      <c r="R206" s="212" t="s">
        <v>445</v>
      </c>
      <c r="S206" s="212" t="s">
        <v>532</v>
      </c>
      <c r="T206" s="212" t="s">
        <v>445</v>
      </c>
      <c r="U206" s="212" t="s">
        <v>446</v>
      </c>
      <c r="V206" s="214" t="b">
        <v>1</v>
      </c>
      <c r="W206" s="214">
        <v>1989</v>
      </c>
      <c r="X206" s="214">
        <v>5</v>
      </c>
      <c r="Y206" s="214">
        <v>2</v>
      </c>
      <c r="Z206" s="214">
        <v>4</v>
      </c>
      <c r="AA206" s="212" t="s">
        <v>447</v>
      </c>
      <c r="AB206" s="212" t="s">
        <v>531</v>
      </c>
      <c r="AC206" s="212" t="s">
        <v>533</v>
      </c>
      <c r="AD206" s="214">
        <v>2.6466440000000002</v>
      </c>
      <c r="AE206" s="214">
        <v>1929</v>
      </c>
      <c r="AF206" s="214">
        <v>5.4074</v>
      </c>
      <c r="AG206" s="214">
        <v>-99</v>
      </c>
      <c r="AH206" s="212" t="s">
        <v>224</v>
      </c>
      <c r="AI206" s="212" t="s">
        <v>449</v>
      </c>
      <c r="AJ206" s="212" t="s">
        <v>224</v>
      </c>
      <c r="AK206" s="212" t="s">
        <v>531</v>
      </c>
      <c r="AL206" s="212" t="s">
        <v>467</v>
      </c>
      <c r="AM206" s="214" t="b">
        <v>0</v>
      </c>
      <c r="AN206" s="214" t="b">
        <v>0</v>
      </c>
      <c r="AO206" s="212" t="s">
        <v>468</v>
      </c>
      <c r="AP206" s="212" t="s">
        <v>469</v>
      </c>
      <c r="AQ206" s="214">
        <v>156.30826000000002</v>
      </c>
      <c r="AR206" s="214" t="b">
        <v>0</v>
      </c>
      <c r="AS206" s="212" t="s">
        <v>534</v>
      </c>
      <c r="AU206" s="222" t="s">
        <v>819</v>
      </c>
    </row>
    <row r="207" spans="1:47" s="263" customFormat="1" ht="13.5" customHeight="1" x14ac:dyDescent="0.25">
      <c r="A207" s="245">
        <f t="shared" si="24"/>
        <v>302</v>
      </c>
      <c r="B207" s="246" t="str">
        <f t="shared" si="25"/>
        <v>Oil Field - Well</v>
      </c>
      <c r="C207" s="246" t="str">
        <f ca="1">IF(B207="","",VLOOKUP(D207,'Species Data'!B:E,4,FALSE))</f>
        <v>N_proben</v>
      </c>
      <c r="D207" s="246">
        <f t="shared" ca="1" si="26"/>
        <v>608</v>
      </c>
      <c r="E207" s="246">
        <f t="shared" ca="1" si="27"/>
        <v>2.3400000000000001E-2</v>
      </c>
      <c r="F207" s="246" t="str">
        <f t="shared" ca="1" si="28"/>
        <v>N-propylbenzene</v>
      </c>
      <c r="G207" s="246">
        <f t="shared" ca="1" si="29"/>
        <v>120.19158</v>
      </c>
      <c r="H207" s="204">
        <f ca="1">IF(G207="","",IF(VLOOKUP(Well_Head!F207,'Species Data'!D:F,3,FALSE)=0,"X",IF(G207&lt;44.1,2,1)))</f>
        <v>1</v>
      </c>
      <c r="I207" s="204">
        <f t="shared" ca="1" si="30"/>
        <v>0.16350019983357761</v>
      </c>
      <c r="J207" s="247">
        <f ca="1">IF(I207="","",IF(COUNTIF($D$12:D207,D207)=1,IF(H207=1,I207*H207,IF(H207="X","X",0)),0))</f>
        <v>0</v>
      </c>
      <c r="K207" s="248">
        <f t="shared" ca="1" si="31"/>
        <v>0</v>
      </c>
      <c r="L207" s="238" t="s">
        <v>626</v>
      </c>
      <c r="M207" s="212" t="s">
        <v>448</v>
      </c>
      <c r="N207" s="212" t="s">
        <v>470</v>
      </c>
      <c r="O207" s="213">
        <v>41419</v>
      </c>
      <c r="P207" s="212" t="s">
        <v>531</v>
      </c>
      <c r="Q207" s="214">
        <v>100</v>
      </c>
      <c r="R207" s="212" t="s">
        <v>445</v>
      </c>
      <c r="S207" s="212" t="s">
        <v>532</v>
      </c>
      <c r="T207" s="212" t="s">
        <v>445</v>
      </c>
      <c r="U207" s="212" t="s">
        <v>446</v>
      </c>
      <c r="V207" s="214" t="b">
        <v>1</v>
      </c>
      <c r="W207" s="214">
        <v>1989</v>
      </c>
      <c r="X207" s="214">
        <v>5</v>
      </c>
      <c r="Y207" s="214">
        <v>2</v>
      </c>
      <c r="Z207" s="214">
        <v>4</v>
      </c>
      <c r="AA207" s="212" t="s">
        <v>447</v>
      </c>
      <c r="AB207" s="212" t="s">
        <v>531</v>
      </c>
      <c r="AC207" s="212" t="s">
        <v>533</v>
      </c>
      <c r="AD207" s="214">
        <v>2.6466440000000002</v>
      </c>
      <c r="AE207" s="214">
        <v>1999</v>
      </c>
      <c r="AF207" s="214">
        <v>0.70740000000000003</v>
      </c>
      <c r="AG207" s="214">
        <v>-99</v>
      </c>
      <c r="AH207" s="212" t="s">
        <v>224</v>
      </c>
      <c r="AI207" s="212" t="s">
        <v>449</v>
      </c>
      <c r="AJ207" s="212" t="s">
        <v>224</v>
      </c>
      <c r="AK207" s="212" t="s">
        <v>531</v>
      </c>
      <c r="AL207" s="212" t="s">
        <v>540</v>
      </c>
      <c r="AM207" s="214" t="b">
        <v>0</v>
      </c>
      <c r="AN207" s="214" t="b">
        <v>0</v>
      </c>
      <c r="AO207" s="212" t="s">
        <v>541</v>
      </c>
      <c r="AP207" s="212" t="s">
        <v>542</v>
      </c>
      <c r="AQ207" s="214">
        <v>86.175359999999998</v>
      </c>
      <c r="AR207" s="214" t="b">
        <v>0</v>
      </c>
      <c r="AS207" s="212" t="s">
        <v>534</v>
      </c>
      <c r="AU207" s="222" t="s">
        <v>819</v>
      </c>
    </row>
    <row r="208" spans="1:47" s="263" customFormat="1" ht="13.5" customHeight="1" x14ac:dyDescent="0.25">
      <c r="A208" s="245">
        <f t="shared" si="24"/>
        <v>303</v>
      </c>
      <c r="B208" s="246" t="str">
        <f t="shared" si="25"/>
        <v>Oil Field - Well</v>
      </c>
      <c r="C208" s="246" t="str">
        <f ca="1">IF(B208="","",VLOOKUP(D208,'Species Data'!B:E,4,FALSE))</f>
        <v>O_xylene</v>
      </c>
      <c r="D208" s="246">
        <f t="shared" ca="1" si="26"/>
        <v>620</v>
      </c>
      <c r="E208" s="246">
        <f t="shared" ca="1" si="27"/>
        <v>5.5999999999999999E-3</v>
      </c>
      <c r="F208" s="246" t="str">
        <f t="shared" ca="1" si="28"/>
        <v>O-xylene</v>
      </c>
      <c r="G208" s="246">
        <f t="shared" ca="1" si="29"/>
        <v>106.16500000000001</v>
      </c>
      <c r="H208" s="204">
        <f ca="1">IF(G208="","",IF(VLOOKUP(Well_Head!F208,'Species Data'!D:F,3,FALSE)=0,"X",IF(G208&lt;44.1,2,1)))</f>
        <v>1</v>
      </c>
      <c r="I208" s="204">
        <f t="shared" ca="1" si="30"/>
        <v>0.25780031508927398</v>
      </c>
      <c r="J208" s="247">
        <f ca="1">IF(I208="","",IF(COUNTIF($D$12:D208,D208)=1,IF(H208=1,I208*H208,IF(H208="X","X",0)),0))</f>
        <v>0</v>
      </c>
      <c r="K208" s="248">
        <f t="shared" ca="1" si="31"/>
        <v>0</v>
      </c>
      <c r="L208" s="238" t="s">
        <v>626</v>
      </c>
      <c r="M208" s="212" t="s">
        <v>448</v>
      </c>
      <c r="N208" s="212" t="s">
        <v>470</v>
      </c>
      <c r="O208" s="213">
        <v>41419</v>
      </c>
      <c r="P208" s="212" t="s">
        <v>531</v>
      </c>
      <c r="Q208" s="214">
        <v>100</v>
      </c>
      <c r="R208" s="212" t="s">
        <v>445</v>
      </c>
      <c r="S208" s="212" t="s">
        <v>532</v>
      </c>
      <c r="T208" s="212" t="s">
        <v>445</v>
      </c>
      <c r="U208" s="212" t="s">
        <v>446</v>
      </c>
      <c r="V208" s="214" t="b">
        <v>1</v>
      </c>
      <c r="W208" s="214">
        <v>1989</v>
      </c>
      <c r="X208" s="214">
        <v>5</v>
      </c>
      <c r="Y208" s="214">
        <v>2</v>
      </c>
      <c r="Z208" s="214">
        <v>4</v>
      </c>
      <c r="AA208" s="212" t="s">
        <v>447</v>
      </c>
      <c r="AB208" s="212" t="s">
        <v>531</v>
      </c>
      <c r="AC208" s="212" t="s">
        <v>533</v>
      </c>
      <c r="AD208" s="214">
        <v>2.6466440000000002</v>
      </c>
      <c r="AE208" s="214">
        <v>2005</v>
      </c>
      <c r="AF208" s="214">
        <v>4.5831999999999997</v>
      </c>
      <c r="AG208" s="214">
        <v>-99</v>
      </c>
      <c r="AH208" s="212" t="s">
        <v>224</v>
      </c>
      <c r="AI208" s="212" t="s">
        <v>449</v>
      </c>
      <c r="AJ208" s="212" t="s">
        <v>224</v>
      </c>
      <c r="AK208" s="212" t="s">
        <v>531</v>
      </c>
      <c r="AL208" s="212" t="s">
        <v>543</v>
      </c>
      <c r="AM208" s="214" t="b">
        <v>0</v>
      </c>
      <c r="AN208" s="214" t="b">
        <v>0</v>
      </c>
      <c r="AO208" s="212" t="s">
        <v>544</v>
      </c>
      <c r="AP208" s="212" t="s">
        <v>545</v>
      </c>
      <c r="AQ208" s="214">
        <v>100.20194000000001</v>
      </c>
      <c r="AR208" s="214" t="b">
        <v>0</v>
      </c>
      <c r="AS208" s="212" t="s">
        <v>534</v>
      </c>
      <c r="AU208" s="222" t="s">
        <v>819</v>
      </c>
    </row>
    <row r="209" spans="1:47" s="263" customFormat="1" ht="13.5" customHeight="1" x14ac:dyDescent="0.25">
      <c r="A209" s="245">
        <f t="shared" si="24"/>
        <v>304</v>
      </c>
      <c r="B209" s="246" t="str">
        <f t="shared" si="25"/>
        <v>Oil Field - Well</v>
      </c>
      <c r="C209" s="246" t="str">
        <f ca="1">IF(B209="","",VLOOKUP(D209,'Species Data'!B:E,4,FALSE))</f>
        <v>P_xylene</v>
      </c>
      <c r="D209" s="246">
        <f t="shared" ca="1" si="26"/>
        <v>648</v>
      </c>
      <c r="E209" s="246">
        <f t="shared" ca="1" si="27"/>
        <v>4.4999999999999997E-3</v>
      </c>
      <c r="F209" s="246" t="str">
        <f t="shared" ca="1" si="28"/>
        <v>P-xylene</v>
      </c>
      <c r="G209" s="246">
        <f t="shared" ca="1" si="29"/>
        <v>106.16500000000001</v>
      </c>
      <c r="H209" s="204">
        <f ca="1">IF(G209="","",IF(VLOOKUP(Well_Head!F209,'Species Data'!D:F,3,FALSE)=0,"X",IF(G209&lt;44.1,2,1)))</f>
        <v>1</v>
      </c>
      <c r="I209" s="204">
        <f t="shared" ca="1" si="30"/>
        <v>8.6622328093956577E-2</v>
      </c>
      <c r="J209" s="247">
        <f ca="1">IF(I209="","",IF(COUNTIF($D$12:D209,D209)=1,IF(H209=1,I209*H209,IF(H209="X","X",0)),0))</f>
        <v>0</v>
      </c>
      <c r="K209" s="248">
        <f t="shared" ca="1" si="31"/>
        <v>0</v>
      </c>
      <c r="L209" s="238" t="s">
        <v>626</v>
      </c>
      <c r="M209" s="212" t="s">
        <v>448</v>
      </c>
      <c r="N209" s="212" t="s">
        <v>470</v>
      </c>
      <c r="O209" s="213">
        <v>41419</v>
      </c>
      <c r="P209" s="212" t="s">
        <v>531</v>
      </c>
      <c r="Q209" s="214">
        <v>100</v>
      </c>
      <c r="R209" s="212" t="s">
        <v>445</v>
      </c>
      <c r="S209" s="212" t="s">
        <v>532</v>
      </c>
      <c r="T209" s="212" t="s">
        <v>445</v>
      </c>
      <c r="U209" s="212" t="s">
        <v>446</v>
      </c>
      <c r="V209" s="214" t="b">
        <v>1</v>
      </c>
      <c r="W209" s="214">
        <v>1989</v>
      </c>
      <c r="X209" s="214">
        <v>5</v>
      </c>
      <c r="Y209" s="214">
        <v>2</v>
      </c>
      <c r="Z209" s="214">
        <v>4</v>
      </c>
      <c r="AA209" s="212" t="s">
        <v>447</v>
      </c>
      <c r="AB209" s="212" t="s">
        <v>531</v>
      </c>
      <c r="AC209" s="212" t="s">
        <v>533</v>
      </c>
      <c r="AD209" s="214">
        <v>2.6466440000000002</v>
      </c>
      <c r="AE209" s="214">
        <v>2011</v>
      </c>
      <c r="AF209" s="214">
        <v>5.1638999999999999</v>
      </c>
      <c r="AG209" s="214">
        <v>-99</v>
      </c>
      <c r="AH209" s="212" t="s">
        <v>224</v>
      </c>
      <c r="AI209" s="212" t="s">
        <v>449</v>
      </c>
      <c r="AJ209" s="212" t="s">
        <v>224</v>
      </c>
      <c r="AK209" s="212" t="s">
        <v>531</v>
      </c>
      <c r="AL209" s="212" t="s">
        <v>546</v>
      </c>
      <c r="AM209" s="214" t="b">
        <v>0</v>
      </c>
      <c r="AN209" s="214" t="b">
        <v>0</v>
      </c>
      <c r="AO209" s="212" t="s">
        <v>547</v>
      </c>
      <c r="AP209" s="212" t="s">
        <v>548</v>
      </c>
      <c r="AQ209" s="214">
        <v>113.21160686946486</v>
      </c>
      <c r="AR209" s="214" t="b">
        <v>0</v>
      </c>
      <c r="AS209" s="212" t="s">
        <v>534</v>
      </c>
      <c r="AU209" s="222" t="s">
        <v>819</v>
      </c>
    </row>
    <row r="210" spans="1:47" s="263" customFormat="1" ht="15" customHeight="1" x14ac:dyDescent="0.25">
      <c r="A210" s="245">
        <f t="shared" si="24"/>
        <v>305</v>
      </c>
      <c r="B210" s="246" t="str">
        <f t="shared" si="25"/>
        <v>Oil Field - Well</v>
      </c>
      <c r="C210" s="246" t="str">
        <f ca="1">IF(B210="","",VLOOKUP(D210,'Species Data'!B:E,4,FALSE))</f>
        <v>propane</v>
      </c>
      <c r="D210" s="246">
        <f t="shared" ca="1" si="26"/>
        <v>671</v>
      </c>
      <c r="E210" s="246">
        <f t="shared" ca="1" si="27"/>
        <v>13.587300000000001</v>
      </c>
      <c r="F210" s="246" t="str">
        <f t="shared" ca="1" si="28"/>
        <v>Propane</v>
      </c>
      <c r="G210" s="246">
        <f t="shared" ca="1" si="29"/>
        <v>44.095619999999997</v>
      </c>
      <c r="H210" s="204">
        <f ca="1">IF(G210="","",IF(VLOOKUP(Well_Head!F210,'Species Data'!D:F,3,FALSE)=0,"X",IF(G210&lt;44.1,2,1)))</f>
        <v>2</v>
      </c>
      <c r="I210" s="204">
        <f t="shared" ca="1" si="30"/>
        <v>8.8717997321996727</v>
      </c>
      <c r="J210" s="247">
        <f ca="1">IF(I210="","",IF(COUNTIF($D$12:D210,D210)=1,IF(H210=1,I210*H210,IF(H210="X","X",0)),0))</f>
        <v>0</v>
      </c>
      <c r="K210" s="248">
        <f t="shared" ca="1" si="31"/>
        <v>0</v>
      </c>
      <c r="L210" s="238" t="s">
        <v>626</v>
      </c>
      <c r="M210" s="212" t="s">
        <v>448</v>
      </c>
      <c r="N210" s="212" t="s">
        <v>470</v>
      </c>
      <c r="O210" s="213">
        <v>41419</v>
      </c>
      <c r="P210" s="212" t="s">
        <v>531</v>
      </c>
      <c r="Q210" s="214">
        <v>100</v>
      </c>
      <c r="R210" s="212" t="s">
        <v>445</v>
      </c>
      <c r="S210" s="212" t="s">
        <v>532</v>
      </c>
      <c r="T210" s="212" t="s">
        <v>445</v>
      </c>
      <c r="U210" s="212" t="s">
        <v>446</v>
      </c>
      <c r="V210" s="214" t="b">
        <v>1</v>
      </c>
      <c r="W210" s="214">
        <v>1989</v>
      </c>
      <c r="X210" s="214">
        <v>5</v>
      </c>
      <c r="Y210" s="214">
        <v>2</v>
      </c>
      <c r="Z210" s="214">
        <v>4</v>
      </c>
      <c r="AA210" s="212" t="s">
        <v>447</v>
      </c>
      <c r="AB210" s="212" t="s">
        <v>531</v>
      </c>
      <c r="AC210" s="212" t="s">
        <v>533</v>
      </c>
      <c r="AD210" s="214">
        <v>2.6466440000000002</v>
      </c>
      <c r="AE210" s="214">
        <v>2018</v>
      </c>
      <c r="AF210" s="214">
        <v>5.6391</v>
      </c>
      <c r="AG210" s="214">
        <v>-99</v>
      </c>
      <c r="AH210" s="212" t="s">
        <v>224</v>
      </c>
      <c r="AI210" s="212" t="s">
        <v>449</v>
      </c>
      <c r="AJ210" s="212" t="s">
        <v>224</v>
      </c>
      <c r="AK210" s="212" t="s">
        <v>531</v>
      </c>
      <c r="AL210" s="212" t="s">
        <v>464</v>
      </c>
      <c r="AM210" s="214" t="b">
        <v>0</v>
      </c>
      <c r="AN210" s="214" t="b">
        <v>0</v>
      </c>
      <c r="AO210" s="212" t="s">
        <v>549</v>
      </c>
      <c r="AP210" s="212" t="s">
        <v>550</v>
      </c>
      <c r="AQ210" s="214">
        <v>127.23917598649743</v>
      </c>
      <c r="AR210" s="214" t="b">
        <v>0</v>
      </c>
      <c r="AS210" s="212" t="s">
        <v>534</v>
      </c>
      <c r="AU210" s="222" t="s">
        <v>819</v>
      </c>
    </row>
    <row r="211" spans="1:47" s="263" customFormat="1" ht="15" customHeight="1" x14ac:dyDescent="0.25">
      <c r="A211" s="245">
        <f t="shared" si="24"/>
        <v>306</v>
      </c>
      <c r="B211" s="246" t="str">
        <f t="shared" si="25"/>
        <v>Oil Field - Well</v>
      </c>
      <c r="C211" s="246" t="str">
        <f ca="1">IF(B211="","",VLOOKUP(D211,'Species Data'!B:E,4,FALSE))</f>
        <v>T_butben</v>
      </c>
      <c r="D211" s="246">
        <f t="shared" ca="1" si="26"/>
        <v>703</v>
      </c>
      <c r="E211" s="246">
        <f t="shared" ca="1" si="27"/>
        <v>8.3999999999999995E-3</v>
      </c>
      <c r="F211" s="246" t="str">
        <f t="shared" ca="1" si="28"/>
        <v>T-butylbenzene</v>
      </c>
      <c r="G211" s="246">
        <f t="shared" ca="1" si="29"/>
        <v>134.21816000000001</v>
      </c>
      <c r="H211" s="204" t="str">
        <f ca="1">IF(G211="","",IF(VLOOKUP(Well_Head!F211,'Species Data'!D:F,3,FALSE)=0,"X",IF(G211&lt;44.1,2,1)))</f>
        <v>X</v>
      </c>
      <c r="I211" s="204">
        <f t="shared" ca="1" si="30"/>
        <v>0.15110018467800349</v>
      </c>
      <c r="J211" s="247">
        <f ca="1">IF(I211="","",IF(COUNTIF($D$12:D211,D211)=1,IF(H211=1,I211*H211,IF(H211="X","X",0)),0))</f>
        <v>0</v>
      </c>
      <c r="K211" s="248">
        <f t="shared" ca="1" si="31"/>
        <v>0</v>
      </c>
      <c r="L211" s="238" t="s">
        <v>626</v>
      </c>
      <c r="M211" s="212" t="s">
        <v>448</v>
      </c>
      <c r="N211" s="212" t="s">
        <v>470</v>
      </c>
      <c r="O211" s="213">
        <v>41419</v>
      </c>
      <c r="P211" s="212" t="s">
        <v>531</v>
      </c>
      <c r="Q211" s="214">
        <v>100</v>
      </c>
      <c r="R211" s="212" t="s">
        <v>445</v>
      </c>
      <c r="S211" s="212" t="s">
        <v>532</v>
      </c>
      <c r="T211" s="212" t="s">
        <v>445</v>
      </c>
      <c r="U211" s="212" t="s">
        <v>446</v>
      </c>
      <c r="V211" s="214" t="b">
        <v>1</v>
      </c>
      <c r="W211" s="214">
        <v>1989</v>
      </c>
      <c r="X211" s="214">
        <v>5</v>
      </c>
      <c r="Y211" s="214">
        <v>2</v>
      </c>
      <c r="Z211" s="214">
        <v>4</v>
      </c>
      <c r="AA211" s="212" t="s">
        <v>447</v>
      </c>
      <c r="AB211" s="212" t="s">
        <v>531</v>
      </c>
      <c r="AC211" s="212" t="s">
        <v>533</v>
      </c>
      <c r="AD211" s="214">
        <v>1.0515829999999999</v>
      </c>
      <c r="AE211" s="214">
        <v>25</v>
      </c>
      <c r="AF211" s="214">
        <v>0.5393</v>
      </c>
      <c r="AG211" s="214">
        <v>-99</v>
      </c>
      <c r="AH211" s="212" t="s">
        <v>224</v>
      </c>
      <c r="AI211" s="212" t="s">
        <v>449</v>
      </c>
      <c r="AJ211" s="212" t="s">
        <v>627</v>
      </c>
      <c r="AK211" s="212" t="s">
        <v>531</v>
      </c>
      <c r="AL211" s="212" t="s">
        <v>628</v>
      </c>
      <c r="AM211" s="214" t="b">
        <v>1</v>
      </c>
      <c r="AN211" s="214" t="b">
        <v>0</v>
      </c>
      <c r="AO211" s="212" t="s">
        <v>629</v>
      </c>
      <c r="AP211" s="212" t="s">
        <v>630</v>
      </c>
      <c r="AQ211" s="214">
        <v>120.19158</v>
      </c>
      <c r="AR211" s="214" t="b">
        <v>0</v>
      </c>
      <c r="AS211" s="212" t="s">
        <v>534</v>
      </c>
      <c r="AU211" s="222" t="s">
        <v>819</v>
      </c>
    </row>
    <row r="212" spans="1:47" s="263" customFormat="1" ht="15" customHeight="1" x14ac:dyDescent="0.25">
      <c r="A212" s="245">
        <f t="shared" si="24"/>
        <v>307</v>
      </c>
      <c r="B212" s="246" t="str">
        <f t="shared" si="25"/>
        <v>Oil Field - Well</v>
      </c>
      <c r="C212" s="246" t="str">
        <f ca="1">IF(B212="","",VLOOKUP(D212,'Species Data'!B:E,4,FALSE))</f>
        <v>toluene</v>
      </c>
      <c r="D212" s="246">
        <f t="shared" ca="1" si="26"/>
        <v>717</v>
      </c>
      <c r="E212" s="246">
        <f t="shared" ca="1" si="27"/>
        <v>2.3599999999999999E-2</v>
      </c>
      <c r="F212" s="246" t="str">
        <f t="shared" ca="1" si="28"/>
        <v>Toluene</v>
      </c>
      <c r="G212" s="246">
        <f t="shared" ca="1" si="29"/>
        <v>92.138419999999996</v>
      </c>
      <c r="H212" s="204">
        <f ca="1">IF(G212="","",IF(VLOOKUP(Well_Head!F212,'Species Data'!D:F,3,FALSE)=0,"X",IF(G212&lt;44.1,2,1)))</f>
        <v>1</v>
      </c>
      <c r="I212" s="204">
        <f t="shared" ca="1" si="30"/>
        <v>0.47057835292909805</v>
      </c>
      <c r="J212" s="247">
        <f ca="1">IF(I212="","",IF(COUNTIF($D$12:D212,D212)=1,IF(H212=1,I212*H212,IF(H212="X","X",0)),0))</f>
        <v>0</v>
      </c>
      <c r="K212" s="248">
        <f t="shared" ca="1" si="31"/>
        <v>0</v>
      </c>
      <c r="L212" s="238" t="s">
        <v>626</v>
      </c>
      <c r="M212" s="212" t="s">
        <v>448</v>
      </c>
      <c r="N212" s="212" t="s">
        <v>470</v>
      </c>
      <c r="O212" s="213">
        <v>41419</v>
      </c>
      <c r="P212" s="212" t="s">
        <v>531</v>
      </c>
      <c r="Q212" s="214">
        <v>100</v>
      </c>
      <c r="R212" s="212" t="s">
        <v>445</v>
      </c>
      <c r="S212" s="212" t="s">
        <v>532</v>
      </c>
      <c r="T212" s="212" t="s">
        <v>445</v>
      </c>
      <c r="U212" s="212" t="s">
        <v>446</v>
      </c>
      <c r="V212" s="214" t="b">
        <v>1</v>
      </c>
      <c r="W212" s="214">
        <v>1989</v>
      </c>
      <c r="X212" s="214">
        <v>5</v>
      </c>
      <c r="Y212" s="214">
        <v>2</v>
      </c>
      <c r="Z212" s="214">
        <v>4</v>
      </c>
      <c r="AA212" s="212" t="s">
        <v>447</v>
      </c>
      <c r="AB212" s="212" t="s">
        <v>531</v>
      </c>
      <c r="AC212" s="212" t="s">
        <v>533</v>
      </c>
      <c r="AD212" s="214">
        <v>1.0515829999999999</v>
      </c>
      <c r="AE212" s="214">
        <v>30</v>
      </c>
      <c r="AF212" s="214">
        <v>0.15759999999999999</v>
      </c>
      <c r="AG212" s="214">
        <v>-99</v>
      </c>
      <c r="AH212" s="212" t="s">
        <v>224</v>
      </c>
      <c r="AI212" s="212" t="s">
        <v>449</v>
      </c>
      <c r="AJ212" s="212" t="s">
        <v>359</v>
      </c>
      <c r="AK212" s="212" t="s">
        <v>531</v>
      </c>
      <c r="AL212" s="212" t="s">
        <v>531</v>
      </c>
      <c r="AM212" s="214" t="b">
        <v>1</v>
      </c>
      <c r="AN212" s="214" t="b">
        <v>0</v>
      </c>
      <c r="AO212" s="212" t="s">
        <v>360</v>
      </c>
      <c r="AP212" s="212" t="s">
        <v>361</v>
      </c>
      <c r="AQ212" s="214">
        <v>120.19158</v>
      </c>
      <c r="AR212" s="214" t="b">
        <v>0</v>
      </c>
      <c r="AS212" s="212" t="s">
        <v>534</v>
      </c>
      <c r="AU212" s="222" t="s">
        <v>819</v>
      </c>
    </row>
    <row r="213" spans="1:47" s="263" customFormat="1" ht="15" customHeight="1" x14ac:dyDescent="0.25">
      <c r="A213" s="245">
        <f t="shared" si="24"/>
        <v>308</v>
      </c>
      <c r="B213" s="246" t="str">
        <f t="shared" si="25"/>
        <v>Oil Field - Well</v>
      </c>
      <c r="C213" s="246" t="str">
        <f ca="1">IF(B213="","",VLOOKUP(D213,'Species Data'!B:E,4,FALSE))</f>
        <v>betben</v>
      </c>
      <c r="D213" s="246">
        <f t="shared" ca="1" si="26"/>
        <v>981</v>
      </c>
      <c r="E213" s="246">
        <f t="shared" ca="1" si="27"/>
        <v>5.7000000000000002E-3</v>
      </c>
      <c r="F213" s="246" t="str">
        <f t="shared" ca="1" si="28"/>
        <v>Butylbenzene</v>
      </c>
      <c r="G213" s="246">
        <f t="shared" ca="1" si="29"/>
        <v>134.21816000000001</v>
      </c>
      <c r="H213" s="204">
        <f ca="1">IF(G213="","",IF(VLOOKUP(Well_Head!F213,'Species Data'!D:F,3,FALSE)=0,"X",IF(G213&lt;44.1,2,1)))</f>
        <v>1</v>
      </c>
      <c r="I213" s="204">
        <f t="shared" ca="1" si="30"/>
        <v>6.3200077244538855E-2</v>
      </c>
      <c r="J213" s="247">
        <f ca="1">IF(I213="","",IF(COUNTIF($D$12:D213,D213)=1,IF(H213=1,I213*H213,IF(H213="X","X",0)),0))</f>
        <v>0</v>
      </c>
      <c r="K213" s="248">
        <f t="shared" ca="1" si="31"/>
        <v>0</v>
      </c>
      <c r="L213" s="238" t="s">
        <v>626</v>
      </c>
      <c r="M213" s="212" t="s">
        <v>448</v>
      </c>
      <c r="N213" s="212" t="s">
        <v>470</v>
      </c>
      <c r="O213" s="213">
        <v>41419</v>
      </c>
      <c r="P213" s="212" t="s">
        <v>531</v>
      </c>
      <c r="Q213" s="214">
        <v>100</v>
      </c>
      <c r="R213" s="212" t="s">
        <v>445</v>
      </c>
      <c r="S213" s="212" t="s">
        <v>532</v>
      </c>
      <c r="T213" s="212" t="s">
        <v>445</v>
      </c>
      <c r="U213" s="212" t="s">
        <v>446</v>
      </c>
      <c r="V213" s="214" t="b">
        <v>1</v>
      </c>
      <c r="W213" s="214">
        <v>1989</v>
      </c>
      <c r="X213" s="214">
        <v>5</v>
      </c>
      <c r="Y213" s="214">
        <v>2</v>
      </c>
      <c r="Z213" s="214">
        <v>4</v>
      </c>
      <c r="AA213" s="212" t="s">
        <v>447</v>
      </c>
      <c r="AB213" s="212" t="s">
        <v>531</v>
      </c>
      <c r="AC213" s="212" t="s">
        <v>533</v>
      </c>
      <c r="AD213" s="214">
        <v>1.0515829999999999</v>
      </c>
      <c r="AE213" s="214">
        <v>36</v>
      </c>
      <c r="AF213" s="214">
        <v>0.496</v>
      </c>
      <c r="AG213" s="214">
        <v>-99</v>
      </c>
      <c r="AH213" s="212" t="s">
        <v>224</v>
      </c>
      <c r="AI213" s="212" t="s">
        <v>449</v>
      </c>
      <c r="AJ213" s="212" t="s">
        <v>631</v>
      </c>
      <c r="AK213" s="212" t="s">
        <v>531</v>
      </c>
      <c r="AL213" s="212" t="s">
        <v>632</v>
      </c>
      <c r="AM213" s="214" t="b">
        <v>0</v>
      </c>
      <c r="AN213" s="214" t="b">
        <v>0</v>
      </c>
      <c r="AO213" s="212" t="s">
        <v>633</v>
      </c>
      <c r="AP213" s="212" t="s">
        <v>531</v>
      </c>
      <c r="AQ213" s="214">
        <v>134.21816000000001</v>
      </c>
      <c r="AR213" s="214" t="b">
        <v>0</v>
      </c>
      <c r="AS213" s="212" t="s">
        <v>534</v>
      </c>
      <c r="AU213" s="222" t="s">
        <v>819</v>
      </c>
    </row>
    <row r="214" spans="1:47" s="263" customFormat="1" ht="15" customHeight="1" x14ac:dyDescent="0.25">
      <c r="A214" s="245">
        <f t="shared" si="24"/>
        <v>309</v>
      </c>
      <c r="B214" s="246" t="str">
        <f t="shared" si="25"/>
        <v>Oil Field - Well</v>
      </c>
      <c r="C214" s="246" t="str">
        <f ca="1">IF(B214="","",VLOOKUP(D214,'Species Data'!B:E,4,FALSE))</f>
        <v>c10_comp</v>
      </c>
      <c r="D214" s="246">
        <f t="shared" ca="1" si="26"/>
        <v>1924</v>
      </c>
      <c r="E214" s="246">
        <f t="shared" ca="1" si="27"/>
        <v>4.8399999999999999E-2</v>
      </c>
      <c r="F214" s="246" t="str">
        <f t="shared" ca="1" si="28"/>
        <v>C-10 Compounds</v>
      </c>
      <c r="G214" s="246">
        <f t="shared" ca="1" si="29"/>
        <v>142.28167999999999</v>
      </c>
      <c r="H214" s="204" t="str">
        <f ca="1">IF(G214="","",IF(VLOOKUP(Well_Head!F214,'Species Data'!D:F,3,FALSE)=0,"X",IF(G214&lt;44.1,2,1)))</f>
        <v>X</v>
      </c>
      <c r="I214" s="204">
        <f t="shared" ca="1" si="30"/>
        <v>2.3240139515726077</v>
      </c>
      <c r="J214" s="247">
        <f ca="1">IF(I214="","",IF(COUNTIF($D$12:D214,D214)=1,IF(H214=1,I214*H214,IF(H214="X","X",0)),0))</f>
        <v>0</v>
      </c>
      <c r="K214" s="248">
        <f t="shared" ca="1" si="31"/>
        <v>0</v>
      </c>
      <c r="L214" s="238" t="s">
        <v>626</v>
      </c>
      <c r="M214" s="212" t="s">
        <v>448</v>
      </c>
      <c r="N214" s="212" t="s">
        <v>470</v>
      </c>
      <c r="O214" s="213">
        <v>41419</v>
      </c>
      <c r="P214" s="212" t="s">
        <v>531</v>
      </c>
      <c r="Q214" s="214">
        <v>100</v>
      </c>
      <c r="R214" s="212" t="s">
        <v>445</v>
      </c>
      <c r="S214" s="212" t="s">
        <v>532</v>
      </c>
      <c r="T214" s="212" t="s">
        <v>445</v>
      </c>
      <c r="U214" s="212" t="s">
        <v>446</v>
      </c>
      <c r="V214" s="214" t="b">
        <v>1</v>
      </c>
      <c r="W214" s="214">
        <v>1989</v>
      </c>
      <c r="X214" s="214">
        <v>5</v>
      </c>
      <c r="Y214" s="214">
        <v>2</v>
      </c>
      <c r="Z214" s="214">
        <v>4</v>
      </c>
      <c r="AA214" s="212" t="s">
        <v>447</v>
      </c>
      <c r="AB214" s="212" t="s">
        <v>531</v>
      </c>
      <c r="AC214" s="212" t="s">
        <v>533</v>
      </c>
      <c r="AD214" s="214">
        <v>1.0515829999999999</v>
      </c>
      <c r="AE214" s="214">
        <v>44</v>
      </c>
      <c r="AF214" s="214">
        <v>0.60529999999999995</v>
      </c>
      <c r="AG214" s="214">
        <v>-99</v>
      </c>
      <c r="AH214" s="212" t="s">
        <v>224</v>
      </c>
      <c r="AI214" s="212" t="s">
        <v>449</v>
      </c>
      <c r="AJ214" s="212" t="s">
        <v>400</v>
      </c>
      <c r="AK214" s="212" t="s">
        <v>531</v>
      </c>
      <c r="AL214" s="212" t="s">
        <v>401</v>
      </c>
      <c r="AM214" s="214" t="b">
        <v>1</v>
      </c>
      <c r="AN214" s="214" t="b">
        <v>0</v>
      </c>
      <c r="AO214" s="212" t="s">
        <v>402</v>
      </c>
      <c r="AP214" s="212" t="s">
        <v>403</v>
      </c>
      <c r="AQ214" s="214">
        <v>120.19158</v>
      </c>
      <c r="AR214" s="214" t="b">
        <v>0</v>
      </c>
      <c r="AS214" s="212" t="s">
        <v>534</v>
      </c>
      <c r="AU214" s="222" t="s">
        <v>819</v>
      </c>
    </row>
    <row r="215" spans="1:47" s="263" customFormat="1" ht="15" customHeight="1" x14ac:dyDescent="0.25">
      <c r="A215" s="245">
        <f t="shared" si="24"/>
        <v>310</v>
      </c>
      <c r="B215" s="246" t="str">
        <f t="shared" si="25"/>
        <v>Oil Field - Well</v>
      </c>
      <c r="C215" s="246" t="str">
        <f ca="1">IF(B215="","",VLOOKUP(D215,'Species Data'!B:E,4,FALSE))</f>
        <v>c11_comp</v>
      </c>
      <c r="D215" s="246">
        <f t="shared" ca="1" si="26"/>
        <v>1929</v>
      </c>
      <c r="E215" s="246">
        <f t="shared" ca="1" si="27"/>
        <v>9.1999999999999998E-3</v>
      </c>
      <c r="F215" s="246" t="str">
        <f t="shared" ca="1" si="28"/>
        <v>C-11 Compounds</v>
      </c>
      <c r="G215" s="246">
        <f t="shared" ca="1" si="29"/>
        <v>156.30826000000002</v>
      </c>
      <c r="H215" s="204" t="str">
        <f ca="1">IF(G215="","",IF(VLOOKUP(Well_Head!F215,'Species Data'!D:F,3,FALSE)=0,"X",IF(G215&lt;44.1,2,1)))</f>
        <v>X</v>
      </c>
      <c r="I215" s="204">
        <f t="shared" ca="1" si="30"/>
        <v>0.83128990490988375</v>
      </c>
      <c r="J215" s="247">
        <f ca="1">IF(I215="","",IF(COUNTIF($D$12:D215,D215)=1,IF(H215=1,I215*H215,IF(H215="X","X",0)),0))</f>
        <v>0</v>
      </c>
      <c r="K215" s="248">
        <f t="shared" ca="1" si="31"/>
        <v>0</v>
      </c>
      <c r="L215" s="238" t="s">
        <v>626</v>
      </c>
      <c r="M215" s="212" t="s">
        <v>448</v>
      </c>
      <c r="N215" s="212" t="s">
        <v>470</v>
      </c>
      <c r="O215" s="213">
        <v>41419</v>
      </c>
      <c r="P215" s="212" t="s">
        <v>531</v>
      </c>
      <c r="Q215" s="214">
        <v>100</v>
      </c>
      <c r="R215" s="212" t="s">
        <v>445</v>
      </c>
      <c r="S215" s="212" t="s">
        <v>532</v>
      </c>
      <c r="T215" s="212" t="s">
        <v>445</v>
      </c>
      <c r="U215" s="212" t="s">
        <v>446</v>
      </c>
      <c r="V215" s="214" t="b">
        <v>1</v>
      </c>
      <c r="W215" s="214">
        <v>1989</v>
      </c>
      <c r="X215" s="214">
        <v>5</v>
      </c>
      <c r="Y215" s="214">
        <v>2</v>
      </c>
      <c r="Z215" s="214">
        <v>4</v>
      </c>
      <c r="AA215" s="212" t="s">
        <v>447</v>
      </c>
      <c r="AB215" s="212" t="s">
        <v>531</v>
      </c>
      <c r="AC215" s="212" t="s">
        <v>533</v>
      </c>
      <c r="AD215" s="214">
        <v>1.0515829999999999</v>
      </c>
      <c r="AE215" s="214">
        <v>51</v>
      </c>
      <c r="AF215" s="214">
        <v>0.34179999999999999</v>
      </c>
      <c r="AG215" s="214">
        <v>-99</v>
      </c>
      <c r="AH215" s="212" t="s">
        <v>224</v>
      </c>
      <c r="AI215" s="212" t="s">
        <v>449</v>
      </c>
      <c r="AJ215" s="212" t="s">
        <v>634</v>
      </c>
      <c r="AK215" s="212" t="s">
        <v>531</v>
      </c>
      <c r="AL215" s="212" t="s">
        <v>635</v>
      </c>
      <c r="AM215" s="214" t="b">
        <v>1</v>
      </c>
      <c r="AN215" s="214" t="b">
        <v>0</v>
      </c>
      <c r="AO215" s="212" t="s">
        <v>636</v>
      </c>
      <c r="AP215" s="212" t="s">
        <v>637</v>
      </c>
      <c r="AQ215" s="214">
        <v>134.21816000000001</v>
      </c>
      <c r="AR215" s="214" t="b">
        <v>0</v>
      </c>
      <c r="AS215" s="212" t="s">
        <v>534</v>
      </c>
      <c r="AU215" s="222" t="s">
        <v>819</v>
      </c>
    </row>
    <row r="216" spans="1:47" s="263" customFormat="1" ht="15" customHeight="1" x14ac:dyDescent="0.25">
      <c r="A216" s="245">
        <f t="shared" si="24"/>
        <v>311</v>
      </c>
      <c r="B216" s="246" t="str">
        <f t="shared" si="25"/>
        <v>Oil Field - Well</v>
      </c>
      <c r="C216" s="246" t="str">
        <f ca="1">IF(B216="","",VLOOKUP(D216,'Species Data'!B:E,4,FALSE))</f>
        <v>c6_comp</v>
      </c>
      <c r="D216" s="246">
        <f t="shared" ca="1" si="26"/>
        <v>1999</v>
      </c>
      <c r="E216" s="246">
        <f t="shared" ca="1" si="27"/>
        <v>0.52880000000000005</v>
      </c>
      <c r="F216" s="246" t="str">
        <f t="shared" ca="1" si="28"/>
        <v>C-6 Compounds</v>
      </c>
      <c r="G216" s="246">
        <f t="shared" ca="1" si="29"/>
        <v>86.175359999999998</v>
      </c>
      <c r="H216" s="204" t="str">
        <f ca="1">IF(G216="","",IF(VLOOKUP(Well_Head!F216,'Species Data'!D:F,3,FALSE)=0,"X",IF(G216&lt;44.1,2,1)))</f>
        <v>X</v>
      </c>
      <c r="I216" s="204">
        <f t="shared" ca="1" si="30"/>
        <v>2.1343803864649171</v>
      </c>
      <c r="J216" s="247">
        <f ca="1">IF(I216="","",IF(COUNTIF($D$12:D216,D216)=1,IF(H216=1,I216*H216,IF(H216="X","X",0)),0))</f>
        <v>0</v>
      </c>
      <c r="K216" s="248">
        <f t="shared" ca="1" si="31"/>
        <v>0</v>
      </c>
      <c r="L216" s="238" t="s">
        <v>626</v>
      </c>
      <c r="M216" s="212" t="s">
        <v>448</v>
      </c>
      <c r="N216" s="212" t="s">
        <v>470</v>
      </c>
      <c r="O216" s="213">
        <v>41419</v>
      </c>
      <c r="P216" s="212" t="s">
        <v>531</v>
      </c>
      <c r="Q216" s="214">
        <v>100</v>
      </c>
      <c r="R216" s="212" t="s">
        <v>445</v>
      </c>
      <c r="S216" s="212" t="s">
        <v>532</v>
      </c>
      <c r="T216" s="212" t="s">
        <v>445</v>
      </c>
      <c r="U216" s="212" t="s">
        <v>446</v>
      </c>
      <c r="V216" s="214" t="b">
        <v>1</v>
      </c>
      <c r="W216" s="214">
        <v>1989</v>
      </c>
      <c r="X216" s="214">
        <v>5</v>
      </c>
      <c r="Y216" s="214">
        <v>2</v>
      </c>
      <c r="Z216" s="214">
        <v>4</v>
      </c>
      <c r="AA216" s="212" t="s">
        <v>447</v>
      </c>
      <c r="AB216" s="212" t="s">
        <v>531</v>
      </c>
      <c r="AC216" s="212" t="s">
        <v>533</v>
      </c>
      <c r="AD216" s="214">
        <v>1.0515829999999999</v>
      </c>
      <c r="AE216" s="214">
        <v>59</v>
      </c>
      <c r="AF216" s="214">
        <v>0.34970000000000001</v>
      </c>
      <c r="AG216" s="214">
        <v>-99</v>
      </c>
      <c r="AH216" s="212" t="s">
        <v>224</v>
      </c>
      <c r="AI216" s="212" t="s">
        <v>449</v>
      </c>
      <c r="AJ216" s="212" t="s">
        <v>638</v>
      </c>
      <c r="AK216" s="212" t="s">
        <v>531</v>
      </c>
      <c r="AL216" s="212" t="s">
        <v>639</v>
      </c>
      <c r="AM216" s="214" t="b">
        <v>1</v>
      </c>
      <c r="AN216" s="214" t="b">
        <v>0</v>
      </c>
      <c r="AO216" s="212" t="s">
        <v>640</v>
      </c>
      <c r="AP216" s="212" t="s">
        <v>641</v>
      </c>
      <c r="AQ216" s="214">
        <v>134.21816000000001</v>
      </c>
      <c r="AR216" s="214" t="b">
        <v>0</v>
      </c>
      <c r="AS216" s="212" t="s">
        <v>534</v>
      </c>
      <c r="AU216" s="222" t="s">
        <v>819</v>
      </c>
    </row>
    <row r="217" spans="1:47" s="263" customFormat="1" ht="15" customHeight="1" x14ac:dyDescent="0.25">
      <c r="A217" s="245">
        <f t="shared" si="24"/>
        <v>312</v>
      </c>
      <c r="B217" s="246" t="str">
        <f t="shared" si="25"/>
        <v>Oil Field - Well</v>
      </c>
      <c r="C217" s="246" t="str">
        <f ca="1">IF(B217="","",VLOOKUP(D217,'Species Data'!B:E,4,FALSE))</f>
        <v>c7_comp</v>
      </c>
      <c r="D217" s="246">
        <f t="shared" ca="1" si="26"/>
        <v>2005</v>
      </c>
      <c r="E217" s="246">
        <f t="shared" ca="1" si="27"/>
        <v>3.6993999999999998</v>
      </c>
      <c r="F217" s="246" t="str">
        <f t="shared" ca="1" si="28"/>
        <v>C-7 Compounds</v>
      </c>
      <c r="G217" s="246">
        <f t="shared" ca="1" si="29"/>
        <v>100.20194000000001</v>
      </c>
      <c r="H217" s="204" t="str">
        <f ca="1">IF(G217="","",IF(VLOOKUP(Well_Head!F217,'Species Data'!D:F,3,FALSE)=0,"X",IF(G217&lt;44.1,2,1)))</f>
        <v>X</v>
      </c>
      <c r="I217" s="204">
        <f t="shared" ca="1" si="30"/>
        <v>4.8450170327985953</v>
      </c>
      <c r="J217" s="247">
        <f ca="1">IF(I217="","",IF(COUNTIF($D$12:D217,D217)=1,IF(H217=1,I217*H217,IF(H217="X","X",0)),0))</f>
        <v>0</v>
      </c>
      <c r="K217" s="248">
        <f t="shared" ca="1" si="31"/>
        <v>0</v>
      </c>
      <c r="L217" s="238" t="s">
        <v>626</v>
      </c>
      <c r="M217" s="212" t="s">
        <v>448</v>
      </c>
      <c r="N217" s="212" t="s">
        <v>470</v>
      </c>
      <c r="O217" s="213">
        <v>41419</v>
      </c>
      <c r="P217" s="212" t="s">
        <v>531</v>
      </c>
      <c r="Q217" s="214">
        <v>100</v>
      </c>
      <c r="R217" s="212" t="s">
        <v>445</v>
      </c>
      <c r="S217" s="212" t="s">
        <v>532</v>
      </c>
      <c r="T217" s="212" t="s">
        <v>445</v>
      </c>
      <c r="U217" s="212" t="s">
        <v>446</v>
      </c>
      <c r="V217" s="214" t="b">
        <v>1</v>
      </c>
      <c r="W217" s="214">
        <v>1989</v>
      </c>
      <c r="X217" s="214">
        <v>5</v>
      </c>
      <c r="Y217" s="214">
        <v>2</v>
      </c>
      <c r="Z217" s="214">
        <v>4</v>
      </c>
      <c r="AA217" s="212" t="s">
        <v>447</v>
      </c>
      <c r="AB217" s="212" t="s">
        <v>531</v>
      </c>
      <c r="AC217" s="212" t="s">
        <v>533</v>
      </c>
      <c r="AD217" s="214">
        <v>1.0515829999999999</v>
      </c>
      <c r="AE217" s="214">
        <v>80</v>
      </c>
      <c r="AF217" s="214">
        <v>0.69189999999999996</v>
      </c>
      <c r="AG217" s="214">
        <v>-99</v>
      </c>
      <c r="AH217" s="212" t="s">
        <v>224</v>
      </c>
      <c r="AI217" s="212" t="s">
        <v>449</v>
      </c>
      <c r="AJ217" s="212" t="s">
        <v>408</v>
      </c>
      <c r="AK217" s="212" t="s">
        <v>531</v>
      </c>
      <c r="AL217" s="212" t="s">
        <v>450</v>
      </c>
      <c r="AM217" s="214" t="b">
        <v>1</v>
      </c>
      <c r="AN217" s="214" t="b">
        <v>0</v>
      </c>
      <c r="AO217" s="212" t="s">
        <v>409</v>
      </c>
      <c r="AP217" s="212" t="s">
        <v>410</v>
      </c>
      <c r="AQ217" s="214">
        <v>120.19158</v>
      </c>
      <c r="AR217" s="214" t="b">
        <v>0</v>
      </c>
      <c r="AS217" s="212" t="s">
        <v>534</v>
      </c>
      <c r="AU217" s="222" t="s">
        <v>819</v>
      </c>
    </row>
    <row r="218" spans="1:47" s="263" customFormat="1" ht="15" customHeight="1" x14ac:dyDescent="0.25">
      <c r="A218" s="245">
        <f t="shared" si="24"/>
        <v>313</v>
      </c>
      <c r="B218" s="246" t="str">
        <f t="shared" si="25"/>
        <v>Oil Field - Well</v>
      </c>
      <c r="C218" s="246" t="str">
        <f ca="1">IF(B218="","",VLOOKUP(D218,'Species Data'!B:E,4,FALSE))</f>
        <v>c8_comp</v>
      </c>
      <c r="D218" s="246">
        <f t="shared" ca="1" si="26"/>
        <v>2011</v>
      </c>
      <c r="E218" s="246">
        <f t="shared" ca="1" si="27"/>
        <v>1.4513</v>
      </c>
      <c r="F218" s="246" t="str">
        <f t="shared" ca="1" si="28"/>
        <v>C-8 Compounds</v>
      </c>
      <c r="G218" s="246">
        <f t="shared" ca="1" si="29"/>
        <v>113.21160686946486</v>
      </c>
      <c r="H218" s="204" t="str">
        <f ca="1">IF(G218="","",IF(VLOOKUP(Well_Head!F218,'Species Data'!D:F,3,FALSE)=0,"X",IF(G218&lt;44.1,2,1)))</f>
        <v>X</v>
      </c>
      <c r="I218" s="204">
        <f t="shared" ca="1" si="30"/>
        <v>5.0392950480272818</v>
      </c>
      <c r="J218" s="247">
        <f ca="1">IF(I218="","",IF(COUNTIF($D$12:D218,D218)=1,IF(H218=1,I218*H218,IF(H218="X","X",0)),0))</f>
        <v>0</v>
      </c>
      <c r="K218" s="248">
        <f t="shared" ca="1" si="31"/>
        <v>0</v>
      </c>
      <c r="L218" s="238" t="s">
        <v>626</v>
      </c>
      <c r="M218" s="212" t="s">
        <v>448</v>
      </c>
      <c r="N218" s="212" t="s">
        <v>470</v>
      </c>
      <c r="O218" s="213">
        <v>41419</v>
      </c>
      <c r="P218" s="212" t="s">
        <v>531</v>
      </c>
      <c r="Q218" s="214">
        <v>100</v>
      </c>
      <c r="R218" s="212" t="s">
        <v>445</v>
      </c>
      <c r="S218" s="212" t="s">
        <v>532</v>
      </c>
      <c r="T218" s="212" t="s">
        <v>445</v>
      </c>
      <c r="U218" s="212" t="s">
        <v>446</v>
      </c>
      <c r="V218" s="214" t="b">
        <v>1</v>
      </c>
      <c r="W218" s="214">
        <v>1989</v>
      </c>
      <c r="X218" s="214">
        <v>5</v>
      </c>
      <c r="Y218" s="214">
        <v>2</v>
      </c>
      <c r="Z218" s="214">
        <v>4</v>
      </c>
      <c r="AA218" s="212" t="s">
        <v>447</v>
      </c>
      <c r="AB218" s="212" t="s">
        <v>531</v>
      </c>
      <c r="AC218" s="212" t="s">
        <v>533</v>
      </c>
      <c r="AD218" s="214">
        <v>1.0515829999999999</v>
      </c>
      <c r="AE218" s="214">
        <v>89</v>
      </c>
      <c r="AF218" s="214">
        <v>0.29270000000000002</v>
      </c>
      <c r="AG218" s="214">
        <v>-99</v>
      </c>
      <c r="AH218" s="212" t="s">
        <v>224</v>
      </c>
      <c r="AI218" s="212" t="s">
        <v>449</v>
      </c>
      <c r="AJ218" s="212" t="s">
        <v>411</v>
      </c>
      <c r="AK218" s="212" t="s">
        <v>531</v>
      </c>
      <c r="AL218" s="212" t="s">
        <v>451</v>
      </c>
      <c r="AM218" s="214" t="b">
        <v>1</v>
      </c>
      <c r="AN218" s="214" t="b">
        <v>0</v>
      </c>
      <c r="AO218" s="212" t="s">
        <v>412</v>
      </c>
      <c r="AP218" s="212" t="s">
        <v>413</v>
      </c>
      <c r="AQ218" s="214">
        <v>120.19158</v>
      </c>
      <c r="AR218" s="214" t="b">
        <v>0</v>
      </c>
      <c r="AS218" s="212" t="s">
        <v>534</v>
      </c>
      <c r="AU218" s="222" t="s">
        <v>819</v>
      </c>
    </row>
    <row r="219" spans="1:47" s="263" customFormat="1" ht="15" customHeight="1" x14ac:dyDescent="0.25">
      <c r="A219" s="245">
        <f t="shared" si="24"/>
        <v>314</v>
      </c>
      <c r="B219" s="246" t="str">
        <f t="shared" si="25"/>
        <v>Oil Field - Well</v>
      </c>
      <c r="C219" s="246" t="str">
        <f ca="1">IF(B219="","",VLOOKUP(D219,'Species Data'!B:E,4,FALSE))</f>
        <v>c9_comp</v>
      </c>
      <c r="D219" s="246">
        <f t="shared" ca="1" si="26"/>
        <v>2018</v>
      </c>
      <c r="E219" s="246">
        <f t="shared" ca="1" si="27"/>
        <v>0.98809999999999998</v>
      </c>
      <c r="F219" s="246" t="str">
        <f t="shared" ca="1" si="28"/>
        <v>C-9 Compounds</v>
      </c>
      <c r="G219" s="246">
        <f t="shared" ca="1" si="29"/>
        <v>127.23917598649743</v>
      </c>
      <c r="H219" s="204" t="str">
        <f ca="1">IF(G219="","",IF(VLOOKUP(Well_Head!F219,'Species Data'!D:F,3,FALSE)=0,"X",IF(G219&lt;44.1,2,1)))</f>
        <v>X</v>
      </c>
      <c r="I219" s="204">
        <f t="shared" ca="1" si="30"/>
        <v>4.5871944954599391</v>
      </c>
      <c r="J219" s="247">
        <f ca="1">IF(I219="","",IF(COUNTIF($D$12:D219,D219)=1,IF(H219=1,I219*H219,IF(H219="X","X",0)),0))</f>
        <v>0</v>
      </c>
      <c r="K219" s="248">
        <f t="shared" ca="1" si="31"/>
        <v>0</v>
      </c>
      <c r="L219" s="238" t="s">
        <v>626</v>
      </c>
      <c r="M219" s="212" t="s">
        <v>448</v>
      </c>
      <c r="N219" s="212" t="s">
        <v>470</v>
      </c>
      <c r="O219" s="213">
        <v>41419</v>
      </c>
      <c r="P219" s="212" t="s">
        <v>531</v>
      </c>
      <c r="Q219" s="214">
        <v>100</v>
      </c>
      <c r="R219" s="212" t="s">
        <v>445</v>
      </c>
      <c r="S219" s="212" t="s">
        <v>532</v>
      </c>
      <c r="T219" s="212" t="s">
        <v>445</v>
      </c>
      <c r="U219" s="212" t="s">
        <v>446</v>
      </c>
      <c r="V219" s="214" t="b">
        <v>1</v>
      </c>
      <c r="W219" s="214">
        <v>1989</v>
      </c>
      <c r="X219" s="214">
        <v>5</v>
      </c>
      <c r="Y219" s="214">
        <v>2</v>
      </c>
      <c r="Z219" s="214">
        <v>4</v>
      </c>
      <c r="AA219" s="212" t="s">
        <v>447</v>
      </c>
      <c r="AB219" s="212" t="s">
        <v>531</v>
      </c>
      <c r="AC219" s="212" t="s">
        <v>533</v>
      </c>
      <c r="AD219" s="214">
        <v>1.0515829999999999</v>
      </c>
      <c r="AE219" s="214">
        <v>122</v>
      </c>
      <c r="AF219" s="214">
        <v>0.9194</v>
      </c>
      <c r="AG219" s="214">
        <v>-99</v>
      </c>
      <c r="AH219" s="212" t="s">
        <v>224</v>
      </c>
      <c r="AI219" s="212" t="s">
        <v>449</v>
      </c>
      <c r="AJ219" s="212" t="s">
        <v>301</v>
      </c>
      <c r="AK219" s="212" t="s">
        <v>531</v>
      </c>
      <c r="AL219" s="212" t="s">
        <v>384</v>
      </c>
      <c r="AM219" s="214" t="b">
        <v>1</v>
      </c>
      <c r="AN219" s="214" t="b">
        <v>0</v>
      </c>
      <c r="AO219" s="212" t="s">
        <v>302</v>
      </c>
      <c r="AP219" s="212" t="s">
        <v>303</v>
      </c>
      <c r="AQ219" s="214">
        <v>86.175359999999998</v>
      </c>
      <c r="AR219" s="214" t="b">
        <v>0</v>
      </c>
      <c r="AS219" s="212" t="s">
        <v>534</v>
      </c>
      <c r="AU219" s="222" t="s">
        <v>819</v>
      </c>
    </row>
    <row r="220" spans="1:47" s="263" customFormat="1" ht="15" customHeight="1" x14ac:dyDescent="0.25">
      <c r="A220" s="245">
        <f t="shared" si="24"/>
        <v>315</v>
      </c>
      <c r="B220" s="246" t="str">
        <f t="shared" si="25"/>
        <v>Oil Field - Well</v>
      </c>
      <c r="C220" s="246" t="str">
        <f ca="1">IF(B220="","",VLOOKUP(D220,'Species Data'!B:E,4,FALSE))</f>
        <v>trimetben124</v>
      </c>
      <c r="D220" s="246">
        <f t="shared" ca="1" si="26"/>
        <v>30</v>
      </c>
      <c r="E220" s="246">
        <f t="shared" ca="1" si="27"/>
        <v>1.6400000000000001E-2</v>
      </c>
      <c r="F220" s="246" t="str">
        <f t="shared" ca="1" si="28"/>
        <v>1,2,4-trimethylbenzene  (1,3,4-trimethylbenzene)</v>
      </c>
      <c r="G220" s="246">
        <f t="shared" ca="1" si="29"/>
        <v>120.19158</v>
      </c>
      <c r="H220" s="204">
        <f ca="1">IF(G220="","",IF(VLOOKUP(Well_Head!F220,'Species Data'!D:F,3,FALSE)=0,"X",IF(G220&lt;44.1,2,1)))</f>
        <v>1</v>
      </c>
      <c r="I220" s="204">
        <f t="shared" ca="1" si="30"/>
        <v>0.18081133210273925</v>
      </c>
      <c r="J220" s="247">
        <f ca="1">IF(I220="","",IF(COUNTIF($D$12:D220,D220)=1,IF(H220=1,I220*H220,IF(H220="X","X",0)),0))</f>
        <v>0</v>
      </c>
      <c r="K220" s="248">
        <f t="shared" ca="1" si="31"/>
        <v>0</v>
      </c>
      <c r="L220" s="238" t="s">
        <v>626</v>
      </c>
      <c r="M220" s="212" t="s">
        <v>448</v>
      </c>
      <c r="N220" s="212" t="s">
        <v>470</v>
      </c>
      <c r="O220" s="213">
        <v>41419</v>
      </c>
      <c r="P220" s="212" t="s">
        <v>531</v>
      </c>
      <c r="Q220" s="214">
        <v>100</v>
      </c>
      <c r="R220" s="212" t="s">
        <v>445</v>
      </c>
      <c r="S220" s="212" t="s">
        <v>532</v>
      </c>
      <c r="T220" s="212" t="s">
        <v>445</v>
      </c>
      <c r="U220" s="212" t="s">
        <v>446</v>
      </c>
      <c r="V220" s="214" t="b">
        <v>1</v>
      </c>
      <c r="W220" s="214">
        <v>1989</v>
      </c>
      <c r="X220" s="214">
        <v>5</v>
      </c>
      <c r="Y220" s="214">
        <v>2</v>
      </c>
      <c r="Z220" s="214">
        <v>4</v>
      </c>
      <c r="AA220" s="212" t="s">
        <v>447</v>
      </c>
      <c r="AB220" s="212" t="s">
        <v>531</v>
      </c>
      <c r="AC220" s="212" t="s">
        <v>533</v>
      </c>
      <c r="AD220" s="214">
        <v>1.0515829999999999</v>
      </c>
      <c r="AE220" s="214">
        <v>127</v>
      </c>
      <c r="AF220" s="214">
        <v>0.38969999999999999</v>
      </c>
      <c r="AG220" s="214">
        <v>-99</v>
      </c>
      <c r="AH220" s="212" t="s">
        <v>224</v>
      </c>
      <c r="AI220" s="212" t="s">
        <v>449</v>
      </c>
      <c r="AJ220" s="212" t="s">
        <v>441</v>
      </c>
      <c r="AK220" s="212" t="s">
        <v>531</v>
      </c>
      <c r="AL220" s="212" t="s">
        <v>462</v>
      </c>
      <c r="AM220" s="214" t="b">
        <v>0</v>
      </c>
      <c r="AN220" s="214" t="b">
        <v>0</v>
      </c>
      <c r="AO220" s="212" t="s">
        <v>442</v>
      </c>
      <c r="AP220" s="212" t="s">
        <v>531</v>
      </c>
      <c r="AQ220" s="214">
        <v>72.148780000000002</v>
      </c>
      <c r="AR220" s="214" t="b">
        <v>0</v>
      </c>
      <c r="AS220" s="212" t="s">
        <v>534</v>
      </c>
      <c r="AU220" s="222" t="s">
        <v>819</v>
      </c>
    </row>
    <row r="221" spans="1:47" s="263" customFormat="1" ht="15" customHeight="1" x14ac:dyDescent="0.25">
      <c r="A221" s="245">
        <f t="shared" si="24"/>
        <v>316</v>
      </c>
      <c r="B221" s="246" t="str">
        <f t="shared" si="25"/>
        <v>Oil Field - Well</v>
      </c>
      <c r="C221" s="246" t="str">
        <f ca="1">IF(B221="","",VLOOKUP(D221,'Species Data'!B:E,4,FALSE))</f>
        <v>trimethben135</v>
      </c>
      <c r="D221" s="246">
        <f t="shared" ca="1" si="26"/>
        <v>44</v>
      </c>
      <c r="E221" s="246">
        <f t="shared" ca="1" si="27"/>
        <v>4.1000000000000003E-3</v>
      </c>
      <c r="F221" s="246" t="str">
        <f t="shared" ca="1" si="28"/>
        <v>1,3,5-trimethylbenzene</v>
      </c>
      <c r="G221" s="246">
        <f t="shared" ca="1" si="29"/>
        <v>120.19158</v>
      </c>
      <c r="H221" s="204">
        <f ca="1">IF(G221="","",IF(VLOOKUP(Well_Head!F221,'Species Data'!D:F,3,FALSE)=0,"X",IF(G221&lt;44.1,2,1)))</f>
        <v>1</v>
      </c>
      <c r="I221" s="204">
        <f t="shared" ca="1" si="30"/>
        <v>0.11778903285326239</v>
      </c>
      <c r="J221" s="247">
        <f ca="1">IF(I221="","",IF(COUNTIF($D$12:D221,D221)=1,IF(H221=1,I221*H221,IF(H221="X","X",0)),0))</f>
        <v>0</v>
      </c>
      <c r="K221" s="248">
        <f t="shared" ca="1" si="31"/>
        <v>0</v>
      </c>
      <c r="L221" s="238" t="s">
        <v>626</v>
      </c>
      <c r="M221" s="212" t="s">
        <v>448</v>
      </c>
      <c r="N221" s="212" t="s">
        <v>470</v>
      </c>
      <c r="O221" s="213">
        <v>41419</v>
      </c>
      <c r="P221" s="212" t="s">
        <v>531</v>
      </c>
      <c r="Q221" s="214">
        <v>100</v>
      </c>
      <c r="R221" s="212" t="s">
        <v>445</v>
      </c>
      <c r="S221" s="212" t="s">
        <v>532</v>
      </c>
      <c r="T221" s="212" t="s">
        <v>445</v>
      </c>
      <c r="U221" s="212" t="s">
        <v>446</v>
      </c>
      <c r="V221" s="214" t="b">
        <v>1</v>
      </c>
      <c r="W221" s="214">
        <v>1989</v>
      </c>
      <c r="X221" s="214">
        <v>5</v>
      </c>
      <c r="Y221" s="214">
        <v>2</v>
      </c>
      <c r="Z221" s="214">
        <v>4</v>
      </c>
      <c r="AA221" s="212" t="s">
        <v>447</v>
      </c>
      <c r="AB221" s="212" t="s">
        <v>531</v>
      </c>
      <c r="AC221" s="212" t="s">
        <v>533</v>
      </c>
      <c r="AD221" s="214">
        <v>1.0515829999999999</v>
      </c>
      <c r="AE221" s="214">
        <v>130</v>
      </c>
      <c r="AF221" s="214">
        <v>0.66310000000000002</v>
      </c>
      <c r="AG221" s="214">
        <v>-99</v>
      </c>
      <c r="AH221" s="212" t="s">
        <v>224</v>
      </c>
      <c r="AI221" s="212" t="s">
        <v>449</v>
      </c>
      <c r="AJ221" s="212" t="s">
        <v>404</v>
      </c>
      <c r="AK221" s="212" t="s">
        <v>531</v>
      </c>
      <c r="AL221" s="212" t="s">
        <v>405</v>
      </c>
      <c r="AM221" s="214" t="b">
        <v>1</v>
      </c>
      <c r="AN221" s="214" t="b">
        <v>0</v>
      </c>
      <c r="AO221" s="212" t="s">
        <v>406</v>
      </c>
      <c r="AP221" s="212" t="s">
        <v>407</v>
      </c>
      <c r="AQ221" s="214">
        <v>114.22852</v>
      </c>
      <c r="AR221" s="214" t="b">
        <v>0</v>
      </c>
      <c r="AS221" s="212" t="s">
        <v>534</v>
      </c>
      <c r="AU221" s="222" t="s">
        <v>819</v>
      </c>
    </row>
    <row r="222" spans="1:47" s="263" customFormat="1" ht="15" customHeight="1" x14ac:dyDescent="0.25">
      <c r="A222" s="245">
        <f t="shared" si="24"/>
        <v>317</v>
      </c>
      <c r="B222" s="246" t="str">
        <f t="shared" si="25"/>
        <v>Oil Field - Well</v>
      </c>
      <c r="C222" s="246" t="str">
        <f ca="1">IF(B222="","",VLOOKUP(D222,'Species Data'!B:E,4,FALSE))</f>
        <v>ethben12</v>
      </c>
      <c r="D222" s="246">
        <f t="shared" ca="1" si="26"/>
        <v>80</v>
      </c>
      <c r="E222" s="246">
        <f t="shared" ca="1" si="27"/>
        <v>3.8E-3</v>
      </c>
      <c r="F222" s="246" t="str">
        <f t="shared" ca="1" si="28"/>
        <v>1-Methyl-2-ethylbenzene</v>
      </c>
      <c r="G222" s="246">
        <f t="shared" ca="1" si="29"/>
        <v>120.19158</v>
      </c>
      <c r="H222" s="204">
        <f ca="1">IF(G222="","",IF(VLOOKUP(Well_Head!F222,'Species Data'!D:F,3,FALSE)=0,"X",IF(G222&lt;44.1,2,1)))</f>
        <v>1</v>
      </c>
      <c r="I222" s="204">
        <f t="shared" ca="1" si="30"/>
        <v>0.13882239189403453</v>
      </c>
      <c r="J222" s="247">
        <f ca="1">IF(I222="","",IF(COUNTIF($D$12:D222,D222)=1,IF(H222=1,I222*H222,IF(H222="X","X",0)),0))</f>
        <v>0</v>
      </c>
      <c r="K222" s="248">
        <f t="shared" ca="1" si="31"/>
        <v>0</v>
      </c>
      <c r="L222" s="238" t="s">
        <v>626</v>
      </c>
      <c r="M222" s="212" t="s">
        <v>448</v>
      </c>
      <c r="N222" s="212" t="s">
        <v>470</v>
      </c>
      <c r="O222" s="213">
        <v>41419</v>
      </c>
      <c r="P222" s="212" t="s">
        <v>531</v>
      </c>
      <c r="Q222" s="214">
        <v>100</v>
      </c>
      <c r="R222" s="212" t="s">
        <v>445</v>
      </c>
      <c r="S222" s="212" t="s">
        <v>532</v>
      </c>
      <c r="T222" s="212" t="s">
        <v>445</v>
      </c>
      <c r="U222" s="212" t="s">
        <v>446</v>
      </c>
      <c r="V222" s="214" t="b">
        <v>1</v>
      </c>
      <c r="W222" s="214">
        <v>1989</v>
      </c>
      <c r="X222" s="214">
        <v>5</v>
      </c>
      <c r="Y222" s="214">
        <v>2</v>
      </c>
      <c r="Z222" s="214">
        <v>4</v>
      </c>
      <c r="AA222" s="212" t="s">
        <v>447</v>
      </c>
      <c r="AB222" s="212" t="s">
        <v>531</v>
      </c>
      <c r="AC222" s="212" t="s">
        <v>533</v>
      </c>
      <c r="AD222" s="214">
        <v>1.0515829999999999</v>
      </c>
      <c r="AE222" s="214">
        <v>136</v>
      </c>
      <c r="AF222" s="214">
        <v>2.9941</v>
      </c>
      <c r="AG222" s="214">
        <v>-99</v>
      </c>
      <c r="AH222" s="212" t="s">
        <v>224</v>
      </c>
      <c r="AI222" s="212" t="s">
        <v>449</v>
      </c>
      <c r="AJ222" s="212" t="s">
        <v>304</v>
      </c>
      <c r="AK222" s="212" t="s">
        <v>531</v>
      </c>
      <c r="AL222" s="212" t="s">
        <v>620</v>
      </c>
      <c r="AM222" s="214" t="b">
        <v>1</v>
      </c>
      <c r="AN222" s="214" t="b">
        <v>0</v>
      </c>
      <c r="AO222" s="212" t="s">
        <v>305</v>
      </c>
      <c r="AP222" s="212" t="s">
        <v>306</v>
      </c>
      <c r="AQ222" s="214">
        <v>86.175359999999998</v>
      </c>
      <c r="AR222" s="214" t="b">
        <v>0</v>
      </c>
      <c r="AS222" s="212" t="s">
        <v>534</v>
      </c>
      <c r="AU222" s="222" t="s">
        <v>819</v>
      </c>
    </row>
    <row r="223" spans="1:47" s="263" customFormat="1" ht="15" customHeight="1" x14ac:dyDescent="0.25">
      <c r="A223" s="245">
        <f t="shared" si="24"/>
        <v>318</v>
      </c>
      <c r="B223" s="246" t="str">
        <f t="shared" si="25"/>
        <v>Oil Field - Well</v>
      </c>
      <c r="C223" s="246" t="str">
        <f ca="1">IF(B223="","",VLOOKUP(D223,'Species Data'!B:E,4,FALSE))</f>
        <v>dimetbut22</v>
      </c>
      <c r="D223" s="246">
        <f t="shared" ca="1" si="26"/>
        <v>122</v>
      </c>
      <c r="E223" s="246">
        <f t="shared" ca="1" si="27"/>
        <v>4.0899999999999999E-2</v>
      </c>
      <c r="F223" s="246" t="str">
        <f t="shared" ca="1" si="28"/>
        <v>2,2-dimethylbutane</v>
      </c>
      <c r="G223" s="246">
        <f t="shared" ca="1" si="29"/>
        <v>86.175359999999998</v>
      </c>
      <c r="H223" s="204">
        <f ca="1">IF(G223="","",IF(VLOOKUP(Well_Head!F223,'Species Data'!D:F,3,FALSE)=0,"X",IF(G223&lt;44.1,2,1)))</f>
        <v>1</v>
      </c>
      <c r="I223" s="204">
        <f t="shared" ca="1" si="30"/>
        <v>0.21534470764353159</v>
      </c>
      <c r="J223" s="247">
        <f ca="1">IF(I223="","",IF(COUNTIF($D$12:D223,D223)=1,IF(H223=1,I223*H223,IF(H223="X","X",0)),0))</f>
        <v>0</v>
      </c>
      <c r="K223" s="248">
        <f t="shared" ca="1" si="31"/>
        <v>0</v>
      </c>
      <c r="L223" s="238" t="s">
        <v>626</v>
      </c>
      <c r="M223" s="212" t="s">
        <v>448</v>
      </c>
      <c r="N223" s="212" t="s">
        <v>470</v>
      </c>
      <c r="O223" s="213">
        <v>41419</v>
      </c>
      <c r="P223" s="212" t="s">
        <v>531</v>
      </c>
      <c r="Q223" s="214">
        <v>100</v>
      </c>
      <c r="R223" s="212" t="s">
        <v>445</v>
      </c>
      <c r="S223" s="212" t="s">
        <v>532</v>
      </c>
      <c r="T223" s="212" t="s">
        <v>445</v>
      </c>
      <c r="U223" s="212" t="s">
        <v>446</v>
      </c>
      <c r="V223" s="214" t="b">
        <v>1</v>
      </c>
      <c r="W223" s="214">
        <v>1989</v>
      </c>
      <c r="X223" s="214">
        <v>5</v>
      </c>
      <c r="Y223" s="214">
        <v>2</v>
      </c>
      <c r="Z223" s="214">
        <v>4</v>
      </c>
      <c r="AA223" s="212" t="s">
        <v>447</v>
      </c>
      <c r="AB223" s="212" t="s">
        <v>531</v>
      </c>
      <c r="AC223" s="212" t="s">
        <v>533</v>
      </c>
      <c r="AD223" s="214">
        <v>1.0515829999999999</v>
      </c>
      <c r="AE223" s="214">
        <v>138</v>
      </c>
      <c r="AF223" s="214">
        <v>0.18820000000000001</v>
      </c>
      <c r="AG223" s="214">
        <v>-99</v>
      </c>
      <c r="AH223" s="212" t="s">
        <v>224</v>
      </c>
      <c r="AI223" s="212" t="s">
        <v>449</v>
      </c>
      <c r="AJ223" s="212" t="s">
        <v>443</v>
      </c>
      <c r="AK223" s="212" t="s">
        <v>531</v>
      </c>
      <c r="AL223" s="212" t="s">
        <v>463</v>
      </c>
      <c r="AM223" s="214" t="b">
        <v>0</v>
      </c>
      <c r="AN223" s="214" t="b">
        <v>0</v>
      </c>
      <c r="AO223" s="212" t="s">
        <v>444</v>
      </c>
      <c r="AP223" s="212" t="s">
        <v>531</v>
      </c>
      <c r="AQ223" s="214">
        <v>114.22852</v>
      </c>
      <c r="AR223" s="214" t="b">
        <v>0</v>
      </c>
      <c r="AS223" s="212" t="s">
        <v>534</v>
      </c>
      <c r="AU223" s="222" t="s">
        <v>819</v>
      </c>
    </row>
    <row r="224" spans="1:47" s="263" customFormat="1" ht="15" customHeight="1" x14ac:dyDescent="0.25">
      <c r="A224" s="245">
        <f t="shared" si="24"/>
        <v>319</v>
      </c>
      <c r="B224" s="246" t="str">
        <f t="shared" si="25"/>
        <v>Oil Field - Well</v>
      </c>
      <c r="C224" s="246" t="str">
        <f ca="1">IF(B224="","",VLOOKUP(D224,'Species Data'!B:E,4,FALSE))</f>
        <v>dimethpro</v>
      </c>
      <c r="D224" s="246">
        <f t="shared" ca="1" si="26"/>
        <v>127</v>
      </c>
      <c r="E224" s="246">
        <f t="shared" ca="1" si="27"/>
        <v>2.5100000000000001E-2</v>
      </c>
      <c r="F224" s="246" t="str">
        <f t="shared" ca="1" si="28"/>
        <v>2,2-dimethylpropane</v>
      </c>
      <c r="G224" s="246">
        <f t="shared" ca="1" si="29"/>
        <v>72.148780000000002</v>
      </c>
      <c r="H224" s="204">
        <f ca="1">IF(G224="","",IF(VLOOKUP(Well_Head!F224,'Species Data'!D:F,3,FALSE)=0,"X",IF(G224&lt;44.1,2,1)))</f>
        <v>1</v>
      </c>
      <c r="I224" s="204">
        <f t="shared" ca="1" si="30"/>
        <v>0.12532237539401436</v>
      </c>
      <c r="J224" s="247">
        <f ca="1">IF(I224="","",IF(COUNTIF($D$12:D224,D224)=1,IF(H224=1,I224*H224,IF(H224="X","X",0)),0))</f>
        <v>0</v>
      </c>
      <c r="K224" s="248">
        <f t="shared" ca="1" si="31"/>
        <v>0</v>
      </c>
      <c r="L224" s="238" t="s">
        <v>626</v>
      </c>
      <c r="M224" s="212" t="s">
        <v>448</v>
      </c>
      <c r="N224" s="212" t="s">
        <v>470</v>
      </c>
      <c r="O224" s="213">
        <v>41419</v>
      </c>
      <c r="P224" s="212" t="s">
        <v>531</v>
      </c>
      <c r="Q224" s="214">
        <v>100</v>
      </c>
      <c r="R224" s="212" t="s">
        <v>445</v>
      </c>
      <c r="S224" s="212" t="s">
        <v>532</v>
      </c>
      <c r="T224" s="212" t="s">
        <v>445</v>
      </c>
      <c r="U224" s="212" t="s">
        <v>446</v>
      </c>
      <c r="V224" s="214" t="b">
        <v>1</v>
      </c>
      <c r="W224" s="214">
        <v>1989</v>
      </c>
      <c r="X224" s="214">
        <v>5</v>
      </c>
      <c r="Y224" s="214">
        <v>2</v>
      </c>
      <c r="Z224" s="214">
        <v>4</v>
      </c>
      <c r="AA224" s="212" t="s">
        <v>447</v>
      </c>
      <c r="AB224" s="212" t="s">
        <v>531</v>
      </c>
      <c r="AC224" s="212" t="s">
        <v>533</v>
      </c>
      <c r="AD224" s="214">
        <v>1.0515829999999999</v>
      </c>
      <c r="AE224" s="214">
        <v>140</v>
      </c>
      <c r="AF224" s="214">
        <v>2.0899000000000001</v>
      </c>
      <c r="AG224" s="214">
        <v>-99</v>
      </c>
      <c r="AH224" s="212" t="s">
        <v>224</v>
      </c>
      <c r="AI224" s="212" t="s">
        <v>449</v>
      </c>
      <c r="AJ224" s="212" t="s">
        <v>307</v>
      </c>
      <c r="AK224" s="212" t="s">
        <v>531</v>
      </c>
      <c r="AL224" s="212" t="s">
        <v>385</v>
      </c>
      <c r="AM224" s="214" t="b">
        <v>1</v>
      </c>
      <c r="AN224" s="214" t="b">
        <v>0</v>
      </c>
      <c r="AO224" s="212" t="s">
        <v>308</v>
      </c>
      <c r="AP224" s="212" t="s">
        <v>309</v>
      </c>
      <c r="AQ224" s="214">
        <v>100.20194000000001</v>
      </c>
      <c r="AR224" s="214" t="b">
        <v>0</v>
      </c>
      <c r="AS224" s="212" t="s">
        <v>534</v>
      </c>
      <c r="AU224" s="222" t="s">
        <v>819</v>
      </c>
    </row>
    <row r="225" spans="1:47" s="263" customFormat="1" ht="15" customHeight="1" x14ac:dyDescent="0.25">
      <c r="A225" s="245">
        <f t="shared" si="24"/>
        <v>320</v>
      </c>
      <c r="B225" s="246" t="str">
        <f t="shared" si="25"/>
        <v>Oil Field - Well</v>
      </c>
      <c r="C225" s="246" t="str">
        <f ca="1">IF(B225="","",VLOOKUP(D225,'Species Data'!B:E,4,FALSE))</f>
        <v>trimentpen3</v>
      </c>
      <c r="D225" s="246">
        <f t="shared" ca="1" si="26"/>
        <v>130</v>
      </c>
      <c r="E225" s="246">
        <f t="shared" ca="1" si="27"/>
        <v>0.23219999999999999</v>
      </c>
      <c r="F225" s="246" t="str">
        <f t="shared" ca="1" si="28"/>
        <v>2,3,4-trimethylpentane</v>
      </c>
      <c r="G225" s="246">
        <f t="shared" ca="1" si="29"/>
        <v>114.22852</v>
      </c>
      <c r="H225" s="204">
        <f ca="1">IF(G225="","",IF(VLOOKUP(Well_Head!F225,'Species Data'!D:F,3,FALSE)=0,"X",IF(G225&lt;44.1,2,1)))</f>
        <v>1</v>
      </c>
      <c r="I225" s="204">
        <f t="shared" ca="1" si="30"/>
        <v>0.18992245434966645</v>
      </c>
      <c r="J225" s="247">
        <f ca="1">IF(I225="","",IF(COUNTIF($D$12:D225,D225)=1,IF(H225=1,I225*H225,IF(H225="X","X",0)),0))</f>
        <v>0</v>
      </c>
      <c r="K225" s="248">
        <f t="shared" ca="1" si="31"/>
        <v>0</v>
      </c>
      <c r="L225" s="238" t="s">
        <v>626</v>
      </c>
      <c r="M225" s="212" t="s">
        <v>448</v>
      </c>
      <c r="N225" s="212" t="s">
        <v>470</v>
      </c>
      <c r="O225" s="213">
        <v>41419</v>
      </c>
      <c r="P225" s="212" t="s">
        <v>531</v>
      </c>
      <c r="Q225" s="214">
        <v>100</v>
      </c>
      <c r="R225" s="212" t="s">
        <v>445</v>
      </c>
      <c r="S225" s="212" t="s">
        <v>532</v>
      </c>
      <c r="T225" s="212" t="s">
        <v>445</v>
      </c>
      <c r="U225" s="212" t="s">
        <v>446</v>
      </c>
      <c r="V225" s="214" t="b">
        <v>1</v>
      </c>
      <c r="W225" s="214">
        <v>1989</v>
      </c>
      <c r="X225" s="214">
        <v>5</v>
      </c>
      <c r="Y225" s="214">
        <v>2</v>
      </c>
      <c r="Z225" s="214">
        <v>4</v>
      </c>
      <c r="AA225" s="212" t="s">
        <v>447</v>
      </c>
      <c r="AB225" s="212" t="s">
        <v>531</v>
      </c>
      <c r="AC225" s="212" t="s">
        <v>533</v>
      </c>
      <c r="AD225" s="214">
        <v>1.0515829999999999</v>
      </c>
      <c r="AE225" s="214">
        <v>149</v>
      </c>
      <c r="AF225" s="214">
        <v>0.66069999999999995</v>
      </c>
      <c r="AG225" s="214">
        <v>-99</v>
      </c>
      <c r="AH225" s="212" t="s">
        <v>224</v>
      </c>
      <c r="AI225" s="212" t="s">
        <v>449</v>
      </c>
      <c r="AJ225" s="212" t="s">
        <v>427</v>
      </c>
      <c r="AK225" s="212" t="s">
        <v>531</v>
      </c>
      <c r="AL225" s="212" t="s">
        <v>457</v>
      </c>
      <c r="AM225" s="214" t="b">
        <v>0</v>
      </c>
      <c r="AN225" s="214" t="b">
        <v>0</v>
      </c>
      <c r="AO225" s="212" t="s">
        <v>428</v>
      </c>
      <c r="AP225" s="212" t="s">
        <v>429</v>
      </c>
      <c r="AQ225" s="214">
        <v>114.22852</v>
      </c>
      <c r="AR225" s="214" t="b">
        <v>0</v>
      </c>
      <c r="AS225" s="212" t="s">
        <v>534</v>
      </c>
      <c r="AU225" s="222" t="s">
        <v>819</v>
      </c>
    </row>
    <row r="226" spans="1:47" s="263" customFormat="1" ht="15" customHeight="1" x14ac:dyDescent="0.25">
      <c r="A226" s="245">
        <f t="shared" si="24"/>
        <v>321</v>
      </c>
      <c r="B226" s="246" t="str">
        <f t="shared" si="25"/>
        <v>Oil Field - Well</v>
      </c>
      <c r="C226" s="246" t="str">
        <f ca="1">IF(B226="","",VLOOKUP(D226,'Species Data'!B:E,4,FALSE))</f>
        <v>dimethhex23</v>
      </c>
      <c r="D226" s="246">
        <f t="shared" ca="1" si="26"/>
        <v>138</v>
      </c>
      <c r="E226" s="246">
        <f t="shared" ca="1" si="27"/>
        <v>1.37E-2</v>
      </c>
      <c r="F226" s="246" t="str">
        <f t="shared" ca="1" si="28"/>
        <v>2,3-dimethylhexane</v>
      </c>
      <c r="G226" s="246">
        <f t="shared" ca="1" si="29"/>
        <v>114.22852</v>
      </c>
      <c r="H226" s="204">
        <f ca="1">IF(G226="","",IF(VLOOKUP(Well_Head!F226,'Species Data'!D:F,3,FALSE)=0,"X",IF(G226&lt;44.1,2,1)))</f>
        <v>1</v>
      </c>
      <c r="I226" s="204">
        <f t="shared" ca="1" si="30"/>
        <v>5.9266739103792238E-2</v>
      </c>
      <c r="J226" s="247">
        <f ca="1">IF(I226="","",IF(COUNTIF($D$12:D226,D226)=1,IF(H226=1,I226*H226,IF(H226="X","X",0)),0))</f>
        <v>0</v>
      </c>
      <c r="K226" s="248">
        <f t="shared" ca="1" si="31"/>
        <v>0</v>
      </c>
      <c r="L226" s="238" t="s">
        <v>626</v>
      </c>
      <c r="M226" s="212" t="s">
        <v>448</v>
      </c>
      <c r="N226" s="212" t="s">
        <v>470</v>
      </c>
      <c r="O226" s="213">
        <v>41419</v>
      </c>
      <c r="P226" s="212" t="s">
        <v>531</v>
      </c>
      <c r="Q226" s="214">
        <v>100</v>
      </c>
      <c r="R226" s="212" t="s">
        <v>445</v>
      </c>
      <c r="S226" s="212" t="s">
        <v>532</v>
      </c>
      <c r="T226" s="212" t="s">
        <v>445</v>
      </c>
      <c r="U226" s="212" t="s">
        <v>446</v>
      </c>
      <c r="V226" s="214" t="b">
        <v>1</v>
      </c>
      <c r="W226" s="214">
        <v>1989</v>
      </c>
      <c r="X226" s="214">
        <v>5</v>
      </c>
      <c r="Y226" s="214">
        <v>2</v>
      </c>
      <c r="Z226" s="214">
        <v>4</v>
      </c>
      <c r="AA226" s="212" t="s">
        <v>447</v>
      </c>
      <c r="AB226" s="212" t="s">
        <v>531</v>
      </c>
      <c r="AC226" s="212" t="s">
        <v>533</v>
      </c>
      <c r="AD226" s="214">
        <v>1.0515829999999999</v>
      </c>
      <c r="AE226" s="214">
        <v>152</v>
      </c>
      <c r="AF226" s="214">
        <v>0.60599999999999998</v>
      </c>
      <c r="AG226" s="214">
        <v>-99</v>
      </c>
      <c r="AH226" s="212" t="s">
        <v>224</v>
      </c>
      <c r="AI226" s="212" t="s">
        <v>449</v>
      </c>
      <c r="AJ226" s="212" t="s">
        <v>310</v>
      </c>
      <c r="AK226" s="212" t="s">
        <v>531</v>
      </c>
      <c r="AL226" s="212" t="s">
        <v>386</v>
      </c>
      <c r="AM226" s="214" t="b">
        <v>1</v>
      </c>
      <c r="AN226" s="214" t="b">
        <v>0</v>
      </c>
      <c r="AO226" s="212" t="s">
        <v>311</v>
      </c>
      <c r="AP226" s="212" t="s">
        <v>312</v>
      </c>
      <c r="AQ226" s="214">
        <v>100.20194000000001</v>
      </c>
      <c r="AR226" s="214" t="b">
        <v>0</v>
      </c>
      <c r="AS226" s="212" t="s">
        <v>534</v>
      </c>
      <c r="AU226" s="222" t="s">
        <v>819</v>
      </c>
    </row>
    <row r="227" spans="1:47" s="263" customFormat="1" x14ac:dyDescent="0.25">
      <c r="A227" s="245">
        <f t="shared" si="24"/>
        <v>322</v>
      </c>
      <c r="B227" s="246" t="str">
        <f t="shared" si="25"/>
        <v>Oil Field - Well</v>
      </c>
      <c r="C227" s="246" t="str">
        <f ca="1">IF(B227="","",VLOOKUP(D227,'Species Data'!B:E,4,FALSE))</f>
        <v>dimetpen3</v>
      </c>
      <c r="D227" s="246">
        <f t="shared" ca="1" si="26"/>
        <v>140</v>
      </c>
      <c r="E227" s="246">
        <f t="shared" ca="1" si="27"/>
        <v>0.20200000000000001</v>
      </c>
      <c r="F227" s="246" t="str">
        <f t="shared" ca="1" si="28"/>
        <v>2,3-dimethylpentane</v>
      </c>
      <c r="G227" s="246">
        <f t="shared" ca="1" si="29"/>
        <v>100.20194000000001</v>
      </c>
      <c r="H227" s="204">
        <f ca="1">IF(G227="","",IF(VLOOKUP(Well_Head!F227,'Species Data'!D:F,3,FALSE)=0,"X",IF(G227&lt;44.1,2,1)))</f>
        <v>1</v>
      </c>
      <c r="I227" s="204">
        <f t="shared" ca="1" si="30"/>
        <v>0.38365602446847435</v>
      </c>
      <c r="J227" s="247">
        <f ca="1">IF(I227="","",IF(COUNTIF($D$12:D227,D227)=1,IF(H227=1,I227*H227,IF(H227="X","X",0)),0))</f>
        <v>0</v>
      </c>
      <c r="K227" s="248">
        <f t="shared" ca="1" si="31"/>
        <v>0</v>
      </c>
      <c r="L227" s="238" t="s">
        <v>626</v>
      </c>
      <c r="M227" s="212" t="s">
        <v>448</v>
      </c>
      <c r="N227" s="212" t="s">
        <v>470</v>
      </c>
      <c r="O227" s="213">
        <v>41419</v>
      </c>
      <c r="P227" s="212" t="s">
        <v>531</v>
      </c>
      <c r="Q227" s="214">
        <v>100</v>
      </c>
      <c r="R227" s="212" t="s">
        <v>445</v>
      </c>
      <c r="S227" s="212" t="s">
        <v>532</v>
      </c>
      <c r="T227" s="212" t="s">
        <v>445</v>
      </c>
      <c r="U227" s="212" t="s">
        <v>446</v>
      </c>
      <c r="V227" s="214" t="b">
        <v>1</v>
      </c>
      <c r="W227" s="214">
        <v>1989</v>
      </c>
      <c r="X227" s="214">
        <v>5</v>
      </c>
      <c r="Y227" s="214">
        <v>2</v>
      </c>
      <c r="Z227" s="214">
        <v>4</v>
      </c>
      <c r="AA227" s="212" t="s">
        <v>447</v>
      </c>
      <c r="AB227" s="212" t="s">
        <v>531</v>
      </c>
      <c r="AC227" s="212" t="s">
        <v>533</v>
      </c>
      <c r="AD227" s="214">
        <v>1.0515829999999999</v>
      </c>
      <c r="AE227" s="214">
        <v>193</v>
      </c>
      <c r="AF227" s="214">
        <v>5.9200000000000003E-2</v>
      </c>
      <c r="AG227" s="214">
        <v>-99</v>
      </c>
      <c r="AH227" s="212" t="s">
        <v>224</v>
      </c>
      <c r="AI227" s="212" t="s">
        <v>449</v>
      </c>
      <c r="AJ227" s="212" t="s">
        <v>313</v>
      </c>
      <c r="AK227" s="212" t="s">
        <v>531</v>
      </c>
      <c r="AL227" s="212" t="s">
        <v>387</v>
      </c>
      <c r="AM227" s="214" t="b">
        <v>1</v>
      </c>
      <c r="AN227" s="214" t="b">
        <v>0</v>
      </c>
      <c r="AO227" s="212" t="s">
        <v>314</v>
      </c>
      <c r="AP227" s="212" t="s">
        <v>315</v>
      </c>
      <c r="AQ227" s="214">
        <v>114.22852</v>
      </c>
      <c r="AR227" s="214" t="b">
        <v>0</v>
      </c>
      <c r="AS227" s="212" t="s">
        <v>534</v>
      </c>
      <c r="AU227" s="222" t="s">
        <v>819</v>
      </c>
    </row>
    <row r="228" spans="1:47" s="263" customFormat="1" x14ac:dyDescent="0.25">
      <c r="A228" s="245">
        <f t="shared" si="24"/>
        <v>323</v>
      </c>
      <c r="B228" s="246" t="str">
        <f t="shared" si="25"/>
        <v>Oil Field - Well</v>
      </c>
      <c r="C228" s="246" t="str">
        <f ca="1">IF(B228="","",VLOOKUP(D228,'Species Data'!B:E,4,FALSE))</f>
        <v>dimethhex24</v>
      </c>
      <c r="D228" s="246">
        <f t="shared" ca="1" si="26"/>
        <v>149</v>
      </c>
      <c r="E228" s="246">
        <f t="shared" ca="1" si="27"/>
        <v>0.11210000000000001</v>
      </c>
      <c r="F228" s="246" t="str">
        <f t="shared" ca="1" si="28"/>
        <v>2,4-dimethylhexane</v>
      </c>
      <c r="G228" s="246">
        <f t="shared" ca="1" si="29"/>
        <v>114.22852</v>
      </c>
      <c r="H228" s="204">
        <f ca="1">IF(G228="","",IF(VLOOKUP(Well_Head!F228,'Species Data'!D:F,3,FALSE)=0,"X",IF(G228&lt;44.1,2,1)))</f>
        <v>1</v>
      </c>
      <c r="I228" s="204">
        <f t="shared" ca="1" si="30"/>
        <v>0.16547798002864228</v>
      </c>
      <c r="J228" s="247">
        <f ca="1">IF(I228="","",IF(COUNTIF($D$12:D228,D228)=1,IF(H228=1,I228*H228,IF(H228="X","X",0)),0))</f>
        <v>0</v>
      </c>
      <c r="K228" s="248">
        <f t="shared" ca="1" si="31"/>
        <v>0</v>
      </c>
      <c r="L228" s="238" t="s">
        <v>626</v>
      </c>
      <c r="M228" s="212" t="s">
        <v>448</v>
      </c>
      <c r="N228" s="212" t="s">
        <v>470</v>
      </c>
      <c r="O228" s="213">
        <v>41419</v>
      </c>
      <c r="P228" s="212" t="s">
        <v>531</v>
      </c>
      <c r="Q228" s="214">
        <v>100</v>
      </c>
      <c r="R228" s="212" t="s">
        <v>445</v>
      </c>
      <c r="S228" s="212" t="s">
        <v>532</v>
      </c>
      <c r="T228" s="212" t="s">
        <v>445</v>
      </c>
      <c r="U228" s="212" t="s">
        <v>446</v>
      </c>
      <c r="V228" s="214" t="b">
        <v>1</v>
      </c>
      <c r="W228" s="214">
        <v>1989</v>
      </c>
      <c r="X228" s="214">
        <v>5</v>
      </c>
      <c r="Y228" s="214">
        <v>2</v>
      </c>
      <c r="Z228" s="214">
        <v>4</v>
      </c>
      <c r="AA228" s="212" t="s">
        <v>447</v>
      </c>
      <c r="AB228" s="212" t="s">
        <v>531</v>
      </c>
      <c r="AC228" s="212" t="s">
        <v>533</v>
      </c>
      <c r="AD228" s="214">
        <v>1.0515829999999999</v>
      </c>
      <c r="AE228" s="214">
        <v>194</v>
      </c>
      <c r="AF228" s="214">
        <v>2.81E-2</v>
      </c>
      <c r="AG228" s="214">
        <v>-99</v>
      </c>
      <c r="AH228" s="212" t="s">
        <v>224</v>
      </c>
      <c r="AI228" s="212" t="s">
        <v>449</v>
      </c>
      <c r="AJ228" s="212" t="s">
        <v>316</v>
      </c>
      <c r="AK228" s="212" t="s">
        <v>531</v>
      </c>
      <c r="AL228" s="212" t="s">
        <v>388</v>
      </c>
      <c r="AM228" s="214" t="b">
        <v>1</v>
      </c>
      <c r="AN228" s="214" t="b">
        <v>0</v>
      </c>
      <c r="AO228" s="212" t="s">
        <v>317</v>
      </c>
      <c r="AP228" s="212" t="s">
        <v>318</v>
      </c>
      <c r="AQ228" s="214">
        <v>100.20194000000001</v>
      </c>
      <c r="AR228" s="214" t="b">
        <v>0</v>
      </c>
      <c r="AS228" s="212" t="s">
        <v>534</v>
      </c>
      <c r="AU228" s="222" t="s">
        <v>819</v>
      </c>
    </row>
    <row r="229" spans="1:47" s="263" customFormat="1" x14ac:dyDescent="0.25">
      <c r="A229" s="245">
        <f t="shared" si="24"/>
        <v>324</v>
      </c>
      <c r="B229" s="246" t="str">
        <f t="shared" si="25"/>
        <v>Oil Field - Well</v>
      </c>
      <c r="C229" s="246" t="str">
        <f ca="1">IF(B229="","",VLOOKUP(D229,'Species Data'!B:E,4,FALSE))</f>
        <v>dimetpen4</v>
      </c>
      <c r="D229" s="246">
        <f t="shared" ca="1" si="26"/>
        <v>152</v>
      </c>
      <c r="E229" s="246">
        <f t="shared" ca="1" si="27"/>
        <v>4.1399999999999999E-2</v>
      </c>
      <c r="F229" s="246" t="str">
        <f t="shared" ca="1" si="28"/>
        <v>2,4-dimethylpentane</v>
      </c>
      <c r="G229" s="246">
        <f t="shared" ca="1" si="29"/>
        <v>100.20194000000001</v>
      </c>
      <c r="H229" s="204">
        <f ca="1">IF(G229="","",IF(VLOOKUP(Well_Head!F229,'Species Data'!D:F,3,FALSE)=0,"X",IF(G229&lt;44.1,2,1)))</f>
        <v>1</v>
      </c>
      <c r="I229" s="204">
        <f t="shared" ca="1" si="30"/>
        <v>0.15698908076443205</v>
      </c>
      <c r="J229" s="247">
        <f ca="1">IF(I229="","",IF(COUNTIF($D$12:D229,D229)=1,IF(H229=1,I229*H229,IF(H229="X","X",0)),0))</f>
        <v>0</v>
      </c>
      <c r="K229" s="248">
        <f t="shared" ca="1" si="31"/>
        <v>0</v>
      </c>
      <c r="L229" s="238" t="s">
        <v>626</v>
      </c>
      <c r="M229" s="212" t="s">
        <v>448</v>
      </c>
      <c r="N229" s="212" t="s">
        <v>470</v>
      </c>
      <c r="O229" s="213">
        <v>41419</v>
      </c>
      <c r="P229" s="212" t="s">
        <v>531</v>
      </c>
      <c r="Q229" s="214">
        <v>100</v>
      </c>
      <c r="R229" s="212" t="s">
        <v>445</v>
      </c>
      <c r="S229" s="212" t="s">
        <v>532</v>
      </c>
      <c r="T229" s="212" t="s">
        <v>445</v>
      </c>
      <c r="U229" s="212" t="s">
        <v>446</v>
      </c>
      <c r="V229" s="214" t="b">
        <v>1</v>
      </c>
      <c r="W229" s="214">
        <v>1989</v>
      </c>
      <c r="X229" s="214">
        <v>5</v>
      </c>
      <c r="Y229" s="214">
        <v>2</v>
      </c>
      <c r="Z229" s="214">
        <v>4</v>
      </c>
      <c r="AA229" s="212" t="s">
        <v>447</v>
      </c>
      <c r="AB229" s="212" t="s">
        <v>531</v>
      </c>
      <c r="AC229" s="212" t="s">
        <v>533</v>
      </c>
      <c r="AD229" s="214">
        <v>1.0515829999999999</v>
      </c>
      <c r="AE229" s="214">
        <v>199</v>
      </c>
      <c r="AF229" s="214">
        <v>6.3700000000000007E-2</v>
      </c>
      <c r="AG229" s="214">
        <v>-99</v>
      </c>
      <c r="AH229" s="212" t="s">
        <v>224</v>
      </c>
      <c r="AI229" s="212" t="s">
        <v>449</v>
      </c>
      <c r="AJ229" s="212" t="s">
        <v>319</v>
      </c>
      <c r="AK229" s="212" t="s">
        <v>531</v>
      </c>
      <c r="AL229" s="212" t="s">
        <v>389</v>
      </c>
      <c r="AM229" s="214" t="b">
        <v>1</v>
      </c>
      <c r="AN229" s="214" t="b">
        <v>0</v>
      </c>
      <c r="AO229" s="212" t="s">
        <v>320</v>
      </c>
      <c r="AP229" s="212" t="s">
        <v>321</v>
      </c>
      <c r="AQ229" s="214">
        <v>86.175359999999998</v>
      </c>
      <c r="AR229" s="214" t="b">
        <v>0</v>
      </c>
      <c r="AS229" s="212" t="s">
        <v>534</v>
      </c>
      <c r="AU229" s="222" t="s">
        <v>819</v>
      </c>
    </row>
    <row r="230" spans="1:47" s="263" customFormat="1" x14ac:dyDescent="0.25">
      <c r="A230" s="245">
        <f t="shared" si="24"/>
        <v>325</v>
      </c>
      <c r="B230" s="246" t="str">
        <f t="shared" si="25"/>
        <v>Oil Field - Well</v>
      </c>
      <c r="C230" s="246" t="str">
        <f ca="1">IF(B230="","",VLOOKUP(D230,'Species Data'!B:E,4,FALSE))</f>
        <v>methep2</v>
      </c>
      <c r="D230" s="246">
        <f t="shared" ca="1" si="26"/>
        <v>193</v>
      </c>
      <c r="E230" s="246">
        <f t="shared" ca="1" si="27"/>
        <v>1.9699999999999999E-2</v>
      </c>
      <c r="F230" s="246" t="str">
        <f t="shared" ca="1" si="28"/>
        <v>2-methylheptane</v>
      </c>
      <c r="G230" s="246">
        <f t="shared" ca="1" si="29"/>
        <v>114.22852</v>
      </c>
      <c r="H230" s="204">
        <f ca="1">IF(G230="","",IF(VLOOKUP(Well_Head!F230,'Species Data'!D:F,3,FALSE)=0,"X",IF(G230&lt;44.1,2,1)))</f>
        <v>1</v>
      </c>
      <c r="I230" s="204">
        <f t="shared" ca="1" si="30"/>
        <v>0.21534470764353159</v>
      </c>
      <c r="J230" s="247">
        <f ca="1">IF(I230="","",IF(COUNTIF($D$12:D230,D230)=1,IF(H230=1,I230*H230,IF(H230="X","X",0)),0))</f>
        <v>0</v>
      </c>
      <c r="K230" s="248">
        <f t="shared" ca="1" si="31"/>
        <v>0</v>
      </c>
      <c r="L230" s="238" t="s">
        <v>626</v>
      </c>
      <c r="M230" s="212" t="s">
        <v>448</v>
      </c>
      <c r="N230" s="212" t="s">
        <v>470</v>
      </c>
      <c r="O230" s="213">
        <v>41419</v>
      </c>
      <c r="P230" s="212" t="s">
        <v>531</v>
      </c>
      <c r="Q230" s="214">
        <v>100</v>
      </c>
      <c r="R230" s="212" t="s">
        <v>445</v>
      </c>
      <c r="S230" s="212" t="s">
        <v>532</v>
      </c>
      <c r="T230" s="212" t="s">
        <v>445</v>
      </c>
      <c r="U230" s="212" t="s">
        <v>446</v>
      </c>
      <c r="V230" s="214" t="b">
        <v>1</v>
      </c>
      <c r="W230" s="214">
        <v>1989</v>
      </c>
      <c r="X230" s="214">
        <v>5</v>
      </c>
      <c r="Y230" s="214">
        <v>2</v>
      </c>
      <c r="Z230" s="214">
        <v>4</v>
      </c>
      <c r="AA230" s="212" t="s">
        <v>447</v>
      </c>
      <c r="AB230" s="212" t="s">
        <v>531</v>
      </c>
      <c r="AC230" s="212" t="s">
        <v>533</v>
      </c>
      <c r="AD230" s="214">
        <v>1.0515829999999999</v>
      </c>
      <c r="AE230" s="214">
        <v>226</v>
      </c>
      <c r="AF230" s="214">
        <v>0.59250000000000003</v>
      </c>
      <c r="AG230" s="214">
        <v>-99</v>
      </c>
      <c r="AH230" s="212" t="s">
        <v>224</v>
      </c>
      <c r="AI230" s="212" t="s">
        <v>449</v>
      </c>
      <c r="AJ230" s="212" t="s">
        <v>439</v>
      </c>
      <c r="AK230" s="212" t="s">
        <v>531</v>
      </c>
      <c r="AL230" s="212" t="s">
        <v>461</v>
      </c>
      <c r="AM230" s="214" t="b">
        <v>0</v>
      </c>
      <c r="AN230" s="214" t="b">
        <v>0</v>
      </c>
      <c r="AO230" s="212" t="s">
        <v>440</v>
      </c>
      <c r="AP230" s="212" t="s">
        <v>531</v>
      </c>
      <c r="AQ230" s="214">
        <v>114.22852</v>
      </c>
      <c r="AR230" s="214" t="b">
        <v>0</v>
      </c>
      <c r="AS230" s="212" t="s">
        <v>534</v>
      </c>
      <c r="AU230" s="222" t="s">
        <v>819</v>
      </c>
    </row>
    <row r="231" spans="1:47" s="263" customFormat="1" x14ac:dyDescent="0.25">
      <c r="A231" s="245">
        <f t="shared" ref="A231:A294" si="32">IF(B231="","",A230+1)</f>
        <v>326</v>
      </c>
      <c r="B231" s="246" t="str">
        <f t="shared" si="25"/>
        <v>Oil Field - Well</v>
      </c>
      <c r="C231" s="246" t="str">
        <f ca="1">IF(B231="","",VLOOKUP(D231,'Species Data'!B:E,4,FALSE))</f>
        <v>twometpen</v>
      </c>
      <c r="D231" s="246">
        <f t="shared" ca="1" si="26"/>
        <v>199</v>
      </c>
      <c r="E231" s="246">
        <f t="shared" ca="1" si="27"/>
        <v>1.1674</v>
      </c>
      <c r="F231" s="246" t="str">
        <f t="shared" ca="1" si="28"/>
        <v>2-methylpentane (isohexane)</v>
      </c>
      <c r="G231" s="246">
        <f t="shared" ca="1" si="29"/>
        <v>86.175359999999998</v>
      </c>
      <c r="H231" s="204">
        <f ca="1">IF(G231="","",IF(VLOOKUP(Well_Head!F231,'Species Data'!D:F,3,FALSE)=0,"X",IF(G231&lt;44.1,2,1)))</f>
        <v>1</v>
      </c>
      <c r="I231" s="204">
        <f t="shared" ca="1" si="30"/>
        <v>0.797867641838229</v>
      </c>
      <c r="J231" s="247">
        <f ca="1">IF(I231="","",IF(COUNTIF($D$12:D231,D231)=1,IF(H231=1,I231*H231,IF(H231="X","X",0)),0))</f>
        <v>0</v>
      </c>
      <c r="K231" s="248">
        <f t="shared" ca="1" si="31"/>
        <v>0</v>
      </c>
      <c r="L231" s="238" t="s">
        <v>626</v>
      </c>
      <c r="M231" s="212" t="s">
        <v>448</v>
      </c>
      <c r="N231" s="212" t="s">
        <v>470</v>
      </c>
      <c r="O231" s="213">
        <v>41419</v>
      </c>
      <c r="P231" s="212" t="s">
        <v>531</v>
      </c>
      <c r="Q231" s="214">
        <v>100</v>
      </c>
      <c r="R231" s="212" t="s">
        <v>445</v>
      </c>
      <c r="S231" s="212" t="s">
        <v>532</v>
      </c>
      <c r="T231" s="212" t="s">
        <v>445</v>
      </c>
      <c r="U231" s="212" t="s">
        <v>446</v>
      </c>
      <c r="V231" s="214" t="b">
        <v>1</v>
      </c>
      <c r="W231" s="214">
        <v>1989</v>
      </c>
      <c r="X231" s="214">
        <v>5</v>
      </c>
      <c r="Y231" s="214">
        <v>2</v>
      </c>
      <c r="Z231" s="214">
        <v>4</v>
      </c>
      <c r="AA231" s="212" t="s">
        <v>447</v>
      </c>
      <c r="AB231" s="212" t="s">
        <v>531</v>
      </c>
      <c r="AC231" s="212" t="s">
        <v>533</v>
      </c>
      <c r="AD231" s="214">
        <v>1.0515829999999999</v>
      </c>
      <c r="AE231" s="214">
        <v>245</v>
      </c>
      <c r="AF231" s="214">
        <v>8.4400000000000003E-2</v>
      </c>
      <c r="AG231" s="214">
        <v>-99</v>
      </c>
      <c r="AH231" s="212" t="s">
        <v>224</v>
      </c>
      <c r="AI231" s="212" t="s">
        <v>449</v>
      </c>
      <c r="AJ231" s="212" t="s">
        <v>325</v>
      </c>
      <c r="AK231" s="212" t="s">
        <v>531</v>
      </c>
      <c r="AL231" s="212" t="s">
        <v>390</v>
      </c>
      <c r="AM231" s="214" t="b">
        <v>1</v>
      </c>
      <c r="AN231" s="214" t="b">
        <v>0</v>
      </c>
      <c r="AO231" s="212" t="s">
        <v>326</v>
      </c>
      <c r="AP231" s="212" t="s">
        <v>327</v>
      </c>
      <c r="AQ231" s="214">
        <v>100.20194000000001</v>
      </c>
      <c r="AR231" s="214" t="b">
        <v>0</v>
      </c>
      <c r="AS231" s="212" t="s">
        <v>534</v>
      </c>
      <c r="AU231" s="222" t="s">
        <v>819</v>
      </c>
    </row>
    <row r="232" spans="1:47" s="263" customFormat="1" x14ac:dyDescent="0.25">
      <c r="A232" s="245">
        <f t="shared" si="32"/>
        <v>327</v>
      </c>
      <c r="B232" s="246" t="str">
        <f t="shared" si="25"/>
        <v>Oil Field - Well</v>
      </c>
      <c r="C232" s="246" t="str">
        <f ca="1">IF(B232="","",VLOOKUP(D232,'Species Data'!B:E,4,FALSE))</f>
        <v>ethylhexane</v>
      </c>
      <c r="D232" s="246">
        <f t="shared" ca="1" si="26"/>
        <v>226</v>
      </c>
      <c r="E232" s="246">
        <f t="shared" ca="1" si="27"/>
        <v>4.82E-2</v>
      </c>
      <c r="F232" s="246" t="str">
        <f t="shared" ca="1" si="28"/>
        <v>3-ethylhexane</v>
      </c>
      <c r="G232" s="246">
        <f t="shared" ca="1" si="29"/>
        <v>114.22852</v>
      </c>
      <c r="H232" s="204" t="str">
        <f ca="1">IF(G232="","",IF(VLOOKUP(Well_Head!F232,'Species Data'!D:F,3,FALSE)=0,"X",IF(G232&lt;44.1,2,1)))</f>
        <v>X</v>
      </c>
      <c r="I232" s="204">
        <f t="shared" ca="1" si="30"/>
        <v>0.19565579469041575</v>
      </c>
      <c r="J232" s="247">
        <f ca="1">IF(I232="","",IF(COUNTIF($D$12:D232,D232)=1,IF(H232=1,I232*H232,IF(H232="X","X",0)),0))</f>
        <v>0</v>
      </c>
      <c r="K232" s="248">
        <f t="shared" ca="1" si="31"/>
        <v>0</v>
      </c>
      <c r="L232" s="238" t="s">
        <v>626</v>
      </c>
      <c r="M232" s="212" t="s">
        <v>448</v>
      </c>
      <c r="N232" s="212" t="s">
        <v>470</v>
      </c>
      <c r="O232" s="213">
        <v>41419</v>
      </c>
      <c r="P232" s="212" t="s">
        <v>531</v>
      </c>
      <c r="Q232" s="214">
        <v>100</v>
      </c>
      <c r="R232" s="212" t="s">
        <v>445</v>
      </c>
      <c r="S232" s="212" t="s">
        <v>532</v>
      </c>
      <c r="T232" s="212" t="s">
        <v>445</v>
      </c>
      <c r="U232" s="212" t="s">
        <v>446</v>
      </c>
      <c r="V232" s="214" t="b">
        <v>1</v>
      </c>
      <c r="W232" s="214">
        <v>1989</v>
      </c>
      <c r="X232" s="214">
        <v>5</v>
      </c>
      <c r="Y232" s="214">
        <v>2</v>
      </c>
      <c r="Z232" s="214">
        <v>4</v>
      </c>
      <c r="AA232" s="212" t="s">
        <v>447</v>
      </c>
      <c r="AB232" s="212" t="s">
        <v>531</v>
      </c>
      <c r="AC232" s="212" t="s">
        <v>533</v>
      </c>
      <c r="AD232" s="214">
        <v>1.0515829999999999</v>
      </c>
      <c r="AE232" s="214">
        <v>248</v>
      </c>
      <c r="AF232" s="214">
        <v>0.20050000000000001</v>
      </c>
      <c r="AG232" s="214">
        <v>-99</v>
      </c>
      <c r="AH232" s="212" t="s">
        <v>224</v>
      </c>
      <c r="AI232" s="212" t="s">
        <v>449</v>
      </c>
      <c r="AJ232" s="212" t="s">
        <v>328</v>
      </c>
      <c r="AK232" s="212" t="s">
        <v>531</v>
      </c>
      <c r="AL232" s="212" t="s">
        <v>391</v>
      </c>
      <c r="AM232" s="214" t="b">
        <v>1</v>
      </c>
      <c r="AN232" s="214" t="b">
        <v>0</v>
      </c>
      <c r="AO232" s="212" t="s">
        <v>329</v>
      </c>
      <c r="AP232" s="212" t="s">
        <v>330</v>
      </c>
      <c r="AQ232" s="214">
        <v>86.175359999999998</v>
      </c>
      <c r="AR232" s="214" t="b">
        <v>0</v>
      </c>
      <c r="AS232" s="212" t="s">
        <v>534</v>
      </c>
      <c r="AU232" s="222" t="s">
        <v>819</v>
      </c>
    </row>
    <row r="233" spans="1:47" s="263" customFormat="1" x14ac:dyDescent="0.25">
      <c r="A233" s="245">
        <f t="shared" si="32"/>
        <v>328</v>
      </c>
      <c r="B233" s="246" t="str">
        <f t="shared" si="25"/>
        <v>Oil Field - Well</v>
      </c>
      <c r="C233" s="246" t="str">
        <f ca="1">IF(B233="","",VLOOKUP(D233,'Species Data'!B:E,4,FALSE))</f>
        <v>threemethex</v>
      </c>
      <c r="D233" s="246">
        <f t="shared" ca="1" si="26"/>
        <v>245</v>
      </c>
      <c r="E233" s="246">
        <f t="shared" ca="1" si="27"/>
        <v>0.28170000000000001</v>
      </c>
      <c r="F233" s="246" t="str">
        <f t="shared" ca="1" si="28"/>
        <v>3-methylhexane</v>
      </c>
      <c r="G233" s="246">
        <f t="shared" ca="1" si="29"/>
        <v>100.20194000000001</v>
      </c>
      <c r="H233" s="204">
        <f ca="1">IF(G233="","",IF(VLOOKUP(Well_Head!F233,'Species Data'!D:F,3,FALSE)=0,"X",IF(G233&lt;44.1,2,1)))</f>
        <v>1</v>
      </c>
      <c r="I233" s="204">
        <f t="shared" ca="1" si="30"/>
        <v>0.3128559379350353</v>
      </c>
      <c r="J233" s="247">
        <f ca="1">IF(I233="","",IF(COUNTIF($D$12:D233,D233)=1,IF(H233=1,I233*H233,IF(H233="X","X",0)),0))</f>
        <v>0</v>
      </c>
      <c r="K233" s="248">
        <f t="shared" ca="1" si="31"/>
        <v>0</v>
      </c>
      <c r="L233" s="238" t="s">
        <v>626</v>
      </c>
      <c r="M233" s="212" t="s">
        <v>448</v>
      </c>
      <c r="N233" s="212" t="s">
        <v>470</v>
      </c>
      <c r="O233" s="213">
        <v>41419</v>
      </c>
      <c r="P233" s="212" t="s">
        <v>531</v>
      </c>
      <c r="Q233" s="214">
        <v>100</v>
      </c>
      <c r="R233" s="212" t="s">
        <v>445</v>
      </c>
      <c r="S233" s="212" t="s">
        <v>532</v>
      </c>
      <c r="T233" s="212" t="s">
        <v>445</v>
      </c>
      <c r="U233" s="212" t="s">
        <v>446</v>
      </c>
      <c r="V233" s="214" t="b">
        <v>1</v>
      </c>
      <c r="W233" s="214">
        <v>1989</v>
      </c>
      <c r="X233" s="214">
        <v>5</v>
      </c>
      <c r="Y233" s="214">
        <v>2</v>
      </c>
      <c r="Z233" s="214">
        <v>4</v>
      </c>
      <c r="AA233" s="212" t="s">
        <v>447</v>
      </c>
      <c r="AB233" s="212" t="s">
        <v>531</v>
      </c>
      <c r="AC233" s="212" t="s">
        <v>533</v>
      </c>
      <c r="AD233" s="214">
        <v>1.0515829999999999</v>
      </c>
      <c r="AE233" s="214">
        <v>302</v>
      </c>
      <c r="AF233" s="214">
        <v>1.77E-2</v>
      </c>
      <c r="AG233" s="214">
        <v>-99</v>
      </c>
      <c r="AH233" s="212" t="s">
        <v>224</v>
      </c>
      <c r="AI233" s="212" t="s">
        <v>449</v>
      </c>
      <c r="AJ233" s="212" t="s">
        <v>262</v>
      </c>
      <c r="AK233" s="212" t="s">
        <v>531</v>
      </c>
      <c r="AL233" s="212" t="s">
        <v>373</v>
      </c>
      <c r="AM233" s="214" t="b">
        <v>1</v>
      </c>
      <c r="AN233" s="214" t="b">
        <v>1</v>
      </c>
      <c r="AO233" s="212" t="s">
        <v>263</v>
      </c>
      <c r="AP233" s="212" t="s">
        <v>264</v>
      </c>
      <c r="AQ233" s="214">
        <v>78.111840000000001</v>
      </c>
      <c r="AR233" s="214" t="b">
        <v>0</v>
      </c>
      <c r="AS233" s="212" t="s">
        <v>534</v>
      </c>
      <c r="AU233" s="222" t="s">
        <v>819</v>
      </c>
    </row>
    <row r="234" spans="1:47" s="263" customFormat="1" x14ac:dyDescent="0.25">
      <c r="A234" s="245">
        <f t="shared" si="32"/>
        <v>329</v>
      </c>
      <c r="B234" s="246" t="str">
        <f t="shared" si="25"/>
        <v>Oil Field - Well</v>
      </c>
      <c r="C234" s="246" t="str">
        <f ca="1">IF(B234="","",VLOOKUP(D234,'Species Data'!B:E,4,FALSE))</f>
        <v>threemetpen</v>
      </c>
      <c r="D234" s="246">
        <f t="shared" ca="1" si="26"/>
        <v>248</v>
      </c>
      <c r="E234" s="246">
        <f t="shared" ca="1" si="27"/>
        <v>0.75380000000000003</v>
      </c>
      <c r="F234" s="246" t="str">
        <f t="shared" ca="1" si="28"/>
        <v>3-methylpentane</v>
      </c>
      <c r="G234" s="246">
        <f t="shared" ca="1" si="29"/>
        <v>86.175359999999998</v>
      </c>
      <c r="H234" s="204">
        <f ca="1">IF(G234="","",IF(VLOOKUP(Well_Head!F234,'Species Data'!D:F,3,FALSE)=0,"X",IF(G234&lt;44.1,2,1)))</f>
        <v>1</v>
      </c>
      <c r="I234" s="204">
        <f t="shared" ca="1" si="30"/>
        <v>0.69705640751338704</v>
      </c>
      <c r="J234" s="247">
        <f ca="1">IF(I234="","",IF(COUNTIF($D$12:D234,D234)=1,IF(H234=1,I234*H234,IF(H234="X","X",0)),0))</f>
        <v>0</v>
      </c>
      <c r="K234" s="248">
        <f t="shared" ca="1" si="31"/>
        <v>0</v>
      </c>
      <c r="L234" s="238" t="s">
        <v>626</v>
      </c>
      <c r="M234" s="212" t="s">
        <v>448</v>
      </c>
      <c r="N234" s="212" t="s">
        <v>470</v>
      </c>
      <c r="O234" s="213">
        <v>41419</v>
      </c>
      <c r="P234" s="212" t="s">
        <v>531</v>
      </c>
      <c r="Q234" s="214">
        <v>100</v>
      </c>
      <c r="R234" s="212" t="s">
        <v>445</v>
      </c>
      <c r="S234" s="212" t="s">
        <v>532</v>
      </c>
      <c r="T234" s="212" t="s">
        <v>445</v>
      </c>
      <c r="U234" s="212" t="s">
        <v>446</v>
      </c>
      <c r="V234" s="214" t="b">
        <v>1</v>
      </c>
      <c r="W234" s="214">
        <v>1989</v>
      </c>
      <c r="X234" s="214">
        <v>5</v>
      </c>
      <c r="Y234" s="214">
        <v>2</v>
      </c>
      <c r="Z234" s="214">
        <v>4</v>
      </c>
      <c r="AA234" s="212" t="s">
        <v>447</v>
      </c>
      <c r="AB234" s="212" t="s">
        <v>531</v>
      </c>
      <c r="AC234" s="212" t="s">
        <v>533</v>
      </c>
      <c r="AD234" s="214">
        <v>1.0515829999999999</v>
      </c>
      <c r="AE234" s="214">
        <v>385</v>
      </c>
      <c r="AF234" s="214">
        <v>0.36969999999999997</v>
      </c>
      <c r="AG234" s="214">
        <v>-99</v>
      </c>
      <c r="AH234" s="212" t="s">
        <v>224</v>
      </c>
      <c r="AI234" s="212" t="s">
        <v>449</v>
      </c>
      <c r="AJ234" s="212" t="s">
        <v>331</v>
      </c>
      <c r="AK234" s="212" t="s">
        <v>531</v>
      </c>
      <c r="AL234" s="212" t="s">
        <v>392</v>
      </c>
      <c r="AM234" s="214" t="b">
        <v>1</v>
      </c>
      <c r="AN234" s="214" t="b">
        <v>0</v>
      </c>
      <c r="AO234" s="212" t="s">
        <v>332</v>
      </c>
      <c r="AP234" s="212" t="s">
        <v>333</v>
      </c>
      <c r="AQ234" s="214">
        <v>84.159480000000002</v>
      </c>
      <c r="AR234" s="214" t="b">
        <v>0</v>
      </c>
      <c r="AS234" s="212" t="s">
        <v>534</v>
      </c>
      <c r="AU234" s="222" t="s">
        <v>819</v>
      </c>
    </row>
    <row r="235" spans="1:47" s="263" customFormat="1" x14ac:dyDescent="0.25">
      <c r="A235" s="245">
        <f t="shared" si="32"/>
        <v>330</v>
      </c>
      <c r="B235" s="246" t="str">
        <f t="shared" si="25"/>
        <v>Oil Field - Well</v>
      </c>
      <c r="C235" s="246" t="str">
        <f ca="1">IF(B235="","",VLOOKUP(D235,'Species Data'!B:E,4,FALSE))</f>
        <v>benzene</v>
      </c>
      <c r="D235" s="246">
        <f t="shared" ca="1" si="26"/>
        <v>302</v>
      </c>
      <c r="E235" s="246">
        <f t="shared" ca="1" si="27"/>
        <v>9.1899999999999996E-2</v>
      </c>
      <c r="F235" s="246" t="str">
        <f t="shared" ca="1" si="28"/>
        <v>Benzene</v>
      </c>
      <c r="G235" s="246">
        <f t="shared" ca="1" si="29"/>
        <v>78.111840000000001</v>
      </c>
      <c r="H235" s="204">
        <f ca="1">IF(G235="","",IF(VLOOKUP(Well_Head!F235,'Species Data'!D:F,3,FALSE)=0,"X",IF(G235&lt;44.1,2,1)))</f>
        <v>1</v>
      </c>
      <c r="I235" s="204">
        <f t="shared" ca="1" si="30"/>
        <v>0.3538559880462076</v>
      </c>
      <c r="J235" s="247">
        <f ca="1">IF(I235="","",IF(COUNTIF($D$12:D235,D235)=1,IF(H235=1,I235*H235,IF(H235="X","X",0)),0))</f>
        <v>0</v>
      </c>
      <c r="K235" s="248">
        <f t="shared" ca="1" si="31"/>
        <v>0</v>
      </c>
      <c r="L235" s="238" t="s">
        <v>626</v>
      </c>
      <c r="M235" s="212" t="s">
        <v>448</v>
      </c>
      <c r="N235" s="212" t="s">
        <v>470</v>
      </c>
      <c r="O235" s="213">
        <v>41419</v>
      </c>
      <c r="P235" s="212" t="s">
        <v>531</v>
      </c>
      <c r="Q235" s="214">
        <v>100</v>
      </c>
      <c r="R235" s="212" t="s">
        <v>445</v>
      </c>
      <c r="S235" s="212" t="s">
        <v>532</v>
      </c>
      <c r="T235" s="212" t="s">
        <v>445</v>
      </c>
      <c r="U235" s="212" t="s">
        <v>446</v>
      </c>
      <c r="V235" s="214" t="b">
        <v>1</v>
      </c>
      <c r="W235" s="214">
        <v>1989</v>
      </c>
      <c r="X235" s="214">
        <v>5</v>
      </c>
      <c r="Y235" s="214">
        <v>2</v>
      </c>
      <c r="Z235" s="214">
        <v>4</v>
      </c>
      <c r="AA235" s="212" t="s">
        <v>447</v>
      </c>
      <c r="AB235" s="212" t="s">
        <v>531</v>
      </c>
      <c r="AC235" s="212" t="s">
        <v>533</v>
      </c>
      <c r="AD235" s="214">
        <v>1.0515829999999999</v>
      </c>
      <c r="AE235" s="214">
        <v>438</v>
      </c>
      <c r="AF235" s="214">
        <v>0.41909999999999997</v>
      </c>
      <c r="AG235" s="214">
        <v>-99</v>
      </c>
      <c r="AH235" s="212" t="s">
        <v>224</v>
      </c>
      <c r="AI235" s="212" t="s">
        <v>449</v>
      </c>
      <c r="AJ235" s="212" t="s">
        <v>265</v>
      </c>
      <c r="AK235" s="212" t="s">
        <v>531</v>
      </c>
      <c r="AL235" s="212" t="s">
        <v>374</v>
      </c>
      <c r="AM235" s="214" t="b">
        <v>1</v>
      </c>
      <c r="AN235" s="214" t="b">
        <v>0</v>
      </c>
      <c r="AO235" s="212" t="s">
        <v>266</v>
      </c>
      <c r="AP235" s="212" t="s">
        <v>267</v>
      </c>
      <c r="AQ235" s="214">
        <v>30.069040000000005</v>
      </c>
      <c r="AR235" s="214" t="b">
        <v>1</v>
      </c>
      <c r="AS235" s="212" t="s">
        <v>534</v>
      </c>
      <c r="AU235" s="222" t="s">
        <v>819</v>
      </c>
    </row>
    <row r="236" spans="1:47" s="263" customFormat="1" x14ac:dyDescent="0.25">
      <c r="A236" s="245">
        <f t="shared" si="32"/>
        <v>331</v>
      </c>
      <c r="B236" s="246" t="str">
        <f t="shared" si="25"/>
        <v>Oil Field - Well</v>
      </c>
      <c r="C236" s="246" t="str">
        <f ca="1">IF(B236="","",VLOOKUP(D236,'Species Data'!B:E,4,FALSE))</f>
        <v>cyclohexane</v>
      </c>
      <c r="D236" s="246">
        <f t="shared" ca="1" si="26"/>
        <v>385</v>
      </c>
      <c r="E236" s="246">
        <f t="shared" ca="1" si="27"/>
        <v>7.4999999999999997E-3</v>
      </c>
      <c r="F236" s="246" t="str">
        <f t="shared" ca="1" si="28"/>
        <v>Cyclohexane</v>
      </c>
      <c r="G236" s="246">
        <f t="shared" ca="1" si="29"/>
        <v>84.159480000000002</v>
      </c>
      <c r="H236" s="204">
        <f ca="1">IF(G236="","",IF(VLOOKUP(Well_Head!F236,'Species Data'!D:F,3,FALSE)=0,"X",IF(G236&lt;44.1,2,1)))</f>
        <v>1</v>
      </c>
      <c r="I236" s="204">
        <f t="shared" ca="1" si="30"/>
        <v>7.8433429196413454E-2</v>
      </c>
      <c r="J236" s="247">
        <f ca="1">IF(I236="","",IF(COUNTIF($D$12:D236,D236)=1,IF(H236=1,I236*H236,IF(H236="X","X",0)),0))</f>
        <v>0</v>
      </c>
      <c r="K236" s="248">
        <f t="shared" ca="1" si="31"/>
        <v>0</v>
      </c>
      <c r="L236" s="238" t="s">
        <v>626</v>
      </c>
      <c r="M236" s="212" t="s">
        <v>448</v>
      </c>
      <c r="N236" s="212" t="s">
        <v>470</v>
      </c>
      <c r="O236" s="213">
        <v>41419</v>
      </c>
      <c r="P236" s="212" t="s">
        <v>531</v>
      </c>
      <c r="Q236" s="214">
        <v>100</v>
      </c>
      <c r="R236" s="212" t="s">
        <v>445</v>
      </c>
      <c r="S236" s="212" t="s">
        <v>532</v>
      </c>
      <c r="T236" s="212" t="s">
        <v>445</v>
      </c>
      <c r="U236" s="212" t="s">
        <v>446</v>
      </c>
      <c r="V236" s="214" t="b">
        <v>1</v>
      </c>
      <c r="W236" s="214">
        <v>1989</v>
      </c>
      <c r="X236" s="214">
        <v>5</v>
      </c>
      <c r="Y236" s="214">
        <v>2</v>
      </c>
      <c r="Z236" s="214">
        <v>4</v>
      </c>
      <c r="AA236" s="212" t="s">
        <v>447</v>
      </c>
      <c r="AB236" s="212" t="s">
        <v>531</v>
      </c>
      <c r="AC236" s="212" t="s">
        <v>533</v>
      </c>
      <c r="AD236" s="214">
        <v>1.0515829999999999</v>
      </c>
      <c r="AE236" s="214">
        <v>449</v>
      </c>
      <c r="AF236" s="214">
        <v>0.45579999999999998</v>
      </c>
      <c r="AG236" s="214">
        <v>-99</v>
      </c>
      <c r="AH236" s="212" t="s">
        <v>224</v>
      </c>
      <c r="AI236" s="212" t="s">
        <v>449</v>
      </c>
      <c r="AJ236" s="212" t="s">
        <v>337</v>
      </c>
      <c r="AK236" s="212" t="s">
        <v>531</v>
      </c>
      <c r="AL236" s="212" t="s">
        <v>394</v>
      </c>
      <c r="AM236" s="214" t="b">
        <v>1</v>
      </c>
      <c r="AN236" s="214" t="b">
        <v>1</v>
      </c>
      <c r="AO236" s="212" t="s">
        <v>338</v>
      </c>
      <c r="AP236" s="212" t="s">
        <v>339</v>
      </c>
      <c r="AQ236" s="214">
        <v>106.16500000000001</v>
      </c>
      <c r="AR236" s="214" t="b">
        <v>0</v>
      </c>
      <c r="AS236" s="212" t="s">
        <v>534</v>
      </c>
      <c r="AU236" s="222" t="s">
        <v>819</v>
      </c>
    </row>
    <row r="237" spans="1:47" s="263" customFormat="1" x14ac:dyDescent="0.25">
      <c r="A237" s="245">
        <f t="shared" si="32"/>
        <v>332</v>
      </c>
      <c r="B237" s="246" t="str">
        <f t="shared" si="25"/>
        <v>Oil Field - Well</v>
      </c>
      <c r="C237" s="246" t="str">
        <f ca="1">IF(B237="","",VLOOKUP(D237,'Species Data'!B:E,4,FALSE))</f>
        <v>cyclopentane</v>
      </c>
      <c r="D237" s="246">
        <f t="shared" ca="1" si="26"/>
        <v>390</v>
      </c>
      <c r="E237" s="246">
        <f t="shared" ca="1" si="27"/>
        <v>0.1537</v>
      </c>
      <c r="F237" s="246" t="str">
        <f t="shared" ca="1" si="28"/>
        <v>Cyclopentane</v>
      </c>
      <c r="G237" s="246">
        <f t="shared" ca="1" si="29"/>
        <v>70.132900000000006</v>
      </c>
      <c r="H237" s="204">
        <f ca="1">IF(G237="","",IF(VLOOKUP(Well_Head!F237,'Species Data'!D:F,3,FALSE)=0,"X",IF(G237&lt;44.1,2,1)))</f>
        <v>1</v>
      </c>
      <c r="I237" s="204">
        <f t="shared" ca="1" si="30"/>
        <v>0.12218903823104672</v>
      </c>
      <c r="J237" s="247">
        <f ca="1">IF(I237="","",IF(COUNTIF($D$12:D237,D237)=1,IF(H237=1,I237*H237,IF(H237="X","X",0)),0))</f>
        <v>0.12218903823104672</v>
      </c>
      <c r="K237" s="248">
        <f t="shared" ca="1" si="31"/>
        <v>0.25671258951500531</v>
      </c>
      <c r="L237" s="238" t="s">
        <v>626</v>
      </c>
      <c r="M237" s="212" t="s">
        <v>448</v>
      </c>
      <c r="N237" s="212" t="s">
        <v>470</v>
      </c>
      <c r="O237" s="213">
        <v>41419</v>
      </c>
      <c r="P237" s="212" t="s">
        <v>531</v>
      </c>
      <c r="Q237" s="214">
        <v>100</v>
      </c>
      <c r="R237" s="212" t="s">
        <v>445</v>
      </c>
      <c r="S237" s="212" t="s">
        <v>532</v>
      </c>
      <c r="T237" s="212" t="s">
        <v>445</v>
      </c>
      <c r="U237" s="212" t="s">
        <v>446</v>
      </c>
      <c r="V237" s="214" t="b">
        <v>1</v>
      </c>
      <c r="W237" s="214">
        <v>1989</v>
      </c>
      <c r="X237" s="214">
        <v>5</v>
      </c>
      <c r="Y237" s="214">
        <v>2</v>
      </c>
      <c r="Z237" s="214">
        <v>4</v>
      </c>
      <c r="AA237" s="212" t="s">
        <v>447</v>
      </c>
      <c r="AB237" s="212" t="s">
        <v>531</v>
      </c>
      <c r="AC237" s="212" t="s">
        <v>533</v>
      </c>
      <c r="AD237" s="214">
        <v>1.0515829999999999</v>
      </c>
      <c r="AE237" s="214">
        <v>491</v>
      </c>
      <c r="AF237" s="214">
        <v>0.30030000000000001</v>
      </c>
      <c r="AG237" s="214">
        <v>-99</v>
      </c>
      <c r="AH237" s="212" t="s">
        <v>224</v>
      </c>
      <c r="AI237" s="212" t="s">
        <v>449</v>
      </c>
      <c r="AJ237" s="212" t="s">
        <v>268</v>
      </c>
      <c r="AK237" s="212" t="s">
        <v>531</v>
      </c>
      <c r="AL237" s="212" t="s">
        <v>375</v>
      </c>
      <c r="AM237" s="214" t="b">
        <v>1</v>
      </c>
      <c r="AN237" s="214" t="b">
        <v>0</v>
      </c>
      <c r="AO237" s="212" t="s">
        <v>269</v>
      </c>
      <c r="AP237" s="212" t="s">
        <v>270</v>
      </c>
      <c r="AQ237" s="214">
        <v>58.122199999999992</v>
      </c>
      <c r="AR237" s="214" t="b">
        <v>0</v>
      </c>
      <c r="AS237" s="212" t="s">
        <v>534</v>
      </c>
      <c r="AU237" s="222" t="s">
        <v>819</v>
      </c>
    </row>
    <row r="238" spans="1:47" s="263" customFormat="1" x14ac:dyDescent="0.25">
      <c r="A238" s="245">
        <f t="shared" si="32"/>
        <v>333</v>
      </c>
      <c r="B238" s="246" t="str">
        <f t="shared" si="25"/>
        <v>Oil Field - Well</v>
      </c>
      <c r="C238" s="246" t="str">
        <f ca="1">IF(B238="","",VLOOKUP(D238,'Species Data'!B:E,4,FALSE))</f>
        <v>ethane</v>
      </c>
      <c r="D238" s="246">
        <f t="shared" ca="1" si="26"/>
        <v>438</v>
      </c>
      <c r="E238" s="246">
        <f t="shared" ca="1" si="27"/>
        <v>9.2589000000000006</v>
      </c>
      <c r="F238" s="246" t="str">
        <f t="shared" ca="1" si="28"/>
        <v>Ethane</v>
      </c>
      <c r="G238" s="246">
        <f t="shared" ca="1" si="29"/>
        <v>30.069040000000005</v>
      </c>
      <c r="H238" s="204">
        <f ca="1">IF(G238="","",IF(VLOOKUP(Well_Head!F238,'Species Data'!D:F,3,FALSE)=0,"X",IF(G238&lt;44.1,2,1)))</f>
        <v>2</v>
      </c>
      <c r="I238" s="204">
        <f t="shared" ca="1" si="30"/>
        <v>7.2582977601417076</v>
      </c>
      <c r="J238" s="247">
        <f ca="1">IF(I238="","",IF(COUNTIF($D$12:D238,D238)=1,IF(H238=1,I238*H238,IF(H238="X","X",0)),0))</f>
        <v>0</v>
      </c>
      <c r="K238" s="248">
        <f t="shared" ca="1" si="31"/>
        <v>0</v>
      </c>
      <c r="L238" s="238" t="s">
        <v>626</v>
      </c>
      <c r="M238" s="212" t="s">
        <v>448</v>
      </c>
      <c r="N238" s="212" t="s">
        <v>470</v>
      </c>
      <c r="O238" s="213">
        <v>41419</v>
      </c>
      <c r="P238" s="212" t="s">
        <v>531</v>
      </c>
      <c r="Q238" s="214">
        <v>100</v>
      </c>
      <c r="R238" s="212" t="s">
        <v>445</v>
      </c>
      <c r="S238" s="212" t="s">
        <v>532</v>
      </c>
      <c r="T238" s="212" t="s">
        <v>445</v>
      </c>
      <c r="U238" s="212" t="s">
        <v>446</v>
      </c>
      <c r="V238" s="214" t="b">
        <v>1</v>
      </c>
      <c r="W238" s="214">
        <v>1989</v>
      </c>
      <c r="X238" s="214">
        <v>5</v>
      </c>
      <c r="Y238" s="214">
        <v>2</v>
      </c>
      <c r="Z238" s="214">
        <v>4</v>
      </c>
      <c r="AA238" s="212" t="s">
        <v>447</v>
      </c>
      <c r="AB238" s="212" t="s">
        <v>531</v>
      </c>
      <c r="AC238" s="212" t="s">
        <v>533</v>
      </c>
      <c r="AD238" s="214">
        <v>1.0515829999999999</v>
      </c>
      <c r="AE238" s="214">
        <v>499</v>
      </c>
      <c r="AF238" s="214">
        <v>0.49630000000000002</v>
      </c>
      <c r="AG238" s="214">
        <v>-99</v>
      </c>
      <c r="AH238" s="212" t="s">
        <v>224</v>
      </c>
      <c r="AI238" s="212" t="s">
        <v>449</v>
      </c>
      <c r="AJ238" s="212" t="s">
        <v>531</v>
      </c>
      <c r="AK238" s="212" t="s">
        <v>642</v>
      </c>
      <c r="AL238" s="212" t="s">
        <v>643</v>
      </c>
      <c r="AM238" s="214" t="b">
        <v>0</v>
      </c>
      <c r="AN238" s="214" t="b">
        <v>0</v>
      </c>
      <c r="AO238" s="212" t="s">
        <v>644</v>
      </c>
      <c r="AP238" s="212" t="s">
        <v>531</v>
      </c>
      <c r="AQ238" s="214">
        <v>134.21816000000001</v>
      </c>
      <c r="AR238" s="214" t="b">
        <v>0</v>
      </c>
      <c r="AS238" s="212" t="s">
        <v>534</v>
      </c>
      <c r="AU238" s="222" t="s">
        <v>819</v>
      </c>
    </row>
    <row r="239" spans="1:47" s="263" customFormat="1" x14ac:dyDescent="0.25">
      <c r="A239" s="245">
        <f t="shared" si="32"/>
        <v>334</v>
      </c>
      <c r="B239" s="246" t="str">
        <f t="shared" si="25"/>
        <v>Oil Field - Well</v>
      </c>
      <c r="C239" s="246" t="str">
        <f ca="1">IF(B239="","",VLOOKUP(D239,'Species Data'!B:E,4,FALSE))</f>
        <v>ethyl_benz</v>
      </c>
      <c r="D239" s="246">
        <f t="shared" ca="1" si="26"/>
        <v>449</v>
      </c>
      <c r="E239" s="246">
        <f t="shared" ca="1" si="27"/>
        <v>4.7199999999999999E-2</v>
      </c>
      <c r="F239" s="246" t="str">
        <f t="shared" ca="1" si="28"/>
        <v>Ethylbenzene</v>
      </c>
      <c r="G239" s="246">
        <f t="shared" ca="1" si="29"/>
        <v>106.16500000000001</v>
      </c>
      <c r="H239" s="204">
        <f ca="1">IF(G239="","",IF(VLOOKUP(Well_Head!F239,'Species Data'!D:F,3,FALSE)=0,"X",IF(G239&lt;44.1,2,1)))</f>
        <v>1</v>
      </c>
      <c r="I239" s="204">
        <f t="shared" ca="1" si="30"/>
        <v>0.43623386650805906</v>
      </c>
      <c r="J239" s="247">
        <f ca="1">IF(I239="","",IF(COUNTIF($D$12:D239,D239)=1,IF(H239=1,I239*H239,IF(H239="X","X",0)),0))</f>
        <v>0</v>
      </c>
      <c r="K239" s="248">
        <f t="shared" ca="1" si="31"/>
        <v>0</v>
      </c>
      <c r="L239" s="238" t="s">
        <v>626</v>
      </c>
      <c r="M239" s="212" t="s">
        <v>448</v>
      </c>
      <c r="N239" s="212" t="s">
        <v>470</v>
      </c>
      <c r="O239" s="213">
        <v>41419</v>
      </c>
      <c r="P239" s="212" t="s">
        <v>531</v>
      </c>
      <c r="Q239" s="214">
        <v>100</v>
      </c>
      <c r="R239" s="212" t="s">
        <v>445</v>
      </c>
      <c r="S239" s="212" t="s">
        <v>532</v>
      </c>
      <c r="T239" s="212" t="s">
        <v>445</v>
      </c>
      <c r="U239" s="212" t="s">
        <v>446</v>
      </c>
      <c r="V239" s="214" t="b">
        <v>1</v>
      </c>
      <c r="W239" s="214">
        <v>1989</v>
      </c>
      <c r="X239" s="214">
        <v>5</v>
      </c>
      <c r="Y239" s="214">
        <v>2</v>
      </c>
      <c r="Z239" s="214">
        <v>4</v>
      </c>
      <c r="AA239" s="212" t="s">
        <v>447</v>
      </c>
      <c r="AB239" s="212" t="s">
        <v>531</v>
      </c>
      <c r="AC239" s="212" t="s">
        <v>533</v>
      </c>
      <c r="AD239" s="214">
        <v>1.0515829999999999</v>
      </c>
      <c r="AE239" s="214">
        <v>508</v>
      </c>
      <c r="AF239" s="214">
        <v>0.4758</v>
      </c>
      <c r="AG239" s="214">
        <v>-99</v>
      </c>
      <c r="AH239" s="212" t="s">
        <v>224</v>
      </c>
      <c r="AI239" s="212" t="s">
        <v>449</v>
      </c>
      <c r="AJ239" s="212" t="s">
        <v>342</v>
      </c>
      <c r="AK239" s="212" t="s">
        <v>531</v>
      </c>
      <c r="AL239" s="212" t="s">
        <v>395</v>
      </c>
      <c r="AM239" s="214" t="b">
        <v>1</v>
      </c>
      <c r="AN239" s="214" t="b">
        <v>0</v>
      </c>
      <c r="AO239" s="212" t="s">
        <v>343</v>
      </c>
      <c r="AP239" s="212" t="s">
        <v>344</v>
      </c>
      <c r="AQ239" s="214">
        <v>72.148780000000002</v>
      </c>
      <c r="AR239" s="214" t="b">
        <v>0</v>
      </c>
      <c r="AS239" s="212" t="s">
        <v>534</v>
      </c>
      <c r="AU239" s="222" t="s">
        <v>819</v>
      </c>
    </row>
    <row r="240" spans="1:47" s="263" customFormat="1" x14ac:dyDescent="0.25">
      <c r="A240" s="245">
        <f t="shared" si="32"/>
        <v>335</v>
      </c>
      <c r="B240" s="246" t="str">
        <f t="shared" si="25"/>
        <v>Oil Field - Well</v>
      </c>
      <c r="C240" s="246" t="str">
        <f ca="1">IF(B240="","",VLOOKUP(D240,'Species Data'!B:E,4,FALSE))</f>
        <v>isobut</v>
      </c>
      <c r="D240" s="246">
        <f t="shared" ca="1" si="26"/>
        <v>491</v>
      </c>
      <c r="E240" s="246">
        <f t="shared" ca="1" si="27"/>
        <v>3.0754999999999999</v>
      </c>
      <c r="F240" s="246" t="str">
        <f t="shared" ca="1" si="28"/>
        <v>Isobutane</v>
      </c>
      <c r="G240" s="246">
        <f t="shared" ca="1" si="29"/>
        <v>58.122199999999992</v>
      </c>
      <c r="H240" s="204">
        <f ca="1">IF(G240="","",IF(VLOOKUP(Well_Head!F240,'Species Data'!D:F,3,FALSE)=0,"X",IF(G240&lt;44.1,2,1)))</f>
        <v>1</v>
      </c>
      <c r="I240" s="204">
        <f t="shared" ca="1" si="30"/>
        <v>2.9024368807561878</v>
      </c>
      <c r="J240" s="247">
        <f ca="1">IF(I240="","",IF(COUNTIF($D$12:D240,D240)=1,IF(H240=1,I240*H240,IF(H240="X","X",0)),0))</f>
        <v>0</v>
      </c>
      <c r="K240" s="248">
        <f t="shared" ca="1" si="31"/>
        <v>0</v>
      </c>
      <c r="L240" s="238" t="s">
        <v>626</v>
      </c>
      <c r="M240" s="212" t="s">
        <v>448</v>
      </c>
      <c r="N240" s="212" t="s">
        <v>470</v>
      </c>
      <c r="O240" s="213">
        <v>41419</v>
      </c>
      <c r="P240" s="212" t="s">
        <v>531</v>
      </c>
      <c r="Q240" s="214">
        <v>100</v>
      </c>
      <c r="R240" s="212" t="s">
        <v>445</v>
      </c>
      <c r="S240" s="212" t="s">
        <v>532</v>
      </c>
      <c r="T240" s="212" t="s">
        <v>445</v>
      </c>
      <c r="U240" s="212" t="s">
        <v>446</v>
      </c>
      <c r="V240" s="214" t="b">
        <v>1</v>
      </c>
      <c r="W240" s="214">
        <v>1989</v>
      </c>
      <c r="X240" s="214">
        <v>5</v>
      </c>
      <c r="Y240" s="214">
        <v>2</v>
      </c>
      <c r="Z240" s="214">
        <v>4</v>
      </c>
      <c r="AA240" s="212" t="s">
        <v>447</v>
      </c>
      <c r="AB240" s="212" t="s">
        <v>531</v>
      </c>
      <c r="AC240" s="212" t="s">
        <v>533</v>
      </c>
      <c r="AD240" s="214">
        <v>1.0515829999999999</v>
      </c>
      <c r="AE240" s="214">
        <v>514</v>
      </c>
      <c r="AF240" s="214">
        <v>0.26960000000000001</v>
      </c>
      <c r="AG240" s="214">
        <v>-99</v>
      </c>
      <c r="AH240" s="212" t="s">
        <v>224</v>
      </c>
      <c r="AI240" s="212" t="s">
        <v>449</v>
      </c>
      <c r="AJ240" s="212" t="s">
        <v>362</v>
      </c>
      <c r="AK240" s="212" t="s">
        <v>531</v>
      </c>
      <c r="AL240" s="212" t="s">
        <v>399</v>
      </c>
      <c r="AM240" s="214" t="b">
        <v>1</v>
      </c>
      <c r="AN240" s="214" t="b">
        <v>1</v>
      </c>
      <c r="AO240" s="212" t="s">
        <v>363</v>
      </c>
      <c r="AP240" s="212" t="s">
        <v>364</v>
      </c>
      <c r="AQ240" s="214">
        <v>120.19158</v>
      </c>
      <c r="AR240" s="214" t="b">
        <v>0</v>
      </c>
      <c r="AS240" s="212" t="s">
        <v>534</v>
      </c>
      <c r="AU240" s="222" t="s">
        <v>819</v>
      </c>
    </row>
    <row r="241" spans="1:47" s="263" customFormat="1" x14ac:dyDescent="0.25">
      <c r="A241" s="245">
        <f t="shared" si="32"/>
        <v>336</v>
      </c>
      <c r="B241" s="246" t="str">
        <f t="shared" si="25"/>
        <v>Oil Field - Well</v>
      </c>
      <c r="C241" s="246" t="str">
        <f ca="1">IF(B241="","",VLOOKUP(D241,'Species Data'!B:E,4,FALSE))</f>
        <v>isopentane</v>
      </c>
      <c r="D241" s="246">
        <f t="shared" ca="1" si="26"/>
        <v>508</v>
      </c>
      <c r="E241" s="246">
        <f t="shared" ca="1" si="27"/>
        <v>3.7319</v>
      </c>
      <c r="F241" s="246" t="str">
        <f t="shared" ca="1" si="28"/>
        <v>Isopentane (2-Methylbutane)</v>
      </c>
      <c r="G241" s="246">
        <f t="shared" ca="1" si="29"/>
        <v>72.148780000000002</v>
      </c>
      <c r="H241" s="204">
        <f ca="1">IF(G241="","",IF(VLOOKUP(Well_Head!F241,'Species Data'!D:F,3,FALSE)=0,"X",IF(G241&lt;44.1,2,1)))</f>
        <v>1</v>
      </c>
      <c r="I241" s="204">
        <f t="shared" ca="1" si="30"/>
        <v>2.9334258075204316</v>
      </c>
      <c r="J241" s="247">
        <f ca="1">IF(I241="","",IF(COUNTIF($D$12:D241,D241)=1,IF(H241=1,I241*H241,IF(H241="X","X",0)),0))</f>
        <v>0</v>
      </c>
      <c r="K241" s="248">
        <f t="shared" ca="1" si="31"/>
        <v>0</v>
      </c>
      <c r="L241" s="238" t="s">
        <v>626</v>
      </c>
      <c r="M241" s="212" t="s">
        <v>448</v>
      </c>
      <c r="N241" s="212" t="s">
        <v>470</v>
      </c>
      <c r="O241" s="213">
        <v>41419</v>
      </c>
      <c r="P241" s="212" t="s">
        <v>531</v>
      </c>
      <c r="Q241" s="214">
        <v>100</v>
      </c>
      <c r="R241" s="212" t="s">
        <v>445</v>
      </c>
      <c r="S241" s="212" t="s">
        <v>532</v>
      </c>
      <c r="T241" s="212" t="s">
        <v>445</v>
      </c>
      <c r="U241" s="212" t="s">
        <v>446</v>
      </c>
      <c r="V241" s="214" t="b">
        <v>1</v>
      </c>
      <c r="W241" s="214">
        <v>1989</v>
      </c>
      <c r="X241" s="214">
        <v>5</v>
      </c>
      <c r="Y241" s="214">
        <v>2</v>
      </c>
      <c r="Z241" s="214">
        <v>4</v>
      </c>
      <c r="AA241" s="212" t="s">
        <v>447</v>
      </c>
      <c r="AB241" s="212" t="s">
        <v>531</v>
      </c>
      <c r="AC241" s="212" t="s">
        <v>533</v>
      </c>
      <c r="AD241" s="214">
        <v>1.0515829999999999</v>
      </c>
      <c r="AE241" s="214">
        <v>524</v>
      </c>
      <c r="AF241" s="214">
        <v>4.6199999999999998E-2</v>
      </c>
      <c r="AG241" s="214">
        <v>-99</v>
      </c>
      <c r="AH241" s="212" t="s">
        <v>224</v>
      </c>
      <c r="AI241" s="212" t="s">
        <v>449</v>
      </c>
      <c r="AJ241" s="212" t="s">
        <v>436</v>
      </c>
      <c r="AK241" s="212" t="s">
        <v>531</v>
      </c>
      <c r="AL241" s="212" t="s">
        <v>460</v>
      </c>
      <c r="AM241" s="214" t="b">
        <v>0</v>
      </c>
      <c r="AN241" s="214" t="b">
        <v>1</v>
      </c>
      <c r="AO241" s="212" t="s">
        <v>437</v>
      </c>
      <c r="AP241" s="212" t="s">
        <v>438</v>
      </c>
      <c r="AQ241" s="214">
        <v>106.16500000000001</v>
      </c>
      <c r="AR241" s="214" t="b">
        <v>0</v>
      </c>
      <c r="AS241" s="212" t="s">
        <v>534</v>
      </c>
      <c r="AU241" s="222" t="s">
        <v>819</v>
      </c>
    </row>
    <row r="242" spans="1:47" s="263" customFormat="1" x14ac:dyDescent="0.25">
      <c r="A242" s="245">
        <f t="shared" si="32"/>
        <v>337</v>
      </c>
      <c r="B242" s="246" t="str">
        <f t="shared" si="25"/>
        <v>Oil Field - Well</v>
      </c>
      <c r="C242" s="246" t="str">
        <f ca="1">IF(B242="","",VLOOKUP(D242,'Species Data'!B:E,4,FALSE))</f>
        <v>isopben</v>
      </c>
      <c r="D242" s="246">
        <f t="shared" ca="1" si="26"/>
        <v>514</v>
      </c>
      <c r="E242" s="246">
        <f t="shared" ca="1" si="27"/>
        <v>2.5000000000000001E-3</v>
      </c>
      <c r="F242" s="246" t="str">
        <f t="shared" ca="1" si="28"/>
        <v>Isopropylbenzene (cumene)</v>
      </c>
      <c r="G242" s="246">
        <f t="shared" ca="1" si="29"/>
        <v>120.19158</v>
      </c>
      <c r="H242" s="204">
        <f ca="1">IF(G242="","",IF(VLOOKUP(Well_Head!F242,'Species Data'!D:F,3,FALSE)=0,"X",IF(G242&lt;44.1,2,1)))</f>
        <v>1</v>
      </c>
      <c r="I242" s="204">
        <f t="shared" ca="1" si="30"/>
        <v>7.8922318682833947E-2</v>
      </c>
      <c r="J242" s="247">
        <f ca="1">IF(I242="","",IF(COUNTIF($D$12:D242,D242)=1,IF(H242=1,I242*H242,IF(H242="X","X",0)),0))</f>
        <v>0</v>
      </c>
      <c r="K242" s="248">
        <f t="shared" ca="1" si="31"/>
        <v>0</v>
      </c>
      <c r="L242" s="238" t="s">
        <v>626</v>
      </c>
      <c r="M242" s="212" t="s">
        <v>448</v>
      </c>
      <c r="N242" s="212" t="s">
        <v>470</v>
      </c>
      <c r="O242" s="213">
        <v>41419</v>
      </c>
      <c r="P242" s="212" t="s">
        <v>531</v>
      </c>
      <c r="Q242" s="214">
        <v>100</v>
      </c>
      <c r="R242" s="212" t="s">
        <v>445</v>
      </c>
      <c r="S242" s="212" t="s">
        <v>532</v>
      </c>
      <c r="T242" s="212" t="s">
        <v>445</v>
      </c>
      <c r="U242" s="212" t="s">
        <v>446</v>
      </c>
      <c r="V242" s="214" t="b">
        <v>1</v>
      </c>
      <c r="W242" s="214">
        <v>1989</v>
      </c>
      <c r="X242" s="214">
        <v>5</v>
      </c>
      <c r="Y242" s="214">
        <v>2</v>
      </c>
      <c r="Z242" s="214">
        <v>4</v>
      </c>
      <c r="AA242" s="212" t="s">
        <v>447</v>
      </c>
      <c r="AB242" s="212" t="s">
        <v>531</v>
      </c>
      <c r="AC242" s="212" t="s">
        <v>533</v>
      </c>
      <c r="AD242" s="214">
        <v>1.0515829999999999</v>
      </c>
      <c r="AE242" s="214">
        <v>529</v>
      </c>
      <c r="AF242" s="214">
        <v>4.4862000000000002</v>
      </c>
      <c r="AG242" s="214">
        <v>-99</v>
      </c>
      <c r="AH242" s="212" t="s">
        <v>224</v>
      </c>
      <c r="AI242" s="212" t="s">
        <v>449</v>
      </c>
      <c r="AJ242" s="212" t="s">
        <v>271</v>
      </c>
      <c r="AK242" s="212" t="s">
        <v>531</v>
      </c>
      <c r="AL242" s="212" t="s">
        <v>376</v>
      </c>
      <c r="AM242" s="214" t="b">
        <v>0</v>
      </c>
      <c r="AN242" s="214" t="b">
        <v>0</v>
      </c>
      <c r="AO242" s="212" t="s">
        <v>272</v>
      </c>
      <c r="AP242" s="212" t="s">
        <v>531</v>
      </c>
      <c r="AQ242" s="214">
        <v>16.042459999999998</v>
      </c>
      <c r="AR242" s="214" t="b">
        <v>1</v>
      </c>
      <c r="AS242" s="212" t="s">
        <v>534</v>
      </c>
      <c r="AU242" s="222" t="s">
        <v>819</v>
      </c>
    </row>
    <row r="243" spans="1:47" s="263" customFormat="1" x14ac:dyDescent="0.25">
      <c r="A243" s="245">
        <f t="shared" si="32"/>
        <v>338</v>
      </c>
      <c r="B243" s="246" t="str">
        <f t="shared" si="25"/>
        <v>Oil Field - Well</v>
      </c>
      <c r="C243" s="246" t="str">
        <f ca="1">IF(B243="","",VLOOKUP(D243,'Species Data'!B:E,4,FALSE))</f>
        <v>M_xylene</v>
      </c>
      <c r="D243" s="246">
        <f t="shared" ca="1" si="26"/>
        <v>524</v>
      </c>
      <c r="E243" s="246">
        <f t="shared" ca="1" si="27"/>
        <v>2.5000000000000001E-2</v>
      </c>
      <c r="F243" s="246" t="str">
        <f t="shared" ca="1" si="28"/>
        <v>M-xylene</v>
      </c>
      <c r="G243" s="246">
        <f t="shared" ca="1" si="29"/>
        <v>106.16500000000001</v>
      </c>
      <c r="H243" s="204">
        <f ca="1">IF(G243="","",IF(VLOOKUP(Well_Head!F243,'Species Data'!D:F,3,FALSE)=0,"X",IF(G243&lt;44.1,2,1)))</f>
        <v>1</v>
      </c>
      <c r="I243" s="204">
        <f t="shared" ca="1" si="30"/>
        <v>0.21376692793735641</v>
      </c>
      <c r="J243" s="247">
        <f ca="1">IF(I243="","",IF(COUNTIF($D$12:D243,D243)=1,IF(H243=1,I243*H243,IF(H243="X","X",0)),0))</f>
        <v>0</v>
      </c>
      <c r="K243" s="248">
        <f t="shared" ca="1" si="31"/>
        <v>0</v>
      </c>
      <c r="L243" s="238" t="s">
        <v>626</v>
      </c>
      <c r="M243" s="212" t="s">
        <v>448</v>
      </c>
      <c r="N243" s="212" t="s">
        <v>470</v>
      </c>
      <c r="O243" s="213">
        <v>41419</v>
      </c>
      <c r="P243" s="212" t="s">
        <v>531</v>
      </c>
      <c r="Q243" s="214">
        <v>100</v>
      </c>
      <c r="R243" s="212" t="s">
        <v>445</v>
      </c>
      <c r="S243" s="212" t="s">
        <v>532</v>
      </c>
      <c r="T243" s="212" t="s">
        <v>445</v>
      </c>
      <c r="U243" s="212" t="s">
        <v>446</v>
      </c>
      <c r="V243" s="214" t="b">
        <v>1</v>
      </c>
      <c r="W243" s="214">
        <v>1989</v>
      </c>
      <c r="X243" s="214">
        <v>5</v>
      </c>
      <c r="Y243" s="214">
        <v>2</v>
      </c>
      <c r="Z243" s="214">
        <v>4</v>
      </c>
      <c r="AA243" s="212" t="s">
        <v>447</v>
      </c>
      <c r="AB243" s="212" t="s">
        <v>531</v>
      </c>
      <c r="AC243" s="212" t="s">
        <v>533</v>
      </c>
      <c r="AD243" s="214">
        <v>1.0515829999999999</v>
      </c>
      <c r="AE243" s="214">
        <v>550</v>
      </c>
      <c r="AF243" s="214">
        <v>0.1434</v>
      </c>
      <c r="AG243" s="214">
        <v>-99</v>
      </c>
      <c r="AH243" s="212" t="s">
        <v>224</v>
      </c>
      <c r="AI243" s="212" t="s">
        <v>449</v>
      </c>
      <c r="AJ243" s="212" t="s">
        <v>348</v>
      </c>
      <c r="AK243" s="212" t="s">
        <v>531</v>
      </c>
      <c r="AL243" s="212" t="s">
        <v>396</v>
      </c>
      <c r="AM243" s="214" t="b">
        <v>1</v>
      </c>
      <c r="AN243" s="214" t="b">
        <v>0</v>
      </c>
      <c r="AO243" s="212" t="s">
        <v>349</v>
      </c>
      <c r="AP243" s="212" t="s">
        <v>350</v>
      </c>
      <c r="AQ243" s="214">
        <v>98.186059999999998</v>
      </c>
      <c r="AR243" s="214" t="b">
        <v>0</v>
      </c>
      <c r="AS243" s="212" t="s">
        <v>534</v>
      </c>
      <c r="AU243" s="222" t="s">
        <v>819</v>
      </c>
    </row>
    <row r="244" spans="1:47" s="263" customFormat="1" x14ac:dyDescent="0.25">
      <c r="A244" s="245">
        <f t="shared" si="32"/>
        <v>339</v>
      </c>
      <c r="B244" s="246" t="str">
        <f t="shared" si="25"/>
        <v>Oil Field - Well</v>
      </c>
      <c r="C244" s="246" t="str">
        <f ca="1">IF(B244="","",VLOOKUP(D244,'Species Data'!B:E,4,FALSE))</f>
        <v>methane</v>
      </c>
      <c r="D244" s="246">
        <f t="shared" ca="1" si="26"/>
        <v>529</v>
      </c>
      <c r="E244" s="246">
        <f t="shared" ca="1" si="27"/>
        <v>45.733400000000003</v>
      </c>
      <c r="F244" s="246" t="str">
        <f t="shared" ca="1" si="28"/>
        <v>Methane</v>
      </c>
      <c r="G244" s="246">
        <f t="shared" ca="1" si="29"/>
        <v>16.042459999999998</v>
      </c>
      <c r="H244" s="204">
        <f ca="1">IF(G244="","",IF(VLOOKUP(Well_Head!F244,'Species Data'!D:F,3,FALSE)=0,"X",IF(G244&lt;44.1,2,1)))</f>
        <v>2</v>
      </c>
      <c r="I244" s="204">
        <f t="shared" ca="1" si="30"/>
        <v>36.272299888366533</v>
      </c>
      <c r="J244" s="247">
        <f ca="1">IF(I244="","",IF(COUNTIF($D$12:D244,D244)=1,IF(H244=1,I244*H244,IF(H244="X","X",0)),0))</f>
        <v>0</v>
      </c>
      <c r="K244" s="248">
        <f t="shared" ca="1" si="31"/>
        <v>0</v>
      </c>
      <c r="L244" s="238" t="s">
        <v>626</v>
      </c>
      <c r="M244" s="212" t="s">
        <v>448</v>
      </c>
      <c r="N244" s="212" t="s">
        <v>470</v>
      </c>
      <c r="O244" s="213">
        <v>41419</v>
      </c>
      <c r="P244" s="212" t="s">
        <v>531</v>
      </c>
      <c r="Q244" s="214">
        <v>100</v>
      </c>
      <c r="R244" s="212" t="s">
        <v>445</v>
      </c>
      <c r="S244" s="212" t="s">
        <v>532</v>
      </c>
      <c r="T244" s="212" t="s">
        <v>445</v>
      </c>
      <c r="U244" s="212" t="s">
        <v>446</v>
      </c>
      <c r="V244" s="214" t="b">
        <v>1</v>
      </c>
      <c r="W244" s="214">
        <v>1989</v>
      </c>
      <c r="X244" s="214">
        <v>5</v>
      </c>
      <c r="Y244" s="214">
        <v>2</v>
      </c>
      <c r="Z244" s="214">
        <v>4</v>
      </c>
      <c r="AA244" s="212" t="s">
        <v>447</v>
      </c>
      <c r="AB244" s="212" t="s">
        <v>531</v>
      </c>
      <c r="AC244" s="212" t="s">
        <v>533</v>
      </c>
      <c r="AD244" s="214">
        <v>1.0515829999999999</v>
      </c>
      <c r="AE244" s="214">
        <v>551</v>
      </c>
      <c r="AF244" s="214">
        <v>0.30649999999999999</v>
      </c>
      <c r="AG244" s="214">
        <v>-99</v>
      </c>
      <c r="AH244" s="212" t="s">
        <v>224</v>
      </c>
      <c r="AI244" s="212" t="s">
        <v>449</v>
      </c>
      <c r="AJ244" s="212" t="s">
        <v>351</v>
      </c>
      <c r="AK244" s="212" t="s">
        <v>531</v>
      </c>
      <c r="AL244" s="212" t="s">
        <v>397</v>
      </c>
      <c r="AM244" s="214" t="b">
        <v>1</v>
      </c>
      <c r="AN244" s="214" t="b">
        <v>0</v>
      </c>
      <c r="AO244" s="212" t="s">
        <v>352</v>
      </c>
      <c r="AP244" s="212" t="s">
        <v>353</v>
      </c>
      <c r="AQ244" s="214">
        <v>84.159480000000002</v>
      </c>
      <c r="AR244" s="214" t="b">
        <v>0</v>
      </c>
      <c r="AS244" s="212" t="s">
        <v>534</v>
      </c>
      <c r="AU244" s="222" t="s">
        <v>819</v>
      </c>
    </row>
    <row r="245" spans="1:47" s="262" customFormat="1" x14ac:dyDescent="0.25">
      <c r="A245" s="245">
        <f t="shared" si="32"/>
        <v>340</v>
      </c>
      <c r="B245" s="246" t="str">
        <f t="shared" si="25"/>
        <v>Oil Field - Well</v>
      </c>
      <c r="C245" s="246" t="str">
        <f ca="1">IF(B245="","",VLOOKUP(D245,'Species Data'!B:E,4,FALSE))</f>
        <v>methcychex</v>
      </c>
      <c r="D245" s="246">
        <f t="shared" ca="1" si="26"/>
        <v>550</v>
      </c>
      <c r="E245" s="246">
        <f t="shared" ca="1" si="27"/>
        <v>8.4000000000000005E-2</v>
      </c>
      <c r="F245" s="246" t="str">
        <f t="shared" ca="1" si="28"/>
        <v>Methylcyclohexane</v>
      </c>
      <c r="G245" s="246">
        <f t="shared" ca="1" si="29"/>
        <v>98.186059999999998</v>
      </c>
      <c r="H245" s="204">
        <f ca="1">IF(G245="","",IF(VLOOKUP(Well_Head!F245,'Species Data'!D:F,3,FALSE)=0,"X",IF(G245&lt;44.1,2,1)))</f>
        <v>1</v>
      </c>
      <c r="I245" s="204">
        <f t="shared" ca="1" si="30"/>
        <v>0.46704501527724096</v>
      </c>
      <c r="J245" s="247">
        <f ca="1">IF(I245="","",IF(COUNTIF($D$12:D245,D245)=1,IF(H245=1,I245*H245,IF(H245="X","X",0)),0))</f>
        <v>0</v>
      </c>
      <c r="K245" s="248">
        <f t="shared" ca="1" si="31"/>
        <v>0</v>
      </c>
      <c r="L245" s="238" t="s">
        <v>626</v>
      </c>
      <c r="M245" s="212" t="s">
        <v>448</v>
      </c>
      <c r="N245" s="212" t="s">
        <v>470</v>
      </c>
      <c r="O245" s="213">
        <v>41419</v>
      </c>
      <c r="P245" s="212" t="s">
        <v>531</v>
      </c>
      <c r="Q245" s="214">
        <v>100</v>
      </c>
      <c r="R245" s="212" t="s">
        <v>445</v>
      </c>
      <c r="S245" s="212" t="s">
        <v>532</v>
      </c>
      <c r="T245" s="212" t="s">
        <v>445</v>
      </c>
      <c r="U245" s="212" t="s">
        <v>446</v>
      </c>
      <c r="V245" s="214" t="b">
        <v>1</v>
      </c>
      <c r="W245" s="214">
        <v>1989</v>
      </c>
      <c r="X245" s="214">
        <v>5</v>
      </c>
      <c r="Y245" s="214">
        <v>2</v>
      </c>
      <c r="Z245" s="214">
        <v>4</v>
      </c>
      <c r="AA245" s="212" t="s">
        <v>447</v>
      </c>
      <c r="AB245" s="212" t="s">
        <v>531</v>
      </c>
      <c r="AC245" s="212" t="s">
        <v>533</v>
      </c>
      <c r="AD245" s="214">
        <v>1.0515829999999999</v>
      </c>
      <c r="AE245" s="214">
        <v>592</v>
      </c>
      <c r="AF245" s="214">
        <v>0.21390000000000001</v>
      </c>
      <c r="AG245" s="214">
        <v>-99</v>
      </c>
      <c r="AH245" s="212" t="s">
        <v>224</v>
      </c>
      <c r="AI245" s="212" t="s">
        <v>449</v>
      </c>
      <c r="AJ245" s="212" t="s">
        <v>273</v>
      </c>
      <c r="AK245" s="212" t="s">
        <v>531</v>
      </c>
      <c r="AL245" s="212" t="s">
        <v>377</v>
      </c>
      <c r="AM245" s="214" t="b">
        <v>1</v>
      </c>
      <c r="AN245" s="214" t="b">
        <v>0</v>
      </c>
      <c r="AO245" s="212" t="s">
        <v>274</v>
      </c>
      <c r="AP245" s="212" t="s">
        <v>275</v>
      </c>
      <c r="AQ245" s="214">
        <v>58.122199999999992</v>
      </c>
      <c r="AR245" s="214" t="b">
        <v>0</v>
      </c>
      <c r="AS245" s="212" t="s">
        <v>534</v>
      </c>
      <c r="AU245" s="222" t="s">
        <v>819</v>
      </c>
    </row>
    <row r="246" spans="1:47" s="262" customFormat="1" x14ac:dyDescent="0.25">
      <c r="A246" s="245">
        <f t="shared" si="32"/>
        <v>341</v>
      </c>
      <c r="B246" s="246" t="str">
        <f t="shared" si="25"/>
        <v>Oil Field - Well</v>
      </c>
      <c r="C246" s="246" t="str">
        <f ca="1">IF(B246="","",VLOOKUP(D246,'Species Data'!B:E,4,FALSE))</f>
        <v>methcycpen</v>
      </c>
      <c r="D246" s="246">
        <f t="shared" ca="1" si="26"/>
        <v>551</v>
      </c>
      <c r="E246" s="246">
        <f t="shared" ca="1" si="27"/>
        <v>1.37E-2</v>
      </c>
      <c r="F246" s="246" t="str">
        <f t="shared" ca="1" si="28"/>
        <v>Methylcyclopentane</v>
      </c>
      <c r="G246" s="246">
        <f t="shared" ca="1" si="29"/>
        <v>84.159480000000002</v>
      </c>
      <c r="H246" s="204">
        <f ca="1">IF(G246="","",IF(VLOOKUP(Well_Head!F246,'Species Data'!D:F,3,FALSE)=0,"X",IF(G246&lt;44.1,2,1)))</f>
        <v>1</v>
      </c>
      <c r="I246" s="204">
        <f t="shared" ca="1" si="30"/>
        <v>0.80952321163948093</v>
      </c>
      <c r="J246" s="247">
        <f ca="1">IF(I246="","",IF(COUNTIF($D$12:D246,D246)=1,IF(H246=1,I246*H246,IF(H246="X","X",0)),0))</f>
        <v>0</v>
      </c>
      <c r="K246" s="248">
        <f t="shared" ca="1" si="31"/>
        <v>0</v>
      </c>
      <c r="L246" s="238" t="s">
        <v>626</v>
      </c>
      <c r="M246" s="212" t="s">
        <v>448</v>
      </c>
      <c r="N246" s="212" t="s">
        <v>470</v>
      </c>
      <c r="O246" s="213">
        <v>41419</v>
      </c>
      <c r="P246" s="212" t="s">
        <v>531</v>
      </c>
      <c r="Q246" s="214">
        <v>100</v>
      </c>
      <c r="R246" s="212" t="s">
        <v>445</v>
      </c>
      <c r="S246" s="212" t="s">
        <v>532</v>
      </c>
      <c r="T246" s="212" t="s">
        <v>445</v>
      </c>
      <c r="U246" s="212" t="s">
        <v>446</v>
      </c>
      <c r="V246" s="214" t="b">
        <v>1</v>
      </c>
      <c r="W246" s="214">
        <v>1989</v>
      </c>
      <c r="X246" s="214">
        <v>5</v>
      </c>
      <c r="Y246" s="214">
        <v>2</v>
      </c>
      <c r="Z246" s="214">
        <v>4</v>
      </c>
      <c r="AA246" s="212" t="s">
        <v>447</v>
      </c>
      <c r="AB246" s="212" t="s">
        <v>531</v>
      </c>
      <c r="AC246" s="212" t="s">
        <v>533</v>
      </c>
      <c r="AD246" s="214">
        <v>1.0515829999999999</v>
      </c>
      <c r="AE246" s="214">
        <v>598</v>
      </c>
      <c r="AF246" s="214">
        <v>0.38240000000000002</v>
      </c>
      <c r="AG246" s="214">
        <v>-99</v>
      </c>
      <c r="AH246" s="212" t="s">
        <v>224</v>
      </c>
      <c r="AI246" s="212" t="s">
        <v>449</v>
      </c>
      <c r="AJ246" s="212" t="s">
        <v>414</v>
      </c>
      <c r="AK246" s="212" t="s">
        <v>531</v>
      </c>
      <c r="AL246" s="212" t="s">
        <v>452</v>
      </c>
      <c r="AM246" s="214" t="b">
        <v>1</v>
      </c>
      <c r="AN246" s="214" t="b">
        <v>0</v>
      </c>
      <c r="AO246" s="212" t="s">
        <v>415</v>
      </c>
      <c r="AP246" s="212" t="s">
        <v>416</v>
      </c>
      <c r="AQ246" s="214">
        <v>142.28167999999999</v>
      </c>
      <c r="AR246" s="214" t="b">
        <v>0</v>
      </c>
      <c r="AS246" s="212" t="s">
        <v>534</v>
      </c>
      <c r="AU246" s="222" t="s">
        <v>819</v>
      </c>
    </row>
    <row r="247" spans="1:47" s="262" customFormat="1" x14ac:dyDescent="0.25">
      <c r="A247" s="245">
        <f t="shared" si="32"/>
        <v>342</v>
      </c>
      <c r="B247" s="246" t="str">
        <f t="shared" si="25"/>
        <v>Oil Field - Well</v>
      </c>
      <c r="C247" s="246" t="str">
        <f ca="1">IF(B247="","",VLOOKUP(D247,'Species Data'!B:E,4,FALSE))</f>
        <v>N_but</v>
      </c>
      <c r="D247" s="246">
        <f t="shared" ca="1" si="26"/>
        <v>592</v>
      </c>
      <c r="E247" s="246">
        <f t="shared" ca="1" si="27"/>
        <v>9.7693999999999992</v>
      </c>
      <c r="F247" s="246" t="str">
        <f t="shared" ca="1" si="28"/>
        <v>N-butane</v>
      </c>
      <c r="G247" s="246">
        <f t="shared" ca="1" si="29"/>
        <v>58.122199999999992</v>
      </c>
      <c r="H247" s="204">
        <f ca="1">IF(G247="","",IF(VLOOKUP(Well_Head!F247,'Species Data'!D:F,3,FALSE)=0,"X",IF(G247&lt;44.1,2,1)))</f>
        <v>1</v>
      </c>
      <c r="I247" s="204">
        <f t="shared" ca="1" si="30"/>
        <v>6.782997179218774</v>
      </c>
      <c r="J247" s="247">
        <f ca="1">IF(I247="","",IF(COUNTIF($D$12:D247,D247)=1,IF(H247=1,I247*H247,IF(H247="X","X",0)),0))</f>
        <v>0</v>
      </c>
      <c r="K247" s="248">
        <f t="shared" ca="1" si="31"/>
        <v>0</v>
      </c>
      <c r="L247" s="238" t="s">
        <v>626</v>
      </c>
      <c r="M247" s="212" t="s">
        <v>448</v>
      </c>
      <c r="N247" s="212" t="s">
        <v>470</v>
      </c>
      <c r="O247" s="213">
        <v>41419</v>
      </c>
      <c r="P247" s="212" t="s">
        <v>531</v>
      </c>
      <c r="Q247" s="214">
        <v>100</v>
      </c>
      <c r="R247" s="212" t="s">
        <v>445</v>
      </c>
      <c r="S247" s="212" t="s">
        <v>532</v>
      </c>
      <c r="T247" s="212" t="s">
        <v>445</v>
      </c>
      <c r="U247" s="212" t="s">
        <v>446</v>
      </c>
      <c r="V247" s="214" t="b">
        <v>1</v>
      </c>
      <c r="W247" s="214">
        <v>1989</v>
      </c>
      <c r="X247" s="214">
        <v>5</v>
      </c>
      <c r="Y247" s="214">
        <v>2</v>
      </c>
      <c r="Z247" s="214">
        <v>4</v>
      </c>
      <c r="AA247" s="212" t="s">
        <v>447</v>
      </c>
      <c r="AB247" s="212" t="s">
        <v>531</v>
      </c>
      <c r="AC247" s="212" t="s">
        <v>533</v>
      </c>
      <c r="AD247" s="214">
        <v>1.0515829999999999</v>
      </c>
      <c r="AE247" s="214">
        <v>601</v>
      </c>
      <c r="AF247" s="214">
        <v>3.6999999999999998E-2</v>
      </c>
      <c r="AG247" s="214">
        <v>-99</v>
      </c>
      <c r="AH247" s="212" t="s">
        <v>224</v>
      </c>
      <c r="AI247" s="212" t="s">
        <v>449</v>
      </c>
      <c r="AJ247" s="212" t="s">
        <v>279</v>
      </c>
      <c r="AK247" s="212" t="s">
        <v>531</v>
      </c>
      <c r="AL247" s="212" t="s">
        <v>379</v>
      </c>
      <c r="AM247" s="214" t="b">
        <v>1</v>
      </c>
      <c r="AN247" s="214" t="b">
        <v>1</v>
      </c>
      <c r="AO247" s="212" t="s">
        <v>280</v>
      </c>
      <c r="AP247" s="212" t="s">
        <v>281</v>
      </c>
      <c r="AQ247" s="214">
        <v>86.175359999999998</v>
      </c>
      <c r="AR247" s="214" t="b">
        <v>0</v>
      </c>
      <c r="AS247" s="212" t="s">
        <v>534</v>
      </c>
      <c r="AU247" s="222" t="s">
        <v>819</v>
      </c>
    </row>
    <row r="248" spans="1:47" s="262" customFormat="1" x14ac:dyDescent="0.25">
      <c r="A248" s="245">
        <f t="shared" si="32"/>
        <v>343</v>
      </c>
      <c r="B248" s="246" t="str">
        <f t="shared" si="25"/>
        <v>Oil Field - Well</v>
      </c>
      <c r="C248" s="246" t="str">
        <f ca="1">IF(B248="","",VLOOKUP(D248,'Species Data'!B:E,4,FALSE))</f>
        <v>N_dec</v>
      </c>
      <c r="D248" s="246">
        <f t="shared" ca="1" si="26"/>
        <v>598</v>
      </c>
      <c r="E248" s="246">
        <f t="shared" ca="1" si="27"/>
        <v>1.12E-2</v>
      </c>
      <c r="F248" s="246" t="str">
        <f t="shared" ca="1" si="28"/>
        <v>N-decane</v>
      </c>
      <c r="G248" s="246">
        <f t="shared" ca="1" si="29"/>
        <v>142.28167999999999</v>
      </c>
      <c r="H248" s="204">
        <f ca="1">IF(G248="","",IF(VLOOKUP(Well_Head!F248,'Species Data'!D:F,3,FALSE)=0,"X",IF(G248&lt;44.1,2,1)))</f>
        <v>1</v>
      </c>
      <c r="I248" s="204">
        <f t="shared" ca="1" si="30"/>
        <v>7.7733428340856864E-2</v>
      </c>
      <c r="J248" s="247">
        <f ca="1">IF(I248="","",IF(COUNTIF($D$12:D248,D248)=1,IF(H248=1,I248*H248,IF(H248="X","X",0)),0))</f>
        <v>0</v>
      </c>
      <c r="K248" s="248">
        <f t="shared" ca="1" si="31"/>
        <v>0</v>
      </c>
      <c r="L248" s="238" t="s">
        <v>626</v>
      </c>
      <c r="M248" s="212" t="s">
        <v>448</v>
      </c>
      <c r="N248" s="212" t="s">
        <v>470</v>
      </c>
      <c r="O248" s="213">
        <v>41419</v>
      </c>
      <c r="P248" s="212" t="s">
        <v>531</v>
      </c>
      <c r="Q248" s="214">
        <v>100</v>
      </c>
      <c r="R248" s="212" t="s">
        <v>445</v>
      </c>
      <c r="S248" s="212" t="s">
        <v>532</v>
      </c>
      <c r="T248" s="212" t="s">
        <v>445</v>
      </c>
      <c r="U248" s="212" t="s">
        <v>446</v>
      </c>
      <c r="V248" s="214" t="b">
        <v>1</v>
      </c>
      <c r="W248" s="214">
        <v>1989</v>
      </c>
      <c r="X248" s="214">
        <v>5</v>
      </c>
      <c r="Y248" s="214">
        <v>2</v>
      </c>
      <c r="Z248" s="214">
        <v>4</v>
      </c>
      <c r="AA248" s="212" t="s">
        <v>447</v>
      </c>
      <c r="AB248" s="212" t="s">
        <v>531</v>
      </c>
      <c r="AC248" s="212" t="s">
        <v>533</v>
      </c>
      <c r="AD248" s="214">
        <v>1.0515829999999999</v>
      </c>
      <c r="AE248" s="214">
        <v>603</v>
      </c>
      <c r="AF248" s="214">
        <v>0.74329999999999996</v>
      </c>
      <c r="AG248" s="214">
        <v>-99</v>
      </c>
      <c r="AH248" s="212" t="s">
        <v>224</v>
      </c>
      <c r="AI248" s="212" t="s">
        <v>449</v>
      </c>
      <c r="AJ248" s="212" t="s">
        <v>417</v>
      </c>
      <c r="AK248" s="212" t="s">
        <v>531</v>
      </c>
      <c r="AL248" s="212" t="s">
        <v>453</v>
      </c>
      <c r="AM248" s="214" t="b">
        <v>1</v>
      </c>
      <c r="AN248" s="214" t="b">
        <v>0</v>
      </c>
      <c r="AO248" s="212" t="s">
        <v>418</v>
      </c>
      <c r="AP248" s="212" t="s">
        <v>419</v>
      </c>
      <c r="AQ248" s="214">
        <v>128.2551</v>
      </c>
      <c r="AR248" s="214" t="b">
        <v>0</v>
      </c>
      <c r="AS248" s="212" t="s">
        <v>534</v>
      </c>
      <c r="AU248" s="222" t="s">
        <v>819</v>
      </c>
    </row>
    <row r="249" spans="1:47" s="262" customFormat="1" x14ac:dyDescent="0.25">
      <c r="A249" s="245">
        <f t="shared" si="32"/>
        <v>344</v>
      </c>
      <c r="B249" s="246" t="str">
        <f t="shared" si="25"/>
        <v>Oil Field - Well</v>
      </c>
      <c r="C249" s="246" t="str">
        <f ca="1">IF(B249="","",VLOOKUP(D249,'Species Data'!B:E,4,FALSE))</f>
        <v>N_hep</v>
      </c>
      <c r="D249" s="246">
        <f t="shared" ca="1" si="26"/>
        <v>600</v>
      </c>
      <c r="E249" s="246">
        <f t="shared" ca="1" si="27"/>
        <v>0.3518</v>
      </c>
      <c r="F249" s="246" t="str">
        <f t="shared" ca="1" si="28"/>
        <v>N-heptane</v>
      </c>
      <c r="G249" s="246">
        <f t="shared" ca="1" si="29"/>
        <v>100.20194000000001</v>
      </c>
      <c r="H249" s="204">
        <f ca="1">IF(G249="","",IF(VLOOKUP(Well_Head!F249,'Species Data'!D:F,3,FALSE)=0,"X",IF(G249&lt;44.1,2,1)))</f>
        <v>1</v>
      </c>
      <c r="I249" s="204">
        <f t="shared" ca="1" si="30"/>
        <v>0.42536718655989475</v>
      </c>
      <c r="J249" s="247">
        <f ca="1">IF(I249="","",IF(COUNTIF($D$12:D249,D249)=1,IF(H249=1,I249*H249,IF(H249="X","X",0)),0))</f>
        <v>0</v>
      </c>
      <c r="K249" s="248">
        <f t="shared" ca="1" si="31"/>
        <v>0</v>
      </c>
      <c r="L249" s="238" t="s">
        <v>626</v>
      </c>
      <c r="M249" s="212" t="s">
        <v>448</v>
      </c>
      <c r="N249" s="212" t="s">
        <v>470</v>
      </c>
      <c r="O249" s="213">
        <v>41419</v>
      </c>
      <c r="P249" s="212" t="s">
        <v>531</v>
      </c>
      <c r="Q249" s="214">
        <v>100</v>
      </c>
      <c r="R249" s="212" t="s">
        <v>445</v>
      </c>
      <c r="S249" s="212" t="s">
        <v>532</v>
      </c>
      <c r="T249" s="212" t="s">
        <v>445</v>
      </c>
      <c r="U249" s="212" t="s">
        <v>446</v>
      </c>
      <c r="V249" s="214" t="b">
        <v>1</v>
      </c>
      <c r="W249" s="214">
        <v>1989</v>
      </c>
      <c r="X249" s="214">
        <v>5</v>
      </c>
      <c r="Y249" s="214">
        <v>2</v>
      </c>
      <c r="Z249" s="214">
        <v>4</v>
      </c>
      <c r="AA249" s="212" t="s">
        <v>447</v>
      </c>
      <c r="AB249" s="212" t="s">
        <v>531</v>
      </c>
      <c r="AC249" s="212" t="s">
        <v>533</v>
      </c>
      <c r="AD249" s="214">
        <v>1.0515829999999999</v>
      </c>
      <c r="AE249" s="214">
        <v>604</v>
      </c>
      <c r="AF249" s="214">
        <v>1.2543</v>
      </c>
      <c r="AG249" s="214">
        <v>-99</v>
      </c>
      <c r="AH249" s="212" t="s">
        <v>224</v>
      </c>
      <c r="AI249" s="212" t="s">
        <v>449</v>
      </c>
      <c r="AJ249" s="212" t="s">
        <v>282</v>
      </c>
      <c r="AK249" s="212" t="s">
        <v>531</v>
      </c>
      <c r="AL249" s="212" t="s">
        <v>380</v>
      </c>
      <c r="AM249" s="214" t="b">
        <v>1</v>
      </c>
      <c r="AN249" s="214" t="b">
        <v>0</v>
      </c>
      <c r="AO249" s="212" t="s">
        <v>283</v>
      </c>
      <c r="AP249" s="212" t="s">
        <v>284</v>
      </c>
      <c r="AQ249" s="214">
        <v>114.22852</v>
      </c>
      <c r="AR249" s="214" t="b">
        <v>0</v>
      </c>
      <c r="AS249" s="212" t="s">
        <v>534</v>
      </c>
      <c r="AU249" s="222" t="s">
        <v>819</v>
      </c>
    </row>
    <row r="250" spans="1:47" s="262" customFormat="1" x14ac:dyDescent="0.25">
      <c r="A250" s="245">
        <f t="shared" si="32"/>
        <v>345</v>
      </c>
      <c r="B250" s="246" t="str">
        <f t="shared" si="25"/>
        <v>Oil Field - Well</v>
      </c>
      <c r="C250" s="246" t="str">
        <f ca="1">IF(B250="","",VLOOKUP(D250,'Species Data'!B:E,4,FALSE))</f>
        <v>N_hex</v>
      </c>
      <c r="D250" s="246">
        <f t="shared" ca="1" si="26"/>
        <v>601</v>
      </c>
      <c r="E250" s="246">
        <f t="shared" ca="1" si="27"/>
        <v>1.1753</v>
      </c>
      <c r="F250" s="246" t="str">
        <f t="shared" ca="1" si="28"/>
        <v>N-hexane</v>
      </c>
      <c r="G250" s="246">
        <f t="shared" ca="1" si="29"/>
        <v>86.175359999999998</v>
      </c>
      <c r="H250" s="204">
        <f ca="1">IF(G250="","",IF(VLOOKUP(Well_Head!F250,'Species Data'!D:F,3,FALSE)=0,"X",IF(G250&lt;44.1,2,1)))</f>
        <v>1</v>
      </c>
      <c r="I250" s="204">
        <f t="shared" ca="1" si="30"/>
        <v>0.89334553631121094</v>
      </c>
      <c r="J250" s="247">
        <f ca="1">IF(I250="","",IF(COUNTIF($D$12:D250,D250)=1,IF(H250=1,I250*H250,IF(H250="X","X",0)),0))</f>
        <v>0</v>
      </c>
      <c r="K250" s="248">
        <f t="shared" ca="1" si="31"/>
        <v>0</v>
      </c>
      <c r="L250" s="238" t="s">
        <v>626</v>
      </c>
      <c r="M250" s="212" t="s">
        <v>448</v>
      </c>
      <c r="N250" s="212" t="s">
        <v>470</v>
      </c>
      <c r="O250" s="213">
        <v>41419</v>
      </c>
      <c r="P250" s="212" t="s">
        <v>531</v>
      </c>
      <c r="Q250" s="214">
        <v>100</v>
      </c>
      <c r="R250" s="212" t="s">
        <v>445</v>
      </c>
      <c r="S250" s="212" t="s">
        <v>532</v>
      </c>
      <c r="T250" s="212" t="s">
        <v>445</v>
      </c>
      <c r="U250" s="212" t="s">
        <v>446</v>
      </c>
      <c r="V250" s="214" t="b">
        <v>1</v>
      </c>
      <c r="W250" s="214">
        <v>1989</v>
      </c>
      <c r="X250" s="214">
        <v>5</v>
      </c>
      <c r="Y250" s="214">
        <v>2</v>
      </c>
      <c r="Z250" s="214">
        <v>4</v>
      </c>
      <c r="AA250" s="212" t="s">
        <v>447</v>
      </c>
      <c r="AB250" s="212" t="s">
        <v>531</v>
      </c>
      <c r="AC250" s="212" t="s">
        <v>533</v>
      </c>
      <c r="AD250" s="214">
        <v>1.0515829999999999</v>
      </c>
      <c r="AE250" s="214">
        <v>605</v>
      </c>
      <c r="AF250" s="214">
        <v>6.9599999999999995E-2</v>
      </c>
      <c r="AG250" s="214">
        <v>-99</v>
      </c>
      <c r="AH250" s="212" t="s">
        <v>224</v>
      </c>
      <c r="AI250" s="212" t="s">
        <v>449</v>
      </c>
      <c r="AJ250" s="212" t="s">
        <v>285</v>
      </c>
      <c r="AK250" s="212" t="s">
        <v>531</v>
      </c>
      <c r="AL250" s="212" t="s">
        <v>381</v>
      </c>
      <c r="AM250" s="214" t="b">
        <v>1</v>
      </c>
      <c r="AN250" s="214" t="b">
        <v>0</v>
      </c>
      <c r="AO250" s="212" t="s">
        <v>286</v>
      </c>
      <c r="AP250" s="212" t="s">
        <v>287</v>
      </c>
      <c r="AQ250" s="214">
        <v>72.148780000000002</v>
      </c>
      <c r="AR250" s="214" t="b">
        <v>0</v>
      </c>
      <c r="AS250" s="212" t="s">
        <v>534</v>
      </c>
      <c r="AU250" s="222" t="s">
        <v>819</v>
      </c>
    </row>
    <row r="251" spans="1:47" s="262" customFormat="1" x14ac:dyDescent="0.25">
      <c r="A251" s="245">
        <f t="shared" si="32"/>
        <v>346</v>
      </c>
      <c r="B251" s="246" t="str">
        <f t="shared" si="25"/>
        <v>Oil Field - Well</v>
      </c>
      <c r="C251" s="246" t="str">
        <f ca="1">IF(B251="","",VLOOKUP(D251,'Species Data'!B:E,4,FALSE))</f>
        <v>N_nonane</v>
      </c>
      <c r="D251" s="246">
        <f t="shared" ca="1" si="26"/>
        <v>603</v>
      </c>
      <c r="E251" s="246">
        <f t="shared" ca="1" si="27"/>
        <v>3.6999999999999998E-2</v>
      </c>
      <c r="F251" s="246" t="str">
        <f t="shared" ca="1" si="28"/>
        <v>N-nonane</v>
      </c>
      <c r="G251" s="246">
        <f t="shared" ca="1" si="29"/>
        <v>128.2551</v>
      </c>
      <c r="H251" s="204">
        <f ca="1">IF(G251="","",IF(VLOOKUP(Well_Head!F251,'Species Data'!D:F,3,FALSE)=0,"X",IF(G251&lt;44.1,2,1)))</f>
        <v>1</v>
      </c>
      <c r="I251" s="204">
        <f t="shared" ca="1" si="30"/>
        <v>0.35487821151781407</v>
      </c>
      <c r="J251" s="247">
        <f ca="1">IF(I251="","",IF(COUNTIF($D$12:D251,D251)=1,IF(H251=1,I251*H251,IF(H251="X","X",0)),0))</f>
        <v>0</v>
      </c>
      <c r="K251" s="248">
        <f t="shared" ca="1" si="31"/>
        <v>0</v>
      </c>
      <c r="L251" s="238" t="s">
        <v>626</v>
      </c>
      <c r="M251" s="212" t="s">
        <v>448</v>
      </c>
      <c r="N251" s="212" t="s">
        <v>470</v>
      </c>
      <c r="O251" s="213">
        <v>41419</v>
      </c>
      <c r="P251" s="212" t="s">
        <v>531</v>
      </c>
      <c r="Q251" s="214">
        <v>100</v>
      </c>
      <c r="R251" s="212" t="s">
        <v>445</v>
      </c>
      <c r="S251" s="212" t="s">
        <v>532</v>
      </c>
      <c r="T251" s="212" t="s">
        <v>445</v>
      </c>
      <c r="U251" s="212" t="s">
        <v>446</v>
      </c>
      <c r="V251" s="214" t="b">
        <v>1</v>
      </c>
      <c r="W251" s="214">
        <v>1989</v>
      </c>
      <c r="X251" s="214">
        <v>5</v>
      </c>
      <c r="Y251" s="214">
        <v>2</v>
      </c>
      <c r="Z251" s="214">
        <v>4</v>
      </c>
      <c r="AA251" s="212" t="s">
        <v>447</v>
      </c>
      <c r="AB251" s="212" t="s">
        <v>531</v>
      </c>
      <c r="AC251" s="212" t="s">
        <v>533</v>
      </c>
      <c r="AD251" s="214">
        <v>1.0515829999999999</v>
      </c>
      <c r="AE251" s="214">
        <v>608</v>
      </c>
      <c r="AF251" s="214">
        <v>0.51190000000000002</v>
      </c>
      <c r="AG251" s="214">
        <v>-99</v>
      </c>
      <c r="AH251" s="212" t="s">
        <v>224</v>
      </c>
      <c r="AI251" s="212" t="s">
        <v>449</v>
      </c>
      <c r="AJ251" s="212" t="s">
        <v>420</v>
      </c>
      <c r="AK251" s="212" t="s">
        <v>531</v>
      </c>
      <c r="AL251" s="212" t="s">
        <v>454</v>
      </c>
      <c r="AM251" s="214" t="b">
        <v>1</v>
      </c>
      <c r="AN251" s="214" t="b">
        <v>0</v>
      </c>
      <c r="AO251" s="212" t="s">
        <v>421</v>
      </c>
      <c r="AP251" s="212" t="s">
        <v>422</v>
      </c>
      <c r="AQ251" s="214">
        <v>120.19158</v>
      </c>
      <c r="AR251" s="214" t="b">
        <v>0</v>
      </c>
      <c r="AS251" s="212" t="s">
        <v>534</v>
      </c>
      <c r="AU251" s="222" t="s">
        <v>819</v>
      </c>
    </row>
    <row r="252" spans="1:47" s="262" customFormat="1" x14ac:dyDescent="0.25">
      <c r="A252" s="245">
        <f t="shared" si="32"/>
        <v>347</v>
      </c>
      <c r="B252" s="246" t="str">
        <f t="shared" si="25"/>
        <v>Oil Field - Well</v>
      </c>
      <c r="C252" s="246" t="str">
        <f ca="1">IF(B252="","",VLOOKUP(D252,'Species Data'!B:E,4,FALSE))</f>
        <v>N_octane</v>
      </c>
      <c r="D252" s="246">
        <f t="shared" ca="1" si="26"/>
        <v>604</v>
      </c>
      <c r="E252" s="246">
        <f t="shared" ca="1" si="27"/>
        <v>3.5099999999999999E-2</v>
      </c>
      <c r="F252" s="246" t="str">
        <f t="shared" ca="1" si="28"/>
        <v>N-octane</v>
      </c>
      <c r="G252" s="246">
        <f t="shared" ca="1" si="29"/>
        <v>114.22852</v>
      </c>
      <c r="H252" s="204">
        <f ca="1">IF(G252="","",IF(VLOOKUP(Well_Head!F252,'Species Data'!D:F,3,FALSE)=0,"X",IF(G252&lt;44.1,2,1)))</f>
        <v>1</v>
      </c>
      <c r="I252" s="204">
        <f t="shared" ca="1" si="30"/>
        <v>0.67063415299729812</v>
      </c>
      <c r="J252" s="247">
        <f ca="1">IF(I252="","",IF(COUNTIF($D$12:D252,D252)=1,IF(H252=1,I252*H252,IF(H252="X","X",0)),0))</f>
        <v>0</v>
      </c>
      <c r="K252" s="248">
        <f t="shared" ca="1" si="31"/>
        <v>0</v>
      </c>
      <c r="L252" s="238" t="s">
        <v>626</v>
      </c>
      <c r="M252" s="212" t="s">
        <v>448</v>
      </c>
      <c r="N252" s="212" t="s">
        <v>470</v>
      </c>
      <c r="O252" s="213">
        <v>41419</v>
      </c>
      <c r="P252" s="212" t="s">
        <v>531</v>
      </c>
      <c r="Q252" s="214">
        <v>100</v>
      </c>
      <c r="R252" s="212" t="s">
        <v>445</v>
      </c>
      <c r="S252" s="212" t="s">
        <v>532</v>
      </c>
      <c r="T252" s="212" t="s">
        <v>445</v>
      </c>
      <c r="U252" s="212" t="s">
        <v>446</v>
      </c>
      <c r="V252" s="214" t="b">
        <v>1</v>
      </c>
      <c r="W252" s="214">
        <v>1989</v>
      </c>
      <c r="X252" s="214">
        <v>5</v>
      </c>
      <c r="Y252" s="214">
        <v>2</v>
      </c>
      <c r="Z252" s="214">
        <v>4</v>
      </c>
      <c r="AA252" s="212" t="s">
        <v>447</v>
      </c>
      <c r="AB252" s="212" t="s">
        <v>531</v>
      </c>
      <c r="AC252" s="212" t="s">
        <v>533</v>
      </c>
      <c r="AD252" s="214">
        <v>1.0515829999999999</v>
      </c>
      <c r="AE252" s="214">
        <v>610</v>
      </c>
      <c r="AF252" s="214">
        <v>8.8999999999999999E-3</v>
      </c>
      <c r="AG252" s="214">
        <v>-99</v>
      </c>
      <c r="AH252" s="212" t="s">
        <v>224</v>
      </c>
      <c r="AI252" s="212" t="s">
        <v>449</v>
      </c>
      <c r="AJ252" s="212" t="s">
        <v>430</v>
      </c>
      <c r="AK252" s="212" t="s">
        <v>531</v>
      </c>
      <c r="AL252" s="212" t="s">
        <v>458</v>
      </c>
      <c r="AM252" s="214" t="b">
        <v>1</v>
      </c>
      <c r="AN252" s="214" t="b">
        <v>0</v>
      </c>
      <c r="AO252" s="212" t="s">
        <v>431</v>
      </c>
      <c r="AP252" s="212" t="s">
        <v>432</v>
      </c>
      <c r="AQ252" s="214">
        <v>156.30826000000002</v>
      </c>
      <c r="AR252" s="214" t="b">
        <v>0</v>
      </c>
      <c r="AS252" s="212" t="s">
        <v>534</v>
      </c>
      <c r="AU252" s="222" t="s">
        <v>819</v>
      </c>
    </row>
    <row r="253" spans="1:47" s="262" customFormat="1" x14ac:dyDescent="0.25">
      <c r="A253" s="245">
        <f t="shared" si="32"/>
        <v>348</v>
      </c>
      <c r="B253" s="246" t="str">
        <f t="shared" si="25"/>
        <v>Oil Field - Well</v>
      </c>
      <c r="C253" s="246" t="str">
        <f ca="1">IF(B253="","",VLOOKUP(D253,'Species Data'!B:E,4,FALSE))</f>
        <v>N_pentane</v>
      </c>
      <c r="D253" s="246">
        <f t="shared" ca="1" si="26"/>
        <v>605</v>
      </c>
      <c r="E253" s="246">
        <f t="shared" ca="1" si="27"/>
        <v>3.851</v>
      </c>
      <c r="F253" s="246" t="str">
        <f t="shared" ca="1" si="28"/>
        <v>N-pentane</v>
      </c>
      <c r="G253" s="246">
        <f t="shared" ca="1" si="29"/>
        <v>72.148780000000002</v>
      </c>
      <c r="H253" s="204">
        <f ca="1">IF(G253="","",IF(VLOOKUP(Well_Head!F253,'Species Data'!D:F,3,FALSE)=0,"X",IF(G253&lt;44.1,2,1)))</f>
        <v>1</v>
      </c>
      <c r="I253" s="204">
        <f t="shared" ca="1" si="30"/>
        <v>2.2200360467107241</v>
      </c>
      <c r="J253" s="247">
        <f ca="1">IF(I253="","",IF(COUNTIF($D$12:D253,D253)=1,IF(H253=1,I253*H253,IF(H253="X","X",0)),0))</f>
        <v>0</v>
      </c>
      <c r="K253" s="248">
        <f t="shared" ca="1" si="31"/>
        <v>0</v>
      </c>
      <c r="L253" s="238" t="s">
        <v>626</v>
      </c>
      <c r="M253" s="212" t="s">
        <v>448</v>
      </c>
      <c r="N253" s="212" t="s">
        <v>470</v>
      </c>
      <c r="O253" s="213">
        <v>41419</v>
      </c>
      <c r="P253" s="212" t="s">
        <v>531</v>
      </c>
      <c r="Q253" s="214">
        <v>100</v>
      </c>
      <c r="R253" s="212" t="s">
        <v>445</v>
      </c>
      <c r="S253" s="212" t="s">
        <v>532</v>
      </c>
      <c r="T253" s="212" t="s">
        <v>445</v>
      </c>
      <c r="U253" s="212" t="s">
        <v>446</v>
      </c>
      <c r="V253" s="214" t="b">
        <v>1</v>
      </c>
      <c r="W253" s="214">
        <v>1989</v>
      </c>
      <c r="X253" s="214">
        <v>5</v>
      </c>
      <c r="Y253" s="214">
        <v>2</v>
      </c>
      <c r="Z253" s="214">
        <v>4</v>
      </c>
      <c r="AA253" s="212" t="s">
        <v>447</v>
      </c>
      <c r="AB253" s="212" t="s">
        <v>531</v>
      </c>
      <c r="AC253" s="212" t="s">
        <v>533</v>
      </c>
      <c r="AD253" s="214">
        <v>1.0515829999999999</v>
      </c>
      <c r="AE253" s="214">
        <v>620</v>
      </c>
      <c r="AF253" s="214">
        <v>0.86409999999999998</v>
      </c>
      <c r="AG253" s="214">
        <v>-99</v>
      </c>
      <c r="AH253" s="212" t="s">
        <v>224</v>
      </c>
      <c r="AI253" s="212" t="s">
        <v>449</v>
      </c>
      <c r="AJ253" s="212" t="s">
        <v>354</v>
      </c>
      <c r="AK253" s="212" t="s">
        <v>531</v>
      </c>
      <c r="AL253" s="212" t="s">
        <v>398</v>
      </c>
      <c r="AM253" s="214" t="b">
        <v>1</v>
      </c>
      <c r="AN253" s="214" t="b">
        <v>1</v>
      </c>
      <c r="AO253" s="212" t="s">
        <v>355</v>
      </c>
      <c r="AP253" s="212" t="s">
        <v>356</v>
      </c>
      <c r="AQ253" s="214">
        <v>106.16500000000001</v>
      </c>
      <c r="AR253" s="214" t="b">
        <v>0</v>
      </c>
      <c r="AS253" s="212" t="s">
        <v>534</v>
      </c>
      <c r="AU253" s="222" t="s">
        <v>819</v>
      </c>
    </row>
    <row r="254" spans="1:47" s="262" customFormat="1" x14ac:dyDescent="0.25">
      <c r="A254" s="245">
        <f t="shared" si="32"/>
        <v>349</v>
      </c>
      <c r="B254" s="246" t="str">
        <f t="shared" si="25"/>
        <v>Oil Field - Well</v>
      </c>
      <c r="C254" s="246" t="str">
        <f ca="1">IF(B254="","",VLOOKUP(D254,'Species Data'!B:E,4,FALSE))</f>
        <v>N_proben</v>
      </c>
      <c r="D254" s="246">
        <f t="shared" ca="1" si="26"/>
        <v>608</v>
      </c>
      <c r="E254" s="246">
        <f t="shared" ca="1" si="27"/>
        <v>6.1000000000000004E-3</v>
      </c>
      <c r="F254" s="246" t="str">
        <f t="shared" ca="1" si="28"/>
        <v>N-propylbenzene</v>
      </c>
      <c r="G254" s="246">
        <f t="shared" ca="1" si="29"/>
        <v>120.19158</v>
      </c>
      <c r="H254" s="204">
        <f ca="1">IF(G254="","",IF(VLOOKUP(Well_Head!F254,'Species Data'!D:F,3,FALSE)=0,"X",IF(G254&lt;44.1,2,1)))</f>
        <v>1</v>
      </c>
      <c r="I254" s="204">
        <f t="shared" ca="1" si="30"/>
        <v>0.16350019983357761</v>
      </c>
      <c r="J254" s="247">
        <f ca="1">IF(I254="","",IF(COUNTIF($D$12:D254,D254)=1,IF(H254=1,I254*H254,IF(H254="X","X",0)),0))</f>
        <v>0</v>
      </c>
      <c r="K254" s="248">
        <f t="shared" ca="1" si="31"/>
        <v>0</v>
      </c>
      <c r="L254" s="238" t="s">
        <v>626</v>
      </c>
      <c r="M254" s="212" t="s">
        <v>448</v>
      </c>
      <c r="N254" s="212" t="s">
        <v>470</v>
      </c>
      <c r="O254" s="213">
        <v>41419</v>
      </c>
      <c r="P254" s="212" t="s">
        <v>531</v>
      </c>
      <c r="Q254" s="214">
        <v>100</v>
      </c>
      <c r="R254" s="212" t="s">
        <v>445</v>
      </c>
      <c r="S254" s="212" t="s">
        <v>532</v>
      </c>
      <c r="T254" s="212" t="s">
        <v>445</v>
      </c>
      <c r="U254" s="212" t="s">
        <v>446</v>
      </c>
      <c r="V254" s="214" t="b">
        <v>1</v>
      </c>
      <c r="W254" s="214">
        <v>1989</v>
      </c>
      <c r="X254" s="214">
        <v>5</v>
      </c>
      <c r="Y254" s="214">
        <v>2</v>
      </c>
      <c r="Z254" s="214">
        <v>4</v>
      </c>
      <c r="AA254" s="212" t="s">
        <v>447</v>
      </c>
      <c r="AB254" s="212" t="s">
        <v>531</v>
      </c>
      <c r="AC254" s="212" t="s">
        <v>533</v>
      </c>
      <c r="AD254" s="214">
        <v>1.0515829999999999</v>
      </c>
      <c r="AE254" s="214">
        <v>648</v>
      </c>
      <c r="AF254" s="214">
        <v>0.1605</v>
      </c>
      <c r="AG254" s="214">
        <v>-99</v>
      </c>
      <c r="AH254" s="212" t="s">
        <v>224</v>
      </c>
      <c r="AI254" s="212" t="s">
        <v>449</v>
      </c>
      <c r="AJ254" s="212" t="s">
        <v>433</v>
      </c>
      <c r="AK254" s="212" t="s">
        <v>531</v>
      </c>
      <c r="AL254" s="212" t="s">
        <v>459</v>
      </c>
      <c r="AM254" s="214" t="b">
        <v>0</v>
      </c>
      <c r="AN254" s="214" t="b">
        <v>1</v>
      </c>
      <c r="AO254" s="212" t="s">
        <v>434</v>
      </c>
      <c r="AP254" s="212" t="s">
        <v>435</v>
      </c>
      <c r="AQ254" s="214">
        <v>106.16500000000001</v>
      </c>
      <c r="AR254" s="214" t="b">
        <v>0</v>
      </c>
      <c r="AS254" s="212" t="s">
        <v>534</v>
      </c>
      <c r="AU254" s="222" t="s">
        <v>819</v>
      </c>
    </row>
    <row r="255" spans="1:47" s="262" customFormat="1" x14ac:dyDescent="0.25">
      <c r="A255" s="245">
        <f t="shared" si="32"/>
        <v>350</v>
      </c>
      <c r="B255" s="246" t="str">
        <f t="shared" si="25"/>
        <v>Oil Field - Well</v>
      </c>
      <c r="C255" s="246" t="str">
        <f ca="1">IF(B255="","",VLOOKUP(D255,'Species Data'!B:E,4,FALSE))</f>
        <v>O_xylene</v>
      </c>
      <c r="D255" s="246">
        <f t="shared" ca="1" si="26"/>
        <v>620</v>
      </c>
      <c r="E255" s="246">
        <f t="shared" ca="1" si="27"/>
        <v>2.1999999999999999E-2</v>
      </c>
      <c r="F255" s="246" t="str">
        <f t="shared" ca="1" si="28"/>
        <v>O-xylene</v>
      </c>
      <c r="G255" s="246">
        <f t="shared" ca="1" si="29"/>
        <v>106.16500000000001</v>
      </c>
      <c r="H255" s="204">
        <f ca="1">IF(G255="","",IF(VLOOKUP(Well_Head!F255,'Species Data'!D:F,3,FALSE)=0,"X",IF(G255&lt;44.1,2,1)))</f>
        <v>1</v>
      </c>
      <c r="I255" s="204">
        <f t="shared" ca="1" si="30"/>
        <v>0.25780031508927398</v>
      </c>
      <c r="J255" s="247">
        <f ca="1">IF(I255="","",IF(COUNTIF($D$12:D255,D255)=1,IF(H255=1,I255*H255,IF(H255="X","X",0)),0))</f>
        <v>0</v>
      </c>
      <c r="K255" s="248">
        <f t="shared" ca="1" si="31"/>
        <v>0</v>
      </c>
      <c r="L255" s="238" t="s">
        <v>626</v>
      </c>
      <c r="M255" s="212" t="s">
        <v>448</v>
      </c>
      <c r="N255" s="212" t="s">
        <v>470</v>
      </c>
      <c r="O255" s="213">
        <v>41419</v>
      </c>
      <c r="P255" s="212" t="s">
        <v>531</v>
      </c>
      <c r="Q255" s="214">
        <v>100</v>
      </c>
      <c r="R255" s="212" t="s">
        <v>445</v>
      </c>
      <c r="S255" s="212" t="s">
        <v>532</v>
      </c>
      <c r="T255" s="212" t="s">
        <v>445</v>
      </c>
      <c r="U255" s="212" t="s">
        <v>446</v>
      </c>
      <c r="V255" s="214" t="b">
        <v>1</v>
      </c>
      <c r="W255" s="214">
        <v>1989</v>
      </c>
      <c r="X255" s="214">
        <v>5</v>
      </c>
      <c r="Y255" s="214">
        <v>2</v>
      </c>
      <c r="Z255" s="214">
        <v>4</v>
      </c>
      <c r="AA255" s="212" t="s">
        <v>447</v>
      </c>
      <c r="AB255" s="212" t="s">
        <v>531</v>
      </c>
      <c r="AC255" s="212" t="s">
        <v>533</v>
      </c>
      <c r="AD255" s="214">
        <v>1.0515829999999999</v>
      </c>
      <c r="AE255" s="214">
        <v>671</v>
      </c>
      <c r="AF255" s="214">
        <v>0.30249999999999999</v>
      </c>
      <c r="AG255" s="214">
        <v>-99</v>
      </c>
      <c r="AH255" s="212" t="s">
        <v>224</v>
      </c>
      <c r="AI255" s="212" t="s">
        <v>449</v>
      </c>
      <c r="AJ255" s="212" t="s">
        <v>288</v>
      </c>
      <c r="AK255" s="212" t="s">
        <v>531</v>
      </c>
      <c r="AL255" s="212" t="s">
        <v>382</v>
      </c>
      <c r="AM255" s="214" t="b">
        <v>1</v>
      </c>
      <c r="AN255" s="214" t="b">
        <v>0</v>
      </c>
      <c r="AO255" s="212" t="s">
        <v>289</v>
      </c>
      <c r="AP255" s="212" t="s">
        <v>290</v>
      </c>
      <c r="AQ255" s="214">
        <v>44.095619999999997</v>
      </c>
      <c r="AR255" s="214" t="b">
        <v>0</v>
      </c>
      <c r="AS255" s="212" t="s">
        <v>534</v>
      </c>
      <c r="AU255" s="222" t="s">
        <v>819</v>
      </c>
    </row>
    <row r="256" spans="1:47" s="262" customFormat="1" x14ac:dyDescent="0.25">
      <c r="A256" s="245">
        <f t="shared" si="32"/>
        <v>351</v>
      </c>
      <c r="B256" s="246" t="str">
        <f t="shared" si="25"/>
        <v>Oil Field - Well</v>
      </c>
      <c r="C256" s="246" t="str">
        <f ca="1">IF(B256="","",VLOOKUP(D256,'Species Data'!B:E,4,FALSE))</f>
        <v>P_xylene</v>
      </c>
      <c r="D256" s="246">
        <f t="shared" ca="1" si="26"/>
        <v>648</v>
      </c>
      <c r="E256" s="246">
        <f t="shared" ca="1" si="27"/>
        <v>5.9200000000000003E-2</v>
      </c>
      <c r="F256" s="246" t="str">
        <f t="shared" ca="1" si="28"/>
        <v>P-xylene</v>
      </c>
      <c r="G256" s="246">
        <f t="shared" ca="1" si="29"/>
        <v>106.16500000000001</v>
      </c>
      <c r="H256" s="204">
        <f ca="1">IF(G256="","",IF(VLOOKUP(Well_Head!F256,'Species Data'!D:F,3,FALSE)=0,"X",IF(G256&lt;44.1,2,1)))</f>
        <v>1</v>
      </c>
      <c r="I256" s="204">
        <f t="shared" ca="1" si="30"/>
        <v>8.6622328093956577E-2</v>
      </c>
      <c r="J256" s="247">
        <f ca="1">IF(I256="","",IF(COUNTIF($D$12:D256,D256)=1,IF(H256=1,I256*H256,IF(H256="X","X",0)),0))</f>
        <v>0</v>
      </c>
      <c r="K256" s="248">
        <f t="shared" ca="1" si="31"/>
        <v>0</v>
      </c>
      <c r="L256" s="238" t="s">
        <v>626</v>
      </c>
      <c r="M256" s="212" t="s">
        <v>448</v>
      </c>
      <c r="N256" s="212" t="s">
        <v>470</v>
      </c>
      <c r="O256" s="213">
        <v>41419</v>
      </c>
      <c r="P256" s="212" t="s">
        <v>531</v>
      </c>
      <c r="Q256" s="214">
        <v>100</v>
      </c>
      <c r="R256" s="212" t="s">
        <v>445</v>
      </c>
      <c r="S256" s="212" t="s">
        <v>532</v>
      </c>
      <c r="T256" s="212" t="s">
        <v>445</v>
      </c>
      <c r="U256" s="212" t="s">
        <v>446</v>
      </c>
      <c r="V256" s="214" t="b">
        <v>1</v>
      </c>
      <c r="W256" s="214">
        <v>1989</v>
      </c>
      <c r="X256" s="214">
        <v>5</v>
      </c>
      <c r="Y256" s="214">
        <v>2</v>
      </c>
      <c r="Z256" s="214">
        <v>4</v>
      </c>
      <c r="AA256" s="212" t="s">
        <v>447</v>
      </c>
      <c r="AB256" s="212" t="s">
        <v>531</v>
      </c>
      <c r="AC256" s="212" t="s">
        <v>533</v>
      </c>
      <c r="AD256" s="214">
        <v>1.0515829999999999</v>
      </c>
      <c r="AE256" s="214">
        <v>703</v>
      </c>
      <c r="AF256" s="214">
        <v>0.64990000000000003</v>
      </c>
      <c r="AG256" s="214">
        <v>-99</v>
      </c>
      <c r="AH256" s="212" t="s">
        <v>224</v>
      </c>
      <c r="AI256" s="212" t="s">
        <v>449</v>
      </c>
      <c r="AJ256" s="212" t="s">
        <v>423</v>
      </c>
      <c r="AK256" s="212" t="s">
        <v>531</v>
      </c>
      <c r="AL256" s="212" t="s">
        <v>455</v>
      </c>
      <c r="AM256" s="214" t="b">
        <v>0</v>
      </c>
      <c r="AN256" s="214" t="b">
        <v>0</v>
      </c>
      <c r="AO256" s="212" t="s">
        <v>424</v>
      </c>
      <c r="AP256" s="212" t="s">
        <v>531</v>
      </c>
      <c r="AQ256" s="214">
        <v>134.21816000000001</v>
      </c>
      <c r="AR256" s="214" t="b">
        <v>0</v>
      </c>
      <c r="AS256" s="212" t="s">
        <v>534</v>
      </c>
      <c r="AU256" s="222" t="s">
        <v>819</v>
      </c>
    </row>
    <row r="257" spans="1:47" s="262" customFormat="1" x14ac:dyDescent="0.25">
      <c r="A257" s="245">
        <f t="shared" si="32"/>
        <v>352</v>
      </c>
      <c r="B257" s="246" t="str">
        <f t="shared" si="25"/>
        <v>Oil Field - Well</v>
      </c>
      <c r="C257" s="246" t="str">
        <f ca="1">IF(B257="","",VLOOKUP(D257,'Species Data'!B:E,4,FALSE))</f>
        <v>propane</v>
      </c>
      <c r="D257" s="246">
        <f t="shared" ca="1" si="26"/>
        <v>671</v>
      </c>
      <c r="E257" s="246">
        <f t="shared" ca="1" si="27"/>
        <v>13.3879</v>
      </c>
      <c r="F257" s="246" t="str">
        <f t="shared" ca="1" si="28"/>
        <v>Propane</v>
      </c>
      <c r="G257" s="246">
        <f t="shared" ca="1" si="29"/>
        <v>44.095619999999997</v>
      </c>
      <c r="H257" s="204">
        <f ca="1">IF(G257="","",IF(VLOOKUP(Well_Head!F257,'Species Data'!D:F,3,FALSE)=0,"X",IF(G257&lt;44.1,2,1)))</f>
        <v>2</v>
      </c>
      <c r="I257" s="204">
        <f t="shared" ca="1" si="30"/>
        <v>8.8717997321996727</v>
      </c>
      <c r="J257" s="247">
        <f ca="1">IF(I257="","",IF(COUNTIF($D$12:D257,D257)=1,IF(H257=1,I257*H257,IF(H257="X","X",0)),0))</f>
        <v>0</v>
      </c>
      <c r="K257" s="248">
        <f t="shared" ca="1" si="31"/>
        <v>0</v>
      </c>
      <c r="L257" s="238" t="s">
        <v>626</v>
      </c>
      <c r="M257" s="212" t="s">
        <v>448</v>
      </c>
      <c r="N257" s="212" t="s">
        <v>470</v>
      </c>
      <c r="O257" s="213">
        <v>41419</v>
      </c>
      <c r="P257" s="212" t="s">
        <v>531</v>
      </c>
      <c r="Q257" s="214">
        <v>100</v>
      </c>
      <c r="R257" s="212" t="s">
        <v>445</v>
      </c>
      <c r="S257" s="212" t="s">
        <v>532</v>
      </c>
      <c r="T257" s="212" t="s">
        <v>445</v>
      </c>
      <c r="U257" s="212" t="s">
        <v>446</v>
      </c>
      <c r="V257" s="214" t="b">
        <v>1</v>
      </c>
      <c r="W257" s="214">
        <v>1989</v>
      </c>
      <c r="X257" s="214">
        <v>5</v>
      </c>
      <c r="Y257" s="214">
        <v>2</v>
      </c>
      <c r="Z257" s="214">
        <v>4</v>
      </c>
      <c r="AA257" s="212" t="s">
        <v>447</v>
      </c>
      <c r="AB257" s="212" t="s">
        <v>531</v>
      </c>
      <c r="AC257" s="212" t="s">
        <v>533</v>
      </c>
      <c r="AD257" s="214">
        <v>1.0515829999999999</v>
      </c>
      <c r="AE257" s="214">
        <v>717</v>
      </c>
      <c r="AF257" s="214">
        <v>0.25929999999999997</v>
      </c>
      <c r="AG257" s="214">
        <v>-99</v>
      </c>
      <c r="AH257" s="212" t="s">
        <v>224</v>
      </c>
      <c r="AI257" s="212" t="s">
        <v>449</v>
      </c>
      <c r="AJ257" s="212" t="s">
        <v>294</v>
      </c>
      <c r="AK257" s="212" t="s">
        <v>531</v>
      </c>
      <c r="AL257" s="212" t="s">
        <v>383</v>
      </c>
      <c r="AM257" s="214" t="b">
        <v>1</v>
      </c>
      <c r="AN257" s="214" t="b">
        <v>1</v>
      </c>
      <c r="AO257" s="212" t="s">
        <v>295</v>
      </c>
      <c r="AP257" s="212" t="s">
        <v>296</v>
      </c>
      <c r="AQ257" s="214">
        <v>92.138419999999996</v>
      </c>
      <c r="AR257" s="214" t="b">
        <v>0</v>
      </c>
      <c r="AS257" s="212" t="s">
        <v>534</v>
      </c>
      <c r="AU257" s="222" t="s">
        <v>819</v>
      </c>
    </row>
    <row r="258" spans="1:47" s="262" customFormat="1" x14ac:dyDescent="0.25">
      <c r="A258" s="245">
        <f t="shared" si="32"/>
        <v>353</v>
      </c>
      <c r="B258" s="246" t="str">
        <f t="shared" si="25"/>
        <v>Oil Field - Well</v>
      </c>
      <c r="C258" s="246" t="str">
        <f ca="1">IF(B258="","",VLOOKUP(D258,'Species Data'!B:E,4,FALSE))</f>
        <v>toluene</v>
      </c>
      <c r="D258" s="246">
        <f t="shared" ca="1" si="26"/>
        <v>717</v>
      </c>
      <c r="E258" s="246">
        <f t="shared" ca="1" si="27"/>
        <v>0.13700000000000001</v>
      </c>
      <c r="F258" s="246" t="str">
        <f t="shared" ca="1" si="28"/>
        <v>Toluene</v>
      </c>
      <c r="G258" s="246">
        <f t="shared" ca="1" si="29"/>
        <v>92.138419999999996</v>
      </c>
      <c r="H258" s="204">
        <f ca="1">IF(G258="","",IF(VLOOKUP(Well_Head!F258,'Species Data'!D:F,3,FALSE)=0,"X",IF(G258&lt;44.1,2,1)))</f>
        <v>1</v>
      </c>
      <c r="I258" s="204">
        <f t="shared" ca="1" si="30"/>
        <v>0.47057835292909805</v>
      </c>
      <c r="J258" s="247">
        <f ca="1">IF(I258="","",IF(COUNTIF($D$12:D258,D258)=1,IF(H258=1,I258*H258,IF(H258="X","X",0)),0))</f>
        <v>0</v>
      </c>
      <c r="K258" s="248">
        <f t="shared" ca="1" si="31"/>
        <v>0</v>
      </c>
      <c r="L258" s="238" t="s">
        <v>626</v>
      </c>
      <c r="M258" s="212" t="s">
        <v>448</v>
      </c>
      <c r="N258" s="212" t="s">
        <v>470</v>
      </c>
      <c r="O258" s="213">
        <v>41419</v>
      </c>
      <c r="P258" s="212" t="s">
        <v>531</v>
      </c>
      <c r="Q258" s="214">
        <v>100</v>
      </c>
      <c r="R258" s="212" t="s">
        <v>445</v>
      </c>
      <c r="S258" s="212" t="s">
        <v>532</v>
      </c>
      <c r="T258" s="212" t="s">
        <v>445</v>
      </c>
      <c r="U258" s="212" t="s">
        <v>446</v>
      </c>
      <c r="V258" s="214" t="b">
        <v>1</v>
      </c>
      <c r="W258" s="214">
        <v>1989</v>
      </c>
      <c r="X258" s="214">
        <v>5</v>
      </c>
      <c r="Y258" s="214">
        <v>2</v>
      </c>
      <c r="Z258" s="214">
        <v>4</v>
      </c>
      <c r="AA258" s="212" t="s">
        <v>447</v>
      </c>
      <c r="AB258" s="212" t="s">
        <v>531</v>
      </c>
      <c r="AC258" s="212" t="s">
        <v>533</v>
      </c>
      <c r="AD258" s="214">
        <v>1.0515829999999999</v>
      </c>
      <c r="AE258" s="214">
        <v>981</v>
      </c>
      <c r="AF258" s="214">
        <v>0.189</v>
      </c>
      <c r="AG258" s="214">
        <v>-99</v>
      </c>
      <c r="AH258" s="212" t="s">
        <v>224</v>
      </c>
      <c r="AI258" s="212" t="s">
        <v>449</v>
      </c>
      <c r="AJ258" s="212" t="s">
        <v>645</v>
      </c>
      <c r="AK258" s="212" t="s">
        <v>531</v>
      </c>
      <c r="AL258" s="212" t="s">
        <v>531</v>
      </c>
      <c r="AM258" s="214" t="b">
        <v>0</v>
      </c>
      <c r="AN258" s="214" t="b">
        <v>0</v>
      </c>
      <c r="AO258" s="212" t="s">
        <v>646</v>
      </c>
      <c r="AP258" s="212" t="s">
        <v>647</v>
      </c>
      <c r="AQ258" s="214">
        <v>134.21816000000001</v>
      </c>
      <c r="AR258" s="214" t="b">
        <v>0</v>
      </c>
      <c r="AS258" s="212" t="s">
        <v>534</v>
      </c>
      <c r="AU258" s="222" t="s">
        <v>819</v>
      </c>
    </row>
    <row r="259" spans="1:47" s="262" customFormat="1" x14ac:dyDescent="0.25">
      <c r="A259" s="245">
        <f t="shared" si="32"/>
        <v>354</v>
      </c>
      <c r="B259" s="246" t="str">
        <f t="shared" si="25"/>
        <v>Oil Field - Well</v>
      </c>
      <c r="C259" s="246" t="str">
        <f ca="1">IF(B259="","",VLOOKUP(D259,'Species Data'!B:E,4,FALSE))</f>
        <v>betben</v>
      </c>
      <c r="D259" s="246">
        <f t="shared" ca="1" si="26"/>
        <v>981</v>
      </c>
      <c r="E259" s="246">
        <f t="shared" ca="1" si="27"/>
        <v>2E-3</v>
      </c>
      <c r="F259" s="246" t="str">
        <f t="shared" ca="1" si="28"/>
        <v>Butylbenzene</v>
      </c>
      <c r="G259" s="246">
        <f t="shared" ca="1" si="29"/>
        <v>134.21816000000001</v>
      </c>
      <c r="H259" s="204">
        <f ca="1">IF(G259="","",IF(VLOOKUP(Well_Head!F259,'Species Data'!D:F,3,FALSE)=0,"X",IF(G259&lt;44.1,2,1)))</f>
        <v>1</v>
      </c>
      <c r="I259" s="204">
        <f t="shared" ca="1" si="30"/>
        <v>6.3200077244538855E-2</v>
      </c>
      <c r="J259" s="247">
        <f ca="1">IF(I259="","",IF(COUNTIF($D$12:D259,D259)=1,IF(H259=1,I259*H259,IF(H259="X","X",0)),0))</f>
        <v>0</v>
      </c>
      <c r="K259" s="248">
        <f t="shared" ca="1" si="31"/>
        <v>0</v>
      </c>
      <c r="L259" s="238" t="s">
        <v>626</v>
      </c>
      <c r="M259" s="212" t="s">
        <v>448</v>
      </c>
      <c r="N259" s="212" t="s">
        <v>470</v>
      </c>
      <c r="O259" s="213">
        <v>41419</v>
      </c>
      <c r="P259" s="212" t="s">
        <v>531</v>
      </c>
      <c r="Q259" s="214">
        <v>100</v>
      </c>
      <c r="R259" s="212" t="s">
        <v>445</v>
      </c>
      <c r="S259" s="212" t="s">
        <v>532</v>
      </c>
      <c r="T259" s="212" t="s">
        <v>445</v>
      </c>
      <c r="U259" s="212" t="s">
        <v>446</v>
      </c>
      <c r="V259" s="214" t="b">
        <v>1</v>
      </c>
      <c r="W259" s="214">
        <v>1989</v>
      </c>
      <c r="X259" s="214">
        <v>5</v>
      </c>
      <c r="Y259" s="214">
        <v>2</v>
      </c>
      <c r="Z259" s="214">
        <v>4</v>
      </c>
      <c r="AA259" s="212" t="s">
        <v>447</v>
      </c>
      <c r="AB259" s="212" t="s">
        <v>531</v>
      </c>
      <c r="AC259" s="212" t="s">
        <v>533</v>
      </c>
      <c r="AD259" s="214">
        <v>1.0515829999999999</v>
      </c>
      <c r="AE259" s="214">
        <v>1924</v>
      </c>
      <c r="AF259" s="214">
        <v>6.7336999999999998</v>
      </c>
      <c r="AG259" s="214">
        <v>-99</v>
      </c>
      <c r="AH259" s="212" t="s">
        <v>224</v>
      </c>
      <c r="AI259" s="212" t="s">
        <v>449</v>
      </c>
      <c r="AJ259" s="212" t="s">
        <v>224</v>
      </c>
      <c r="AK259" s="212" t="s">
        <v>531</v>
      </c>
      <c r="AL259" s="212" t="s">
        <v>466</v>
      </c>
      <c r="AM259" s="214" t="b">
        <v>0</v>
      </c>
      <c r="AN259" s="214" t="b">
        <v>0</v>
      </c>
      <c r="AO259" s="212" t="s">
        <v>535</v>
      </c>
      <c r="AP259" s="212" t="s">
        <v>536</v>
      </c>
      <c r="AQ259" s="214">
        <v>142.28167999999999</v>
      </c>
      <c r="AR259" s="214" t="b">
        <v>0</v>
      </c>
      <c r="AS259" s="212" t="s">
        <v>534</v>
      </c>
      <c r="AU259" s="222" t="s">
        <v>819</v>
      </c>
    </row>
    <row r="260" spans="1:47" s="262" customFormat="1" x14ac:dyDescent="0.25">
      <c r="A260" s="245">
        <f t="shared" si="32"/>
        <v>355</v>
      </c>
      <c r="B260" s="246" t="str">
        <f t="shared" si="25"/>
        <v>Oil Field - Well</v>
      </c>
      <c r="C260" s="246" t="str">
        <f ca="1">IF(B260="","",VLOOKUP(D260,'Species Data'!B:E,4,FALSE))</f>
        <v>c10_comp</v>
      </c>
      <c r="D260" s="246">
        <f t="shared" ca="1" si="26"/>
        <v>1924</v>
      </c>
      <c r="E260" s="246">
        <f t="shared" ca="1" si="27"/>
        <v>3.0200000000000001E-2</v>
      </c>
      <c r="F260" s="246" t="str">
        <f t="shared" ca="1" si="28"/>
        <v>C-10 Compounds</v>
      </c>
      <c r="G260" s="246">
        <f t="shared" ca="1" si="29"/>
        <v>142.28167999999999</v>
      </c>
      <c r="H260" s="204" t="str">
        <f ca="1">IF(G260="","",IF(VLOOKUP(Well_Head!F260,'Species Data'!D:F,3,FALSE)=0,"X",IF(G260&lt;44.1,2,1)))</f>
        <v>X</v>
      </c>
      <c r="I260" s="204">
        <f t="shared" ca="1" si="30"/>
        <v>2.3240139515726077</v>
      </c>
      <c r="J260" s="247">
        <f ca="1">IF(I260="","",IF(COUNTIF($D$12:D260,D260)=1,IF(H260=1,I260*H260,IF(H260="X","X",0)),0))</f>
        <v>0</v>
      </c>
      <c r="K260" s="248">
        <f t="shared" ca="1" si="31"/>
        <v>0</v>
      </c>
      <c r="L260" s="238" t="s">
        <v>626</v>
      </c>
      <c r="M260" s="212" t="s">
        <v>448</v>
      </c>
      <c r="N260" s="212" t="s">
        <v>470</v>
      </c>
      <c r="O260" s="213">
        <v>41419</v>
      </c>
      <c r="P260" s="212" t="s">
        <v>531</v>
      </c>
      <c r="Q260" s="214">
        <v>100</v>
      </c>
      <c r="R260" s="212" t="s">
        <v>445</v>
      </c>
      <c r="S260" s="212" t="s">
        <v>532</v>
      </c>
      <c r="T260" s="212" t="s">
        <v>445</v>
      </c>
      <c r="U260" s="212" t="s">
        <v>446</v>
      </c>
      <c r="V260" s="214" t="b">
        <v>1</v>
      </c>
      <c r="W260" s="214">
        <v>1989</v>
      </c>
      <c r="X260" s="214">
        <v>5</v>
      </c>
      <c r="Y260" s="214">
        <v>2</v>
      </c>
      <c r="Z260" s="214">
        <v>4</v>
      </c>
      <c r="AA260" s="212" t="s">
        <v>447</v>
      </c>
      <c r="AB260" s="212" t="s">
        <v>531</v>
      </c>
      <c r="AC260" s="212" t="s">
        <v>533</v>
      </c>
      <c r="AD260" s="214">
        <v>1.0515829999999999</v>
      </c>
      <c r="AE260" s="214">
        <v>1929</v>
      </c>
      <c r="AF260" s="214">
        <v>3.5299999999999998E-2</v>
      </c>
      <c r="AG260" s="214">
        <v>-99</v>
      </c>
      <c r="AH260" s="212" t="s">
        <v>224</v>
      </c>
      <c r="AI260" s="212" t="s">
        <v>449</v>
      </c>
      <c r="AJ260" s="212" t="s">
        <v>224</v>
      </c>
      <c r="AK260" s="212" t="s">
        <v>531</v>
      </c>
      <c r="AL260" s="212" t="s">
        <v>467</v>
      </c>
      <c r="AM260" s="214" t="b">
        <v>0</v>
      </c>
      <c r="AN260" s="214" t="b">
        <v>0</v>
      </c>
      <c r="AO260" s="212" t="s">
        <v>468</v>
      </c>
      <c r="AP260" s="212" t="s">
        <v>469</v>
      </c>
      <c r="AQ260" s="214">
        <v>156.30826000000002</v>
      </c>
      <c r="AR260" s="214" t="b">
        <v>0</v>
      </c>
      <c r="AS260" s="212" t="s">
        <v>534</v>
      </c>
      <c r="AU260" s="222" t="s">
        <v>819</v>
      </c>
    </row>
    <row r="261" spans="1:47" s="262" customFormat="1" x14ac:dyDescent="0.25">
      <c r="A261" s="245">
        <f t="shared" si="32"/>
        <v>356</v>
      </c>
      <c r="B261" s="246" t="str">
        <f t="shared" si="25"/>
        <v>Oil Field - Well</v>
      </c>
      <c r="C261" s="246" t="str">
        <f ca="1">IF(B261="","",VLOOKUP(D261,'Species Data'!B:E,4,FALSE))</f>
        <v>c11_comp</v>
      </c>
      <c r="D261" s="246">
        <f t="shared" ca="1" si="26"/>
        <v>1929</v>
      </c>
      <c r="E261" s="246">
        <f t="shared" ca="1" si="27"/>
        <v>5.5999999999999999E-3</v>
      </c>
      <c r="F261" s="246" t="str">
        <f t="shared" ca="1" si="28"/>
        <v>C-11 Compounds</v>
      </c>
      <c r="G261" s="246">
        <f t="shared" ca="1" si="29"/>
        <v>156.30826000000002</v>
      </c>
      <c r="H261" s="204" t="str">
        <f ca="1">IF(G261="","",IF(VLOOKUP(Well_Head!F261,'Species Data'!D:F,3,FALSE)=0,"X",IF(G261&lt;44.1,2,1)))</f>
        <v>X</v>
      </c>
      <c r="I261" s="204">
        <f t="shared" ca="1" si="30"/>
        <v>0.83128990490988375</v>
      </c>
      <c r="J261" s="247">
        <f ca="1">IF(I261="","",IF(COUNTIF($D$12:D261,D261)=1,IF(H261=1,I261*H261,IF(H261="X","X",0)),0))</f>
        <v>0</v>
      </c>
      <c r="K261" s="248">
        <f t="shared" ca="1" si="31"/>
        <v>0</v>
      </c>
      <c r="L261" s="238" t="s">
        <v>626</v>
      </c>
      <c r="M261" s="212" t="s">
        <v>448</v>
      </c>
      <c r="N261" s="212" t="s">
        <v>470</v>
      </c>
      <c r="O261" s="213">
        <v>41419</v>
      </c>
      <c r="P261" s="212" t="s">
        <v>531</v>
      </c>
      <c r="Q261" s="214">
        <v>100</v>
      </c>
      <c r="R261" s="212" t="s">
        <v>445</v>
      </c>
      <c r="S261" s="212" t="s">
        <v>532</v>
      </c>
      <c r="T261" s="212" t="s">
        <v>445</v>
      </c>
      <c r="U261" s="212" t="s">
        <v>446</v>
      </c>
      <c r="V261" s="214" t="b">
        <v>1</v>
      </c>
      <c r="W261" s="214">
        <v>1989</v>
      </c>
      <c r="X261" s="214">
        <v>5</v>
      </c>
      <c r="Y261" s="214">
        <v>2</v>
      </c>
      <c r="Z261" s="214">
        <v>4</v>
      </c>
      <c r="AA261" s="212" t="s">
        <v>447</v>
      </c>
      <c r="AB261" s="212" t="s">
        <v>531</v>
      </c>
      <c r="AC261" s="212" t="s">
        <v>533</v>
      </c>
      <c r="AD261" s="214">
        <v>1.0515829999999999</v>
      </c>
      <c r="AE261" s="214">
        <v>1999</v>
      </c>
      <c r="AF261" s="214">
        <v>3.0064000000000002</v>
      </c>
      <c r="AG261" s="214">
        <v>-99</v>
      </c>
      <c r="AH261" s="212" t="s">
        <v>224</v>
      </c>
      <c r="AI261" s="212" t="s">
        <v>449</v>
      </c>
      <c r="AJ261" s="212" t="s">
        <v>224</v>
      </c>
      <c r="AK261" s="212" t="s">
        <v>531</v>
      </c>
      <c r="AL261" s="212" t="s">
        <v>540</v>
      </c>
      <c r="AM261" s="214" t="b">
        <v>0</v>
      </c>
      <c r="AN261" s="214" t="b">
        <v>0</v>
      </c>
      <c r="AO261" s="212" t="s">
        <v>541</v>
      </c>
      <c r="AP261" s="212" t="s">
        <v>542</v>
      </c>
      <c r="AQ261" s="214">
        <v>86.175359999999998</v>
      </c>
      <c r="AR261" s="214" t="b">
        <v>0</v>
      </c>
      <c r="AS261" s="212" t="s">
        <v>534</v>
      </c>
      <c r="AU261" s="222" t="s">
        <v>819</v>
      </c>
    </row>
    <row r="262" spans="1:47" s="262" customFormat="1" x14ac:dyDescent="0.25">
      <c r="A262" s="245">
        <f t="shared" si="32"/>
        <v>357</v>
      </c>
      <c r="B262" s="246" t="str">
        <f t="shared" si="25"/>
        <v>Oil Field - Well</v>
      </c>
      <c r="C262" s="246" t="str">
        <f ca="1">IF(B262="","",VLOOKUP(D262,'Species Data'!B:E,4,FALSE))</f>
        <v>c5_comp</v>
      </c>
      <c r="D262" s="246">
        <f t="shared" ca="1" si="26"/>
        <v>1986</v>
      </c>
      <c r="E262" s="246">
        <f t="shared" ca="1" si="27"/>
        <v>0.5484</v>
      </c>
      <c r="F262" s="246" t="str">
        <f t="shared" ca="1" si="28"/>
        <v>C-5 Compounds</v>
      </c>
      <c r="G262" s="246">
        <f t="shared" ca="1" si="29"/>
        <v>72.148780000000002</v>
      </c>
      <c r="H262" s="204" t="str">
        <f ca="1">IF(G262="","",IF(VLOOKUP(Well_Head!F262,'Species Data'!D:F,3,FALSE)=0,"X",IF(G262&lt;44.1,2,1)))</f>
        <v>X</v>
      </c>
      <c r="I262" s="204">
        <f t="shared" ca="1" si="30"/>
        <v>0.76984538536658209</v>
      </c>
      <c r="J262" s="247" t="str">
        <f ca="1">IF(I262="","",IF(COUNTIF($D$12:D262,D262)=1,IF(H262=1,I262*H262,IF(H262="X","X",0)),0))</f>
        <v>X</v>
      </c>
      <c r="K262" s="248">
        <f t="shared" ca="1" si="31"/>
        <v>0</v>
      </c>
      <c r="L262" s="238" t="s">
        <v>626</v>
      </c>
      <c r="M262" s="212" t="s">
        <v>448</v>
      </c>
      <c r="N262" s="212" t="s">
        <v>470</v>
      </c>
      <c r="O262" s="213">
        <v>41419</v>
      </c>
      <c r="P262" s="212" t="s">
        <v>531</v>
      </c>
      <c r="Q262" s="214">
        <v>100</v>
      </c>
      <c r="R262" s="212" t="s">
        <v>445</v>
      </c>
      <c r="S262" s="212" t="s">
        <v>532</v>
      </c>
      <c r="T262" s="212" t="s">
        <v>445</v>
      </c>
      <c r="U262" s="212" t="s">
        <v>446</v>
      </c>
      <c r="V262" s="214" t="b">
        <v>1</v>
      </c>
      <c r="W262" s="214">
        <v>1989</v>
      </c>
      <c r="X262" s="214">
        <v>5</v>
      </c>
      <c r="Y262" s="214">
        <v>2</v>
      </c>
      <c r="Z262" s="214">
        <v>4</v>
      </c>
      <c r="AA262" s="212" t="s">
        <v>447</v>
      </c>
      <c r="AB262" s="212" t="s">
        <v>531</v>
      </c>
      <c r="AC262" s="212" t="s">
        <v>533</v>
      </c>
      <c r="AD262" s="214">
        <v>1.0515829999999999</v>
      </c>
      <c r="AE262" s="214">
        <v>2005</v>
      </c>
      <c r="AF262" s="214">
        <v>21.5246</v>
      </c>
      <c r="AG262" s="214">
        <v>-99</v>
      </c>
      <c r="AH262" s="212" t="s">
        <v>224</v>
      </c>
      <c r="AI262" s="212" t="s">
        <v>449</v>
      </c>
      <c r="AJ262" s="212" t="s">
        <v>224</v>
      </c>
      <c r="AK262" s="212" t="s">
        <v>531</v>
      </c>
      <c r="AL262" s="212" t="s">
        <v>543</v>
      </c>
      <c r="AM262" s="214" t="b">
        <v>0</v>
      </c>
      <c r="AN262" s="214" t="b">
        <v>0</v>
      </c>
      <c r="AO262" s="212" t="s">
        <v>544</v>
      </c>
      <c r="AP262" s="212" t="s">
        <v>545</v>
      </c>
      <c r="AQ262" s="214">
        <v>100.20194000000001</v>
      </c>
      <c r="AR262" s="214" t="b">
        <v>0</v>
      </c>
      <c r="AS262" s="212" t="s">
        <v>534</v>
      </c>
      <c r="AU262" s="222" t="s">
        <v>819</v>
      </c>
    </row>
    <row r="263" spans="1:47" s="262" customFormat="1" x14ac:dyDescent="0.25">
      <c r="A263" s="245">
        <f t="shared" si="32"/>
        <v>358</v>
      </c>
      <c r="B263" s="246" t="str">
        <f t="shared" si="25"/>
        <v>Oil Field - Well</v>
      </c>
      <c r="C263" s="246" t="str">
        <f ca="1">IF(B263="","",VLOOKUP(D263,'Species Data'!B:E,4,FALSE))</f>
        <v>c6_comp</v>
      </c>
      <c r="D263" s="246">
        <f t="shared" ca="1" si="26"/>
        <v>1999</v>
      </c>
      <c r="E263" s="246">
        <f t="shared" ca="1" si="27"/>
        <v>3.7219000000000002</v>
      </c>
      <c r="F263" s="246" t="str">
        <f t="shared" ca="1" si="28"/>
        <v>C-6 Compounds</v>
      </c>
      <c r="G263" s="246">
        <f t="shared" ca="1" si="29"/>
        <v>86.175359999999998</v>
      </c>
      <c r="H263" s="204" t="str">
        <f ca="1">IF(G263="","",IF(VLOOKUP(Well_Head!F263,'Species Data'!D:F,3,FALSE)=0,"X",IF(G263&lt;44.1,2,1)))</f>
        <v>X</v>
      </c>
      <c r="I263" s="204">
        <f t="shared" ca="1" si="30"/>
        <v>2.1343803864649171</v>
      </c>
      <c r="J263" s="247">
        <f ca="1">IF(I263="","",IF(COUNTIF($D$12:D263,D263)=1,IF(H263=1,I263*H263,IF(H263="X","X",0)),0))</f>
        <v>0</v>
      </c>
      <c r="K263" s="248">
        <f t="shared" ca="1" si="31"/>
        <v>0</v>
      </c>
      <c r="L263" s="238" t="s">
        <v>626</v>
      </c>
      <c r="M263" s="212" t="s">
        <v>448</v>
      </c>
      <c r="N263" s="212" t="s">
        <v>470</v>
      </c>
      <c r="O263" s="213">
        <v>41419</v>
      </c>
      <c r="P263" s="212" t="s">
        <v>531</v>
      </c>
      <c r="Q263" s="214">
        <v>100</v>
      </c>
      <c r="R263" s="212" t="s">
        <v>445</v>
      </c>
      <c r="S263" s="212" t="s">
        <v>532</v>
      </c>
      <c r="T263" s="212" t="s">
        <v>445</v>
      </c>
      <c r="U263" s="212" t="s">
        <v>446</v>
      </c>
      <c r="V263" s="214" t="b">
        <v>1</v>
      </c>
      <c r="W263" s="214">
        <v>1989</v>
      </c>
      <c r="X263" s="214">
        <v>5</v>
      </c>
      <c r="Y263" s="214">
        <v>2</v>
      </c>
      <c r="Z263" s="214">
        <v>4</v>
      </c>
      <c r="AA263" s="212" t="s">
        <v>447</v>
      </c>
      <c r="AB263" s="212" t="s">
        <v>531</v>
      </c>
      <c r="AC263" s="212" t="s">
        <v>533</v>
      </c>
      <c r="AD263" s="214">
        <v>1.0515829999999999</v>
      </c>
      <c r="AE263" s="214">
        <v>2011</v>
      </c>
      <c r="AF263" s="214">
        <v>22.475000000000001</v>
      </c>
      <c r="AG263" s="214">
        <v>-99</v>
      </c>
      <c r="AH263" s="212" t="s">
        <v>224</v>
      </c>
      <c r="AI263" s="212" t="s">
        <v>449</v>
      </c>
      <c r="AJ263" s="212" t="s">
        <v>224</v>
      </c>
      <c r="AK263" s="212" t="s">
        <v>531</v>
      </c>
      <c r="AL263" s="212" t="s">
        <v>546</v>
      </c>
      <c r="AM263" s="214" t="b">
        <v>0</v>
      </c>
      <c r="AN263" s="214" t="b">
        <v>0</v>
      </c>
      <c r="AO263" s="212" t="s">
        <v>547</v>
      </c>
      <c r="AP263" s="212" t="s">
        <v>548</v>
      </c>
      <c r="AQ263" s="214">
        <v>113.21160686946486</v>
      </c>
      <c r="AR263" s="214" t="b">
        <v>0</v>
      </c>
      <c r="AS263" s="212" t="s">
        <v>534</v>
      </c>
      <c r="AU263" s="222" t="s">
        <v>819</v>
      </c>
    </row>
    <row r="264" spans="1:47" s="218" customFormat="1" x14ac:dyDescent="0.25">
      <c r="A264" s="245">
        <f t="shared" si="32"/>
        <v>359</v>
      </c>
      <c r="B264" s="246" t="str">
        <f t="shared" si="25"/>
        <v>Oil Field - Well</v>
      </c>
      <c r="C264" s="246" t="str">
        <f ca="1">IF(B264="","",VLOOKUP(D264,'Species Data'!B:E,4,FALSE))</f>
        <v>c7_comp</v>
      </c>
      <c r="D264" s="246">
        <f t="shared" ca="1" si="26"/>
        <v>2005</v>
      </c>
      <c r="E264" s="246">
        <f t="shared" ca="1" si="27"/>
        <v>1.0915999999999999</v>
      </c>
      <c r="F264" s="246" t="str">
        <f t="shared" ca="1" si="28"/>
        <v>C-7 Compounds</v>
      </c>
      <c r="G264" s="246">
        <f t="shared" ca="1" si="29"/>
        <v>100.20194000000001</v>
      </c>
      <c r="H264" s="204" t="str">
        <f ca="1">IF(G264="","",IF(VLOOKUP(Well_Head!F264,'Species Data'!D:F,3,FALSE)=0,"X",IF(G264&lt;44.1,2,1)))</f>
        <v>X</v>
      </c>
      <c r="I264" s="204">
        <f t="shared" ca="1" si="30"/>
        <v>4.8450170327985953</v>
      </c>
      <c r="J264" s="247">
        <f ca="1">IF(I264="","",IF(COUNTIF($D$12:D264,D264)=1,IF(H264=1,I264*H264,IF(H264="X","X",0)),0))</f>
        <v>0</v>
      </c>
      <c r="K264" s="248">
        <f t="shared" ca="1" si="31"/>
        <v>0</v>
      </c>
      <c r="L264" s="238" t="s">
        <v>626</v>
      </c>
      <c r="M264" s="212" t="s">
        <v>448</v>
      </c>
      <c r="N264" s="212" t="s">
        <v>470</v>
      </c>
      <c r="O264" s="213">
        <v>41419</v>
      </c>
      <c r="P264" s="212" t="s">
        <v>531</v>
      </c>
      <c r="Q264" s="214">
        <v>100</v>
      </c>
      <c r="R264" s="212" t="s">
        <v>445</v>
      </c>
      <c r="S264" s="212" t="s">
        <v>532</v>
      </c>
      <c r="T264" s="212" t="s">
        <v>445</v>
      </c>
      <c r="U264" s="212" t="s">
        <v>446</v>
      </c>
      <c r="V264" s="214" t="b">
        <v>1</v>
      </c>
      <c r="W264" s="214">
        <v>1989</v>
      </c>
      <c r="X264" s="214">
        <v>5</v>
      </c>
      <c r="Y264" s="214">
        <v>2</v>
      </c>
      <c r="Z264" s="214">
        <v>4</v>
      </c>
      <c r="AA264" s="212" t="s">
        <v>447</v>
      </c>
      <c r="AB264" s="212" t="s">
        <v>531</v>
      </c>
      <c r="AC264" s="212" t="s">
        <v>533</v>
      </c>
      <c r="AD264" s="214">
        <v>1.0515829999999999</v>
      </c>
      <c r="AE264" s="214">
        <v>2018</v>
      </c>
      <c r="AF264" s="214">
        <v>19.777999999999999</v>
      </c>
      <c r="AG264" s="214">
        <v>-99</v>
      </c>
      <c r="AH264" s="212" t="s">
        <v>224</v>
      </c>
      <c r="AI264" s="212" t="s">
        <v>449</v>
      </c>
      <c r="AJ264" s="212" t="s">
        <v>224</v>
      </c>
      <c r="AK264" s="212" t="s">
        <v>531</v>
      </c>
      <c r="AL264" s="212" t="s">
        <v>464</v>
      </c>
      <c r="AM264" s="214" t="b">
        <v>0</v>
      </c>
      <c r="AN264" s="214" t="b">
        <v>0</v>
      </c>
      <c r="AO264" s="212" t="s">
        <v>549</v>
      </c>
      <c r="AP264" s="212" t="s">
        <v>550</v>
      </c>
      <c r="AQ264" s="214">
        <v>127.23917598649743</v>
      </c>
      <c r="AR264" s="214" t="b">
        <v>0</v>
      </c>
      <c r="AS264" s="212" t="s">
        <v>534</v>
      </c>
      <c r="AU264" s="222" t="s">
        <v>819</v>
      </c>
    </row>
    <row r="265" spans="1:47" s="218" customFormat="1" x14ac:dyDescent="0.25">
      <c r="A265" s="245">
        <f t="shared" si="32"/>
        <v>360</v>
      </c>
      <c r="B265" s="246" t="str">
        <f t="shared" si="25"/>
        <v>Oil Field - Well</v>
      </c>
      <c r="C265" s="246" t="str">
        <f ca="1">IF(B265="","",VLOOKUP(D265,'Species Data'!B:E,4,FALSE))</f>
        <v>c8_comp</v>
      </c>
      <c r="D265" s="246">
        <f t="shared" ca="1" si="26"/>
        <v>2011</v>
      </c>
      <c r="E265" s="246">
        <f t="shared" ca="1" si="27"/>
        <v>0.47520000000000001</v>
      </c>
      <c r="F265" s="246" t="str">
        <f t="shared" ca="1" si="28"/>
        <v>C-8 Compounds</v>
      </c>
      <c r="G265" s="246">
        <f t="shared" ca="1" si="29"/>
        <v>113.21160686946486</v>
      </c>
      <c r="H265" s="204" t="str">
        <f ca="1">IF(G265="","",IF(VLOOKUP(Well_Head!F265,'Species Data'!D:F,3,FALSE)=0,"X",IF(G265&lt;44.1,2,1)))</f>
        <v>X</v>
      </c>
      <c r="I265" s="204">
        <f t="shared" ca="1" si="30"/>
        <v>5.0392950480272818</v>
      </c>
      <c r="J265" s="247">
        <f ca="1">IF(I265="","",IF(COUNTIF($D$12:D265,D265)=1,IF(H265=1,I265*H265,IF(H265="X","X",0)),0))</f>
        <v>0</v>
      </c>
      <c r="K265" s="248">
        <f t="shared" ca="1" si="31"/>
        <v>0</v>
      </c>
      <c r="L265" s="239" t="s">
        <v>626</v>
      </c>
      <c r="M265" s="215" t="s">
        <v>448</v>
      </c>
      <c r="N265" s="215" t="s">
        <v>470</v>
      </c>
      <c r="O265" s="216">
        <v>41419</v>
      </c>
      <c r="P265" s="215" t="s">
        <v>531</v>
      </c>
      <c r="Q265" s="217">
        <v>100</v>
      </c>
      <c r="R265" s="215" t="s">
        <v>445</v>
      </c>
      <c r="S265" s="215" t="s">
        <v>532</v>
      </c>
      <c r="T265" s="215" t="s">
        <v>445</v>
      </c>
      <c r="U265" s="215" t="s">
        <v>446</v>
      </c>
      <c r="V265" s="217" t="b">
        <v>1</v>
      </c>
      <c r="W265" s="217">
        <v>1989</v>
      </c>
      <c r="X265" s="217">
        <v>5</v>
      </c>
      <c r="Y265" s="217">
        <v>2</v>
      </c>
      <c r="Z265" s="217">
        <v>4</v>
      </c>
      <c r="AA265" s="215" t="s">
        <v>447</v>
      </c>
      <c r="AB265" s="215" t="s">
        <v>531</v>
      </c>
      <c r="AC265" s="215" t="s">
        <v>533</v>
      </c>
      <c r="AD265" s="217">
        <v>2.3802949999999998</v>
      </c>
      <c r="AE265" s="217">
        <v>30</v>
      </c>
      <c r="AF265" s="217">
        <v>4.7999999999999996E-3</v>
      </c>
      <c r="AG265" s="217">
        <v>-99</v>
      </c>
      <c r="AH265" s="215" t="s">
        <v>224</v>
      </c>
      <c r="AI265" s="215" t="s">
        <v>449</v>
      </c>
      <c r="AJ265" s="215" t="s">
        <v>359</v>
      </c>
      <c r="AK265" s="215" t="s">
        <v>531</v>
      </c>
      <c r="AL265" s="215" t="s">
        <v>531</v>
      </c>
      <c r="AM265" s="217" t="b">
        <v>1</v>
      </c>
      <c r="AN265" s="217" t="b">
        <v>0</v>
      </c>
      <c r="AO265" s="215" t="s">
        <v>360</v>
      </c>
      <c r="AP265" s="215" t="s">
        <v>361</v>
      </c>
      <c r="AQ265" s="217">
        <v>120.19158</v>
      </c>
      <c r="AR265" s="217" t="b">
        <v>0</v>
      </c>
      <c r="AS265" s="215" t="s">
        <v>534</v>
      </c>
      <c r="AU265" s="222" t="s">
        <v>819</v>
      </c>
    </row>
    <row r="266" spans="1:47" s="218" customFormat="1" x14ac:dyDescent="0.25">
      <c r="A266" s="245">
        <f t="shared" si="32"/>
        <v>361</v>
      </c>
      <c r="B266" s="246" t="str">
        <f t="shared" si="25"/>
        <v>Oil Field - Well</v>
      </c>
      <c r="C266" s="246" t="str">
        <f ca="1">IF(B266="","",VLOOKUP(D266,'Species Data'!B:E,4,FALSE))</f>
        <v>c9_comp</v>
      </c>
      <c r="D266" s="246">
        <f t="shared" ca="1" si="26"/>
        <v>2018</v>
      </c>
      <c r="E266" s="246">
        <f t="shared" ca="1" si="27"/>
        <v>9.4299999999999995E-2</v>
      </c>
      <c r="F266" s="246" t="str">
        <f t="shared" ca="1" si="28"/>
        <v>C-9 Compounds</v>
      </c>
      <c r="G266" s="246">
        <f t="shared" ca="1" si="29"/>
        <v>127.23917598649743</v>
      </c>
      <c r="H266" s="204" t="str">
        <f ca="1">IF(G266="","",IF(VLOOKUP(Well_Head!F266,'Species Data'!D:F,3,FALSE)=0,"X",IF(G266&lt;44.1,2,1)))</f>
        <v>X</v>
      </c>
      <c r="I266" s="204">
        <f t="shared" ca="1" si="30"/>
        <v>4.5871944954599391</v>
      </c>
      <c r="J266" s="247">
        <f ca="1">IF(I266="","",IF(COUNTIF($D$12:D266,D266)=1,IF(H266=1,I266*H266,IF(H266="X","X",0)),0))</f>
        <v>0</v>
      </c>
      <c r="K266" s="248">
        <f t="shared" ca="1" si="31"/>
        <v>0</v>
      </c>
      <c r="L266" s="239" t="s">
        <v>626</v>
      </c>
      <c r="M266" s="215" t="s">
        <v>448</v>
      </c>
      <c r="N266" s="215" t="s">
        <v>470</v>
      </c>
      <c r="O266" s="216">
        <v>41419</v>
      </c>
      <c r="P266" s="215" t="s">
        <v>531</v>
      </c>
      <c r="Q266" s="217">
        <v>100</v>
      </c>
      <c r="R266" s="215" t="s">
        <v>445</v>
      </c>
      <c r="S266" s="215" t="s">
        <v>532</v>
      </c>
      <c r="T266" s="215" t="s">
        <v>445</v>
      </c>
      <c r="U266" s="215" t="s">
        <v>446</v>
      </c>
      <c r="V266" s="217" t="b">
        <v>1</v>
      </c>
      <c r="W266" s="217">
        <v>1989</v>
      </c>
      <c r="X266" s="217">
        <v>5</v>
      </c>
      <c r="Y266" s="217">
        <v>2</v>
      </c>
      <c r="Z266" s="217">
        <v>4</v>
      </c>
      <c r="AA266" s="215" t="s">
        <v>447</v>
      </c>
      <c r="AB266" s="215" t="s">
        <v>531</v>
      </c>
      <c r="AC266" s="215" t="s">
        <v>533</v>
      </c>
      <c r="AD266" s="217">
        <v>2.3802949999999998</v>
      </c>
      <c r="AE266" s="217">
        <v>44</v>
      </c>
      <c r="AF266" s="217">
        <v>5.7000000000000002E-3</v>
      </c>
      <c r="AG266" s="217">
        <v>-99</v>
      </c>
      <c r="AH266" s="215" t="s">
        <v>224</v>
      </c>
      <c r="AI266" s="215" t="s">
        <v>449</v>
      </c>
      <c r="AJ266" s="215" t="s">
        <v>400</v>
      </c>
      <c r="AK266" s="215" t="s">
        <v>531</v>
      </c>
      <c r="AL266" s="215" t="s">
        <v>401</v>
      </c>
      <c r="AM266" s="217" t="b">
        <v>1</v>
      </c>
      <c r="AN266" s="217" t="b">
        <v>0</v>
      </c>
      <c r="AO266" s="215" t="s">
        <v>402</v>
      </c>
      <c r="AP266" s="215" t="s">
        <v>403</v>
      </c>
      <c r="AQ266" s="217">
        <v>120.19158</v>
      </c>
      <c r="AR266" s="217" t="b">
        <v>0</v>
      </c>
      <c r="AS266" s="215" t="s">
        <v>534</v>
      </c>
      <c r="AU266" s="222" t="s">
        <v>819</v>
      </c>
    </row>
    <row r="267" spans="1:47" s="218" customFormat="1" x14ac:dyDescent="0.25">
      <c r="A267" s="245">
        <f t="shared" si="32"/>
        <v>362</v>
      </c>
      <c r="B267" s="246" t="str">
        <f t="shared" si="25"/>
        <v>Oil Field - Well</v>
      </c>
      <c r="C267" s="246" t="str">
        <f ca="1">IF(B267="","",VLOOKUP(D267,'Species Data'!B:E,4,FALSE))</f>
        <v>trimethben123</v>
      </c>
      <c r="D267" s="246">
        <f t="shared" ca="1" si="26"/>
        <v>25</v>
      </c>
      <c r="E267" s="246">
        <f t="shared" ca="1" si="27"/>
        <v>2.9899999999999999E-2</v>
      </c>
      <c r="F267" s="246" t="str">
        <f t="shared" ca="1" si="28"/>
        <v>1,2,3-trimethylbenzene</v>
      </c>
      <c r="G267" s="246">
        <f t="shared" ca="1" si="29"/>
        <v>120.19158</v>
      </c>
      <c r="H267" s="204">
        <f ca="1">IF(G267="","",IF(VLOOKUP(Well_Head!F267,'Species Data'!D:F,3,FALSE)=0,"X",IF(G267&lt;44.1,2,1)))</f>
        <v>1</v>
      </c>
      <c r="I267" s="204">
        <f t="shared" ca="1" si="30"/>
        <v>0.15947797269529998</v>
      </c>
      <c r="J267" s="247">
        <f ca="1">IF(I267="","",IF(COUNTIF($D$12:D267,D267)=1,IF(H267=1,I267*H267,IF(H267="X","X",0)),0))</f>
        <v>0</v>
      </c>
      <c r="K267" s="248">
        <f t="shared" ca="1" si="31"/>
        <v>0</v>
      </c>
      <c r="L267" s="239" t="s">
        <v>626</v>
      </c>
      <c r="M267" s="215" t="s">
        <v>448</v>
      </c>
      <c r="N267" s="215" t="s">
        <v>470</v>
      </c>
      <c r="O267" s="216">
        <v>41419</v>
      </c>
      <c r="P267" s="215" t="s">
        <v>531</v>
      </c>
      <c r="Q267" s="217">
        <v>100</v>
      </c>
      <c r="R267" s="215" t="s">
        <v>445</v>
      </c>
      <c r="S267" s="215" t="s">
        <v>532</v>
      </c>
      <c r="T267" s="215" t="s">
        <v>445</v>
      </c>
      <c r="U267" s="215" t="s">
        <v>446</v>
      </c>
      <c r="V267" s="217" t="b">
        <v>1</v>
      </c>
      <c r="W267" s="217">
        <v>1989</v>
      </c>
      <c r="X267" s="217">
        <v>5</v>
      </c>
      <c r="Y267" s="217">
        <v>2</v>
      </c>
      <c r="Z267" s="217">
        <v>4</v>
      </c>
      <c r="AA267" s="215" t="s">
        <v>447</v>
      </c>
      <c r="AB267" s="215" t="s">
        <v>531</v>
      </c>
      <c r="AC267" s="215" t="s">
        <v>533</v>
      </c>
      <c r="AD267" s="217">
        <v>2.3802949999999998</v>
      </c>
      <c r="AE267" s="217">
        <v>59</v>
      </c>
      <c r="AF267" s="217">
        <v>4.1999999999999997E-3</v>
      </c>
      <c r="AG267" s="217">
        <v>-99</v>
      </c>
      <c r="AH267" s="215" t="s">
        <v>224</v>
      </c>
      <c r="AI267" s="215" t="s">
        <v>449</v>
      </c>
      <c r="AJ267" s="215" t="s">
        <v>638</v>
      </c>
      <c r="AK267" s="215" t="s">
        <v>531</v>
      </c>
      <c r="AL267" s="215" t="s">
        <v>639</v>
      </c>
      <c r="AM267" s="217" t="b">
        <v>1</v>
      </c>
      <c r="AN267" s="217" t="b">
        <v>0</v>
      </c>
      <c r="AO267" s="215" t="s">
        <v>640</v>
      </c>
      <c r="AP267" s="215" t="s">
        <v>641</v>
      </c>
      <c r="AQ267" s="217">
        <v>134.21816000000001</v>
      </c>
      <c r="AR267" s="217" t="b">
        <v>0</v>
      </c>
      <c r="AS267" s="215" t="s">
        <v>534</v>
      </c>
      <c r="AU267" s="222" t="s">
        <v>819</v>
      </c>
    </row>
    <row r="268" spans="1:47" s="218" customFormat="1" x14ac:dyDescent="0.25">
      <c r="A268" s="245">
        <f t="shared" si="32"/>
        <v>363</v>
      </c>
      <c r="B268" s="246" t="str">
        <f t="shared" ref="B268:B331" si="33">IF(ROW(A268)-(ROW($A$12))&lt;$B$10,$B$9,"")</f>
        <v>Oil Field - Well</v>
      </c>
      <c r="C268" s="246" t="str">
        <f ca="1">IF(B268="","",VLOOKUP(D268,'Species Data'!B:E,4,FALSE))</f>
        <v>trimetben124</v>
      </c>
      <c r="D268" s="246">
        <f t="shared" ca="1" si="26"/>
        <v>30</v>
      </c>
      <c r="E268" s="246">
        <f t="shared" ca="1" si="27"/>
        <v>4.7300000000000002E-2</v>
      </c>
      <c r="F268" s="246" t="str">
        <f t="shared" ca="1" si="28"/>
        <v>1,2,4-trimethylbenzene  (1,3,4-trimethylbenzene)</v>
      </c>
      <c r="G268" s="246">
        <f t="shared" ca="1" si="29"/>
        <v>120.19158</v>
      </c>
      <c r="H268" s="204">
        <f ca="1">IF(G268="","",IF(VLOOKUP(Well_Head!F268,'Species Data'!D:F,3,FALSE)=0,"X",IF(G268&lt;44.1,2,1)))</f>
        <v>1</v>
      </c>
      <c r="I268" s="204">
        <f t="shared" ca="1" si="30"/>
        <v>0.18081133210273925</v>
      </c>
      <c r="J268" s="247">
        <f ca="1">IF(I268="","",IF(COUNTIF($D$12:D268,D268)=1,IF(H268=1,I268*H268,IF(H268="X","X",0)),0))</f>
        <v>0</v>
      </c>
      <c r="K268" s="248">
        <f t="shared" ca="1" si="31"/>
        <v>0</v>
      </c>
      <c r="L268" s="239" t="s">
        <v>626</v>
      </c>
      <c r="M268" s="215" t="s">
        <v>448</v>
      </c>
      <c r="N268" s="215" t="s">
        <v>470</v>
      </c>
      <c r="O268" s="216">
        <v>41419</v>
      </c>
      <c r="P268" s="215" t="s">
        <v>531</v>
      </c>
      <c r="Q268" s="217">
        <v>100</v>
      </c>
      <c r="R268" s="215" t="s">
        <v>445</v>
      </c>
      <c r="S268" s="215" t="s">
        <v>532</v>
      </c>
      <c r="T268" s="215" t="s">
        <v>445</v>
      </c>
      <c r="U268" s="215" t="s">
        <v>446</v>
      </c>
      <c r="V268" s="217" t="b">
        <v>1</v>
      </c>
      <c r="W268" s="217">
        <v>1989</v>
      </c>
      <c r="X268" s="217">
        <v>5</v>
      </c>
      <c r="Y268" s="217">
        <v>2</v>
      </c>
      <c r="Z268" s="217">
        <v>4</v>
      </c>
      <c r="AA268" s="215" t="s">
        <v>447</v>
      </c>
      <c r="AB268" s="215" t="s">
        <v>531</v>
      </c>
      <c r="AC268" s="215" t="s">
        <v>533</v>
      </c>
      <c r="AD268" s="217">
        <v>2.3802949999999998</v>
      </c>
      <c r="AE268" s="217">
        <v>80</v>
      </c>
      <c r="AF268" s="217">
        <v>2.5999999999999999E-3</v>
      </c>
      <c r="AG268" s="217">
        <v>-99</v>
      </c>
      <c r="AH268" s="215" t="s">
        <v>224</v>
      </c>
      <c r="AI268" s="215" t="s">
        <v>449</v>
      </c>
      <c r="AJ268" s="215" t="s">
        <v>408</v>
      </c>
      <c r="AK268" s="215" t="s">
        <v>531</v>
      </c>
      <c r="AL268" s="215" t="s">
        <v>450</v>
      </c>
      <c r="AM268" s="217" t="b">
        <v>1</v>
      </c>
      <c r="AN268" s="217" t="b">
        <v>0</v>
      </c>
      <c r="AO268" s="215" t="s">
        <v>409</v>
      </c>
      <c r="AP268" s="215" t="s">
        <v>410</v>
      </c>
      <c r="AQ268" s="217">
        <v>120.19158</v>
      </c>
      <c r="AR268" s="217" t="b">
        <v>0</v>
      </c>
      <c r="AS268" s="215" t="s">
        <v>534</v>
      </c>
      <c r="AU268" s="222" t="s">
        <v>819</v>
      </c>
    </row>
    <row r="269" spans="1:47" s="218" customFormat="1" x14ac:dyDescent="0.25">
      <c r="A269" s="245">
        <f t="shared" si="32"/>
        <v>364</v>
      </c>
      <c r="B269" s="246" t="str">
        <f t="shared" si="33"/>
        <v>Oil Field - Well</v>
      </c>
      <c r="C269" s="246" t="str">
        <f ca="1">IF(B269="","",VLOOKUP(D269,'Species Data'!B:E,4,FALSE))</f>
        <v>dietben13</v>
      </c>
      <c r="D269" s="246">
        <f t="shared" ref="D269:D332" ca="1" si="34">IF(B269="","",INDIRECT("AE"&amp;$A269))</f>
        <v>51</v>
      </c>
      <c r="E269" s="246">
        <f t="shared" ref="E269:E332" ca="1" si="35">IF(D269="","",INDIRECT("AF"&amp;$A269))</f>
        <v>2.46E-2</v>
      </c>
      <c r="F269" s="246" t="str">
        <f t="shared" ref="F269:F332" ca="1" si="36">IF(E269="","",INDIRECT("AO"&amp;$A269))</f>
        <v>1,3-diethylbenzene (meta)</v>
      </c>
      <c r="G269" s="246">
        <f t="shared" ref="G269:G332" ca="1" si="37">IF(F269="","",INDIRECT("AQ"&amp;$A269))</f>
        <v>134.21816000000001</v>
      </c>
      <c r="H269" s="204" t="str">
        <f ca="1">IF(G269="","",IF(VLOOKUP(Well_Head!F269,'Species Data'!D:F,3,FALSE)=0,"X",IF(G269&lt;44.1,2,1)))</f>
        <v>X</v>
      </c>
      <c r="I269" s="204">
        <f t="shared" ref="I269:I332" ca="1" si="38">IF(H269="","",SUMIF(D:D,D269,E:E)/($E$9/100))</f>
        <v>0.1341112750248917</v>
      </c>
      <c r="J269" s="247">
        <f ca="1">IF(I269="","",IF(COUNTIF($D$12:D269,D269)=1,IF(H269=1,I269*H269,IF(H269="X","X",0)),0))</f>
        <v>0</v>
      </c>
      <c r="K269" s="248">
        <f t="shared" ref="K269:K332" ca="1" si="39">IF(J269="","",IF(J269="X",0,J269/$J$9*100))</f>
        <v>0</v>
      </c>
      <c r="L269" s="239" t="s">
        <v>626</v>
      </c>
      <c r="M269" s="215" t="s">
        <v>448</v>
      </c>
      <c r="N269" s="215" t="s">
        <v>470</v>
      </c>
      <c r="O269" s="216">
        <v>41419</v>
      </c>
      <c r="P269" s="215" t="s">
        <v>531</v>
      </c>
      <c r="Q269" s="217">
        <v>100</v>
      </c>
      <c r="R269" s="215" t="s">
        <v>445</v>
      </c>
      <c r="S269" s="215" t="s">
        <v>532</v>
      </c>
      <c r="T269" s="215" t="s">
        <v>445</v>
      </c>
      <c r="U269" s="215" t="s">
        <v>446</v>
      </c>
      <c r="V269" s="217" t="b">
        <v>1</v>
      </c>
      <c r="W269" s="217">
        <v>1989</v>
      </c>
      <c r="X269" s="217">
        <v>5</v>
      </c>
      <c r="Y269" s="217">
        <v>2</v>
      </c>
      <c r="Z269" s="217">
        <v>4</v>
      </c>
      <c r="AA269" s="215" t="s">
        <v>447</v>
      </c>
      <c r="AB269" s="215" t="s">
        <v>531</v>
      </c>
      <c r="AC269" s="215" t="s">
        <v>533</v>
      </c>
      <c r="AD269" s="217">
        <v>2.3802949999999998</v>
      </c>
      <c r="AE269" s="217">
        <v>89</v>
      </c>
      <c r="AF269" s="217">
        <v>7.1999999999999998E-3</v>
      </c>
      <c r="AG269" s="217">
        <v>-99</v>
      </c>
      <c r="AH269" s="215" t="s">
        <v>224</v>
      </c>
      <c r="AI269" s="215" t="s">
        <v>449</v>
      </c>
      <c r="AJ269" s="215" t="s">
        <v>411</v>
      </c>
      <c r="AK269" s="215" t="s">
        <v>531</v>
      </c>
      <c r="AL269" s="215" t="s">
        <v>451</v>
      </c>
      <c r="AM269" s="217" t="b">
        <v>1</v>
      </c>
      <c r="AN269" s="217" t="b">
        <v>0</v>
      </c>
      <c r="AO269" s="215" t="s">
        <v>412</v>
      </c>
      <c r="AP269" s="215" t="s">
        <v>413</v>
      </c>
      <c r="AQ269" s="217">
        <v>120.19158</v>
      </c>
      <c r="AR269" s="217" t="b">
        <v>0</v>
      </c>
      <c r="AS269" s="215" t="s">
        <v>534</v>
      </c>
      <c r="AU269" s="222" t="s">
        <v>819</v>
      </c>
    </row>
    <row r="270" spans="1:47" s="218" customFormat="1" x14ac:dyDescent="0.25">
      <c r="A270" s="245">
        <f t="shared" si="32"/>
        <v>365</v>
      </c>
      <c r="B270" s="246" t="str">
        <f t="shared" si="33"/>
        <v>Oil Field - Well</v>
      </c>
      <c r="C270" s="246" t="str">
        <f ca="1">IF(B270="","",VLOOKUP(D270,'Species Data'!B:E,4,FALSE))</f>
        <v>ethben13</v>
      </c>
      <c r="D270" s="246">
        <f t="shared" ca="1" si="34"/>
        <v>89</v>
      </c>
      <c r="E270" s="246">
        <f t="shared" ca="1" si="35"/>
        <v>4.4600000000000001E-2</v>
      </c>
      <c r="F270" s="246" t="str">
        <f t="shared" ca="1" si="36"/>
        <v>1-Methyl-3-ethylbenzene (3-Ethyltoluene)</v>
      </c>
      <c r="G270" s="246">
        <f t="shared" ca="1" si="37"/>
        <v>120.19158</v>
      </c>
      <c r="H270" s="204">
        <f ca="1">IF(G270="","",IF(VLOOKUP(Well_Head!F270,'Species Data'!D:F,3,FALSE)=0,"X",IF(G270&lt;44.1,2,1)))</f>
        <v>1</v>
      </c>
      <c r="I270" s="204">
        <f t="shared" ca="1" si="38"/>
        <v>0.1338446080322987</v>
      </c>
      <c r="J270" s="247">
        <f ca="1">IF(I270="","",IF(COUNTIF($D$12:D270,D270)=1,IF(H270=1,I270*H270,IF(H270="X","X",0)),0))</f>
        <v>0</v>
      </c>
      <c r="K270" s="248">
        <f t="shared" ca="1" si="39"/>
        <v>0</v>
      </c>
      <c r="L270" s="239" t="s">
        <v>626</v>
      </c>
      <c r="M270" s="215" t="s">
        <v>448</v>
      </c>
      <c r="N270" s="215" t="s">
        <v>470</v>
      </c>
      <c r="O270" s="216">
        <v>41419</v>
      </c>
      <c r="P270" s="215" t="s">
        <v>531</v>
      </c>
      <c r="Q270" s="217">
        <v>100</v>
      </c>
      <c r="R270" s="215" t="s">
        <v>445</v>
      </c>
      <c r="S270" s="215" t="s">
        <v>532</v>
      </c>
      <c r="T270" s="215" t="s">
        <v>445</v>
      </c>
      <c r="U270" s="215" t="s">
        <v>446</v>
      </c>
      <c r="V270" s="217" t="b">
        <v>1</v>
      </c>
      <c r="W270" s="217">
        <v>1989</v>
      </c>
      <c r="X270" s="217">
        <v>5</v>
      </c>
      <c r="Y270" s="217">
        <v>2</v>
      </c>
      <c r="Z270" s="217">
        <v>4</v>
      </c>
      <c r="AA270" s="215" t="s">
        <v>447</v>
      </c>
      <c r="AB270" s="215" t="s">
        <v>531</v>
      </c>
      <c r="AC270" s="215" t="s">
        <v>533</v>
      </c>
      <c r="AD270" s="217">
        <v>2.3802949999999998</v>
      </c>
      <c r="AE270" s="217">
        <v>122</v>
      </c>
      <c r="AF270" s="217">
        <v>4.3799999999999999E-2</v>
      </c>
      <c r="AG270" s="217">
        <v>-99</v>
      </c>
      <c r="AH270" s="215" t="s">
        <v>224</v>
      </c>
      <c r="AI270" s="215" t="s">
        <v>449</v>
      </c>
      <c r="AJ270" s="215" t="s">
        <v>301</v>
      </c>
      <c r="AK270" s="215" t="s">
        <v>531</v>
      </c>
      <c r="AL270" s="215" t="s">
        <v>384</v>
      </c>
      <c r="AM270" s="217" t="b">
        <v>1</v>
      </c>
      <c r="AN270" s="217" t="b">
        <v>0</v>
      </c>
      <c r="AO270" s="215" t="s">
        <v>302</v>
      </c>
      <c r="AP270" s="215" t="s">
        <v>303</v>
      </c>
      <c r="AQ270" s="217">
        <v>86.175359999999998</v>
      </c>
      <c r="AR270" s="217" t="b">
        <v>0</v>
      </c>
      <c r="AS270" s="215" t="s">
        <v>534</v>
      </c>
      <c r="AU270" s="222" t="s">
        <v>819</v>
      </c>
    </row>
    <row r="271" spans="1:47" s="218" customFormat="1" x14ac:dyDescent="0.25">
      <c r="A271" s="245">
        <f t="shared" si="32"/>
        <v>366</v>
      </c>
      <c r="B271" s="246" t="str">
        <f t="shared" si="33"/>
        <v>Oil Field - Well</v>
      </c>
      <c r="C271" s="246" t="str">
        <f ca="1">IF(B271="","",VLOOKUP(D271,'Species Data'!B:E,4,FALSE))</f>
        <v>dimethpro</v>
      </c>
      <c r="D271" s="246">
        <f t="shared" ca="1" si="34"/>
        <v>127</v>
      </c>
      <c r="E271" s="246">
        <f t="shared" ca="1" si="35"/>
        <v>1.14E-2</v>
      </c>
      <c r="F271" s="246" t="str">
        <f t="shared" ca="1" si="36"/>
        <v>2,2-dimethylpropane</v>
      </c>
      <c r="G271" s="246">
        <f t="shared" ca="1" si="37"/>
        <v>72.148780000000002</v>
      </c>
      <c r="H271" s="204">
        <f ca="1">IF(G271="","",IF(VLOOKUP(Well_Head!F271,'Species Data'!D:F,3,FALSE)=0,"X",IF(G271&lt;44.1,2,1)))</f>
        <v>1</v>
      </c>
      <c r="I271" s="204">
        <f t="shared" ca="1" si="38"/>
        <v>0.12532237539401436</v>
      </c>
      <c r="J271" s="247">
        <f ca="1">IF(I271="","",IF(COUNTIF($D$12:D271,D271)=1,IF(H271=1,I271*H271,IF(H271="X","X",0)),0))</f>
        <v>0</v>
      </c>
      <c r="K271" s="248">
        <f t="shared" ca="1" si="39"/>
        <v>0</v>
      </c>
      <c r="L271" s="239" t="s">
        <v>626</v>
      </c>
      <c r="M271" s="215" t="s">
        <v>448</v>
      </c>
      <c r="N271" s="215" t="s">
        <v>470</v>
      </c>
      <c r="O271" s="216">
        <v>41419</v>
      </c>
      <c r="P271" s="215" t="s">
        <v>531</v>
      </c>
      <c r="Q271" s="217">
        <v>100</v>
      </c>
      <c r="R271" s="215" t="s">
        <v>445</v>
      </c>
      <c r="S271" s="215" t="s">
        <v>532</v>
      </c>
      <c r="T271" s="215" t="s">
        <v>445</v>
      </c>
      <c r="U271" s="215" t="s">
        <v>446</v>
      </c>
      <c r="V271" s="217" t="b">
        <v>1</v>
      </c>
      <c r="W271" s="217">
        <v>1989</v>
      </c>
      <c r="X271" s="217">
        <v>5</v>
      </c>
      <c r="Y271" s="217">
        <v>2</v>
      </c>
      <c r="Z271" s="217">
        <v>4</v>
      </c>
      <c r="AA271" s="215" t="s">
        <v>447</v>
      </c>
      <c r="AB271" s="215" t="s">
        <v>531</v>
      </c>
      <c r="AC271" s="215" t="s">
        <v>533</v>
      </c>
      <c r="AD271" s="217">
        <v>2.3802949999999998</v>
      </c>
      <c r="AE271" s="217">
        <v>127</v>
      </c>
      <c r="AF271" s="217">
        <v>2.0299999999999999E-2</v>
      </c>
      <c r="AG271" s="217">
        <v>-99</v>
      </c>
      <c r="AH271" s="215" t="s">
        <v>224</v>
      </c>
      <c r="AI271" s="215" t="s">
        <v>449</v>
      </c>
      <c r="AJ271" s="215" t="s">
        <v>441</v>
      </c>
      <c r="AK271" s="215" t="s">
        <v>531</v>
      </c>
      <c r="AL271" s="215" t="s">
        <v>462</v>
      </c>
      <c r="AM271" s="217" t="b">
        <v>0</v>
      </c>
      <c r="AN271" s="217" t="b">
        <v>0</v>
      </c>
      <c r="AO271" s="215" t="s">
        <v>442</v>
      </c>
      <c r="AP271" s="215" t="s">
        <v>531</v>
      </c>
      <c r="AQ271" s="217">
        <v>72.148780000000002</v>
      </c>
      <c r="AR271" s="217" t="b">
        <v>0</v>
      </c>
      <c r="AS271" s="215" t="s">
        <v>534</v>
      </c>
      <c r="AU271" s="222" t="s">
        <v>819</v>
      </c>
    </row>
    <row r="272" spans="1:47" s="218" customFormat="1" x14ac:dyDescent="0.25">
      <c r="A272" s="245">
        <f t="shared" si="32"/>
        <v>367</v>
      </c>
      <c r="B272" s="246" t="str">
        <f t="shared" si="33"/>
        <v>Oil Field - Well</v>
      </c>
      <c r="C272" s="246" t="str">
        <f ca="1">IF(B272="","",VLOOKUP(D272,'Species Data'!B:E,4,FALSE))</f>
        <v>trimentpen3</v>
      </c>
      <c r="D272" s="246">
        <f t="shared" ca="1" si="34"/>
        <v>130</v>
      </c>
      <c r="E272" s="246">
        <f t="shared" ca="1" si="35"/>
        <v>1.55E-2</v>
      </c>
      <c r="F272" s="246" t="str">
        <f t="shared" ca="1" si="36"/>
        <v>2,3,4-trimethylpentane</v>
      </c>
      <c r="G272" s="246">
        <f t="shared" ca="1" si="37"/>
        <v>114.22852</v>
      </c>
      <c r="H272" s="204">
        <f ca="1">IF(G272="","",IF(VLOOKUP(Well_Head!F272,'Species Data'!D:F,3,FALSE)=0,"X",IF(G272&lt;44.1,2,1)))</f>
        <v>1</v>
      </c>
      <c r="I272" s="204">
        <f t="shared" ca="1" si="38"/>
        <v>0.18992245434966645</v>
      </c>
      <c r="J272" s="247">
        <f ca="1">IF(I272="","",IF(COUNTIF($D$12:D272,D272)=1,IF(H272=1,I272*H272,IF(H272="X","X",0)),0))</f>
        <v>0</v>
      </c>
      <c r="K272" s="248">
        <f t="shared" ca="1" si="39"/>
        <v>0</v>
      </c>
      <c r="L272" s="239" t="s">
        <v>626</v>
      </c>
      <c r="M272" s="215" t="s">
        <v>448</v>
      </c>
      <c r="N272" s="215" t="s">
        <v>470</v>
      </c>
      <c r="O272" s="216">
        <v>41419</v>
      </c>
      <c r="P272" s="215" t="s">
        <v>531</v>
      </c>
      <c r="Q272" s="217">
        <v>100</v>
      </c>
      <c r="R272" s="215" t="s">
        <v>445</v>
      </c>
      <c r="S272" s="215" t="s">
        <v>532</v>
      </c>
      <c r="T272" s="215" t="s">
        <v>445</v>
      </c>
      <c r="U272" s="215" t="s">
        <v>446</v>
      </c>
      <c r="V272" s="217" t="b">
        <v>1</v>
      </c>
      <c r="W272" s="217">
        <v>1989</v>
      </c>
      <c r="X272" s="217">
        <v>5</v>
      </c>
      <c r="Y272" s="217">
        <v>2</v>
      </c>
      <c r="Z272" s="217">
        <v>4</v>
      </c>
      <c r="AA272" s="215" t="s">
        <v>447</v>
      </c>
      <c r="AB272" s="215" t="s">
        <v>531</v>
      </c>
      <c r="AC272" s="215" t="s">
        <v>533</v>
      </c>
      <c r="AD272" s="217">
        <v>2.3802949999999998</v>
      </c>
      <c r="AE272" s="217">
        <v>130</v>
      </c>
      <c r="AF272" s="217">
        <v>0.25259999999999999</v>
      </c>
      <c r="AG272" s="217">
        <v>-99</v>
      </c>
      <c r="AH272" s="215" t="s">
        <v>224</v>
      </c>
      <c r="AI272" s="215" t="s">
        <v>449</v>
      </c>
      <c r="AJ272" s="215" t="s">
        <v>404</v>
      </c>
      <c r="AK272" s="215" t="s">
        <v>531</v>
      </c>
      <c r="AL272" s="215" t="s">
        <v>405</v>
      </c>
      <c r="AM272" s="217" t="b">
        <v>1</v>
      </c>
      <c r="AN272" s="217" t="b">
        <v>0</v>
      </c>
      <c r="AO272" s="215" t="s">
        <v>406</v>
      </c>
      <c r="AP272" s="215" t="s">
        <v>407</v>
      </c>
      <c r="AQ272" s="217">
        <v>114.22852</v>
      </c>
      <c r="AR272" s="217" t="b">
        <v>0</v>
      </c>
      <c r="AS272" s="215" t="s">
        <v>534</v>
      </c>
      <c r="AU272" s="222" t="s">
        <v>819</v>
      </c>
    </row>
    <row r="273" spans="1:47" s="218" customFormat="1" x14ac:dyDescent="0.25">
      <c r="A273" s="245">
        <f t="shared" si="32"/>
        <v>368</v>
      </c>
      <c r="B273" s="246" t="str">
        <f t="shared" si="33"/>
        <v>Oil Field - Well</v>
      </c>
      <c r="C273" s="246" t="str">
        <f ca="1">IF(B273="","",VLOOKUP(D273,'Species Data'!B:E,4,FALSE))</f>
        <v>dimethhex23</v>
      </c>
      <c r="D273" s="246">
        <f t="shared" ca="1" si="34"/>
        <v>138</v>
      </c>
      <c r="E273" s="246">
        <f t="shared" ca="1" si="35"/>
        <v>4.53E-2</v>
      </c>
      <c r="F273" s="246" t="str">
        <f t="shared" ca="1" si="36"/>
        <v>2,3-dimethylhexane</v>
      </c>
      <c r="G273" s="246">
        <f t="shared" ca="1" si="37"/>
        <v>114.22852</v>
      </c>
      <c r="H273" s="204">
        <f ca="1">IF(G273="","",IF(VLOOKUP(Well_Head!F273,'Species Data'!D:F,3,FALSE)=0,"X",IF(G273&lt;44.1,2,1)))</f>
        <v>1</v>
      </c>
      <c r="I273" s="204">
        <f t="shared" ca="1" si="38"/>
        <v>5.9266739103792238E-2</v>
      </c>
      <c r="J273" s="247">
        <f ca="1">IF(I273="","",IF(COUNTIF($D$12:D273,D273)=1,IF(H273=1,I273*H273,IF(H273="X","X",0)),0))</f>
        <v>0</v>
      </c>
      <c r="K273" s="248">
        <f t="shared" ca="1" si="39"/>
        <v>0</v>
      </c>
      <c r="L273" s="239" t="s">
        <v>626</v>
      </c>
      <c r="M273" s="215" t="s">
        <v>448</v>
      </c>
      <c r="N273" s="215" t="s">
        <v>470</v>
      </c>
      <c r="O273" s="216">
        <v>41419</v>
      </c>
      <c r="P273" s="215" t="s">
        <v>531</v>
      </c>
      <c r="Q273" s="217">
        <v>100</v>
      </c>
      <c r="R273" s="215" t="s">
        <v>445</v>
      </c>
      <c r="S273" s="215" t="s">
        <v>532</v>
      </c>
      <c r="T273" s="215" t="s">
        <v>445</v>
      </c>
      <c r="U273" s="215" t="s">
        <v>446</v>
      </c>
      <c r="V273" s="217" t="b">
        <v>1</v>
      </c>
      <c r="W273" s="217">
        <v>1989</v>
      </c>
      <c r="X273" s="217">
        <v>5</v>
      </c>
      <c r="Y273" s="217">
        <v>2</v>
      </c>
      <c r="Z273" s="217">
        <v>4</v>
      </c>
      <c r="AA273" s="215" t="s">
        <v>447</v>
      </c>
      <c r="AB273" s="215" t="s">
        <v>531</v>
      </c>
      <c r="AC273" s="215" t="s">
        <v>533</v>
      </c>
      <c r="AD273" s="217">
        <v>2.3802949999999998</v>
      </c>
      <c r="AE273" s="217">
        <v>136</v>
      </c>
      <c r="AF273" s="217">
        <v>0.1474</v>
      </c>
      <c r="AG273" s="217">
        <v>-99</v>
      </c>
      <c r="AH273" s="215" t="s">
        <v>224</v>
      </c>
      <c r="AI273" s="215" t="s">
        <v>449</v>
      </c>
      <c r="AJ273" s="215" t="s">
        <v>304</v>
      </c>
      <c r="AK273" s="215" t="s">
        <v>531</v>
      </c>
      <c r="AL273" s="215" t="s">
        <v>620</v>
      </c>
      <c r="AM273" s="217" t="b">
        <v>1</v>
      </c>
      <c r="AN273" s="217" t="b">
        <v>0</v>
      </c>
      <c r="AO273" s="215" t="s">
        <v>305</v>
      </c>
      <c r="AP273" s="215" t="s">
        <v>306</v>
      </c>
      <c r="AQ273" s="217">
        <v>86.175359999999998</v>
      </c>
      <c r="AR273" s="217" t="b">
        <v>0</v>
      </c>
      <c r="AS273" s="215" t="s">
        <v>534</v>
      </c>
      <c r="AU273" s="222" t="s">
        <v>819</v>
      </c>
    </row>
    <row r="274" spans="1:47" s="218" customFormat="1" x14ac:dyDescent="0.25">
      <c r="A274" s="245">
        <f t="shared" si="32"/>
        <v>369</v>
      </c>
      <c r="B274" s="246" t="str">
        <f t="shared" si="33"/>
        <v>Oil Field - Well</v>
      </c>
      <c r="C274" s="246" t="str">
        <f ca="1">IF(B274="","",VLOOKUP(D274,'Species Data'!B:E,4,FALSE))</f>
        <v>dimetpen3</v>
      </c>
      <c r="D274" s="246">
        <f t="shared" ca="1" si="34"/>
        <v>140</v>
      </c>
      <c r="E274" s="246">
        <f t="shared" ca="1" si="35"/>
        <v>0.23019999999999999</v>
      </c>
      <c r="F274" s="246" t="str">
        <f t="shared" ca="1" si="36"/>
        <v>2,3-dimethylpentane</v>
      </c>
      <c r="G274" s="246">
        <f t="shared" ca="1" si="37"/>
        <v>100.20194000000001</v>
      </c>
      <c r="H274" s="204">
        <f ca="1">IF(G274="","",IF(VLOOKUP(Well_Head!F274,'Species Data'!D:F,3,FALSE)=0,"X",IF(G274&lt;44.1,2,1)))</f>
        <v>1</v>
      </c>
      <c r="I274" s="204">
        <f t="shared" ca="1" si="38"/>
        <v>0.38365602446847435</v>
      </c>
      <c r="J274" s="247">
        <f ca="1">IF(I274="","",IF(COUNTIF($D$12:D274,D274)=1,IF(H274=1,I274*H274,IF(H274="X","X",0)),0))</f>
        <v>0</v>
      </c>
      <c r="K274" s="248">
        <f t="shared" ca="1" si="39"/>
        <v>0</v>
      </c>
      <c r="L274" s="239" t="s">
        <v>626</v>
      </c>
      <c r="M274" s="215" t="s">
        <v>448</v>
      </c>
      <c r="N274" s="215" t="s">
        <v>470</v>
      </c>
      <c r="O274" s="216">
        <v>41419</v>
      </c>
      <c r="P274" s="215" t="s">
        <v>531</v>
      </c>
      <c r="Q274" s="217">
        <v>100</v>
      </c>
      <c r="R274" s="215" t="s">
        <v>445</v>
      </c>
      <c r="S274" s="215" t="s">
        <v>532</v>
      </c>
      <c r="T274" s="215" t="s">
        <v>445</v>
      </c>
      <c r="U274" s="215" t="s">
        <v>446</v>
      </c>
      <c r="V274" s="217" t="b">
        <v>1</v>
      </c>
      <c r="W274" s="217">
        <v>1989</v>
      </c>
      <c r="X274" s="217">
        <v>5</v>
      </c>
      <c r="Y274" s="217">
        <v>2</v>
      </c>
      <c r="Z274" s="217">
        <v>4</v>
      </c>
      <c r="AA274" s="215" t="s">
        <v>447</v>
      </c>
      <c r="AB274" s="215" t="s">
        <v>531</v>
      </c>
      <c r="AC274" s="215" t="s">
        <v>533</v>
      </c>
      <c r="AD274" s="217">
        <v>2.3802949999999998</v>
      </c>
      <c r="AE274" s="217">
        <v>138</v>
      </c>
      <c r="AF274" s="217">
        <v>1.7500000000000002E-2</v>
      </c>
      <c r="AG274" s="217">
        <v>-99</v>
      </c>
      <c r="AH274" s="215" t="s">
        <v>224</v>
      </c>
      <c r="AI274" s="215" t="s">
        <v>449</v>
      </c>
      <c r="AJ274" s="215" t="s">
        <v>443</v>
      </c>
      <c r="AK274" s="215" t="s">
        <v>531</v>
      </c>
      <c r="AL274" s="215" t="s">
        <v>463</v>
      </c>
      <c r="AM274" s="217" t="b">
        <v>0</v>
      </c>
      <c r="AN274" s="217" t="b">
        <v>0</v>
      </c>
      <c r="AO274" s="215" t="s">
        <v>444</v>
      </c>
      <c r="AP274" s="215" t="s">
        <v>531</v>
      </c>
      <c r="AQ274" s="217">
        <v>114.22852</v>
      </c>
      <c r="AR274" s="217" t="b">
        <v>0</v>
      </c>
      <c r="AS274" s="215" t="s">
        <v>534</v>
      </c>
      <c r="AU274" s="222" t="s">
        <v>819</v>
      </c>
    </row>
    <row r="275" spans="1:47" s="218" customFormat="1" x14ac:dyDescent="0.25">
      <c r="A275" s="245">
        <f t="shared" si="32"/>
        <v>370</v>
      </c>
      <c r="B275" s="246" t="str">
        <f t="shared" si="33"/>
        <v>Oil Field - Well</v>
      </c>
      <c r="C275" s="246" t="str">
        <f ca="1">IF(B275="","",VLOOKUP(D275,'Species Data'!B:E,4,FALSE))</f>
        <v>dimetpen4</v>
      </c>
      <c r="D275" s="246">
        <f t="shared" ca="1" si="34"/>
        <v>152</v>
      </c>
      <c r="E275" s="246">
        <f t="shared" ca="1" si="35"/>
        <v>3.7499999999999999E-2</v>
      </c>
      <c r="F275" s="246" t="str">
        <f t="shared" ca="1" si="36"/>
        <v>2,4-dimethylpentane</v>
      </c>
      <c r="G275" s="246">
        <f t="shared" ca="1" si="37"/>
        <v>100.20194000000001</v>
      </c>
      <c r="H275" s="204">
        <f ca="1">IF(G275="","",IF(VLOOKUP(Well_Head!F275,'Species Data'!D:F,3,FALSE)=0,"X",IF(G275&lt;44.1,2,1)))</f>
        <v>1</v>
      </c>
      <c r="I275" s="204">
        <f t="shared" ca="1" si="38"/>
        <v>0.15698908076443205</v>
      </c>
      <c r="J275" s="247">
        <f ca="1">IF(I275="","",IF(COUNTIF($D$12:D275,D275)=1,IF(H275=1,I275*H275,IF(H275="X","X",0)),0))</f>
        <v>0</v>
      </c>
      <c r="K275" s="248">
        <f t="shared" ca="1" si="39"/>
        <v>0</v>
      </c>
      <c r="L275" s="239" t="s">
        <v>626</v>
      </c>
      <c r="M275" s="215" t="s">
        <v>448</v>
      </c>
      <c r="N275" s="215" t="s">
        <v>470</v>
      </c>
      <c r="O275" s="216">
        <v>41419</v>
      </c>
      <c r="P275" s="215" t="s">
        <v>531</v>
      </c>
      <c r="Q275" s="217">
        <v>100</v>
      </c>
      <c r="R275" s="215" t="s">
        <v>445</v>
      </c>
      <c r="S275" s="215" t="s">
        <v>532</v>
      </c>
      <c r="T275" s="215" t="s">
        <v>445</v>
      </c>
      <c r="U275" s="215" t="s">
        <v>446</v>
      </c>
      <c r="V275" s="217" t="b">
        <v>1</v>
      </c>
      <c r="W275" s="217">
        <v>1989</v>
      </c>
      <c r="X275" s="217">
        <v>5</v>
      </c>
      <c r="Y275" s="217">
        <v>2</v>
      </c>
      <c r="Z275" s="217">
        <v>4</v>
      </c>
      <c r="AA275" s="215" t="s">
        <v>447</v>
      </c>
      <c r="AB275" s="215" t="s">
        <v>531</v>
      </c>
      <c r="AC275" s="215" t="s">
        <v>533</v>
      </c>
      <c r="AD275" s="217">
        <v>2.3802949999999998</v>
      </c>
      <c r="AE275" s="217">
        <v>140</v>
      </c>
      <c r="AF275" s="217">
        <v>0.14280000000000001</v>
      </c>
      <c r="AG275" s="217">
        <v>-99</v>
      </c>
      <c r="AH275" s="215" t="s">
        <v>224</v>
      </c>
      <c r="AI275" s="215" t="s">
        <v>449</v>
      </c>
      <c r="AJ275" s="215" t="s">
        <v>307</v>
      </c>
      <c r="AK275" s="215" t="s">
        <v>531</v>
      </c>
      <c r="AL275" s="215" t="s">
        <v>385</v>
      </c>
      <c r="AM275" s="217" t="b">
        <v>1</v>
      </c>
      <c r="AN275" s="217" t="b">
        <v>0</v>
      </c>
      <c r="AO275" s="215" t="s">
        <v>308</v>
      </c>
      <c r="AP275" s="215" t="s">
        <v>309</v>
      </c>
      <c r="AQ275" s="217">
        <v>100.20194000000001</v>
      </c>
      <c r="AR275" s="217" t="b">
        <v>0</v>
      </c>
      <c r="AS275" s="215" t="s">
        <v>534</v>
      </c>
      <c r="AU275" s="222" t="s">
        <v>819</v>
      </c>
    </row>
    <row r="276" spans="1:47" s="218" customFormat="1" x14ac:dyDescent="0.25">
      <c r="A276" s="245">
        <f t="shared" si="32"/>
        <v>371</v>
      </c>
      <c r="B276" s="246" t="str">
        <f t="shared" si="33"/>
        <v>Oil Field - Well</v>
      </c>
      <c r="C276" s="246" t="str">
        <f ca="1">IF(B276="","",VLOOKUP(D276,'Species Data'!B:E,4,FALSE))</f>
        <v>methep2</v>
      </c>
      <c r="D276" s="246">
        <f t="shared" ca="1" si="34"/>
        <v>193</v>
      </c>
      <c r="E276" s="246">
        <f t="shared" ca="1" si="35"/>
        <v>0.39679999999999999</v>
      </c>
      <c r="F276" s="246" t="str">
        <f t="shared" ca="1" si="36"/>
        <v>2-methylheptane</v>
      </c>
      <c r="G276" s="246">
        <f t="shared" ca="1" si="37"/>
        <v>114.22852</v>
      </c>
      <c r="H276" s="204">
        <f ca="1">IF(G276="","",IF(VLOOKUP(Well_Head!F276,'Species Data'!D:F,3,FALSE)=0,"X",IF(G276&lt;44.1,2,1)))</f>
        <v>1</v>
      </c>
      <c r="I276" s="204">
        <f t="shared" ca="1" si="38"/>
        <v>0.21534470764353159</v>
      </c>
      <c r="J276" s="247">
        <f ca="1">IF(I276="","",IF(COUNTIF($D$12:D276,D276)=1,IF(H276=1,I276*H276,IF(H276="X","X",0)),0))</f>
        <v>0</v>
      </c>
      <c r="K276" s="248">
        <f t="shared" ca="1" si="39"/>
        <v>0</v>
      </c>
      <c r="L276" s="239" t="s">
        <v>626</v>
      </c>
      <c r="M276" s="215" t="s">
        <v>448</v>
      </c>
      <c r="N276" s="215" t="s">
        <v>470</v>
      </c>
      <c r="O276" s="216">
        <v>41419</v>
      </c>
      <c r="P276" s="215" t="s">
        <v>531</v>
      </c>
      <c r="Q276" s="217">
        <v>100</v>
      </c>
      <c r="R276" s="215" t="s">
        <v>445</v>
      </c>
      <c r="S276" s="215" t="s">
        <v>532</v>
      </c>
      <c r="T276" s="215" t="s">
        <v>445</v>
      </c>
      <c r="U276" s="215" t="s">
        <v>446</v>
      </c>
      <c r="V276" s="217" t="b">
        <v>1</v>
      </c>
      <c r="W276" s="217">
        <v>1989</v>
      </c>
      <c r="X276" s="217">
        <v>5</v>
      </c>
      <c r="Y276" s="217">
        <v>2</v>
      </c>
      <c r="Z276" s="217">
        <v>4</v>
      </c>
      <c r="AA276" s="215" t="s">
        <v>447</v>
      </c>
      <c r="AB276" s="215" t="s">
        <v>531</v>
      </c>
      <c r="AC276" s="215" t="s">
        <v>533</v>
      </c>
      <c r="AD276" s="217">
        <v>2.3802949999999998</v>
      </c>
      <c r="AE276" s="217">
        <v>149</v>
      </c>
      <c r="AF276" s="217">
        <v>0.1227</v>
      </c>
      <c r="AG276" s="217">
        <v>-99</v>
      </c>
      <c r="AH276" s="215" t="s">
        <v>224</v>
      </c>
      <c r="AI276" s="215" t="s">
        <v>449</v>
      </c>
      <c r="AJ276" s="215" t="s">
        <v>427</v>
      </c>
      <c r="AK276" s="215" t="s">
        <v>531</v>
      </c>
      <c r="AL276" s="215" t="s">
        <v>457</v>
      </c>
      <c r="AM276" s="217" t="b">
        <v>0</v>
      </c>
      <c r="AN276" s="217" t="b">
        <v>0</v>
      </c>
      <c r="AO276" s="215" t="s">
        <v>428</v>
      </c>
      <c r="AP276" s="215" t="s">
        <v>429</v>
      </c>
      <c r="AQ276" s="217">
        <v>114.22852</v>
      </c>
      <c r="AR276" s="217" t="b">
        <v>0</v>
      </c>
      <c r="AS276" s="215" t="s">
        <v>534</v>
      </c>
      <c r="AU276" s="222" t="s">
        <v>819</v>
      </c>
    </row>
    <row r="277" spans="1:47" s="218" customFormat="1" x14ac:dyDescent="0.25">
      <c r="A277" s="245">
        <f t="shared" si="32"/>
        <v>372</v>
      </c>
      <c r="B277" s="246" t="str">
        <f t="shared" si="33"/>
        <v>Oil Field - Well</v>
      </c>
      <c r="C277" s="246" t="str">
        <f ca="1">IF(B277="","",VLOOKUP(D277,'Species Data'!B:E,4,FALSE))</f>
        <v>twomethex</v>
      </c>
      <c r="D277" s="246">
        <f t="shared" ca="1" si="34"/>
        <v>194</v>
      </c>
      <c r="E277" s="246">
        <f t="shared" ca="1" si="35"/>
        <v>0.36180000000000001</v>
      </c>
      <c r="F277" s="246" t="str">
        <f t="shared" ca="1" si="36"/>
        <v>2-methylhexane</v>
      </c>
      <c r="G277" s="246">
        <f t="shared" ca="1" si="37"/>
        <v>100.20194000000001</v>
      </c>
      <c r="H277" s="204">
        <f ca="1">IF(G277="","",IF(VLOOKUP(Well_Head!F277,'Species Data'!D:F,3,FALSE)=0,"X",IF(G277&lt;44.1,2,1)))</f>
        <v>1</v>
      </c>
      <c r="I277" s="204">
        <f t="shared" ca="1" si="38"/>
        <v>0.3337892968535851</v>
      </c>
      <c r="J277" s="247">
        <f ca="1">IF(I277="","",IF(COUNTIF($D$12:D277,D277)=1,IF(H277=1,I277*H277,IF(H277="X","X",0)),0))</f>
        <v>0</v>
      </c>
      <c r="K277" s="248">
        <f t="shared" ca="1" si="39"/>
        <v>0</v>
      </c>
      <c r="L277" s="239" t="s">
        <v>626</v>
      </c>
      <c r="M277" s="215" t="s">
        <v>448</v>
      </c>
      <c r="N277" s="215" t="s">
        <v>470</v>
      </c>
      <c r="O277" s="216">
        <v>41419</v>
      </c>
      <c r="P277" s="215" t="s">
        <v>531</v>
      </c>
      <c r="Q277" s="217">
        <v>100</v>
      </c>
      <c r="R277" s="215" t="s">
        <v>445</v>
      </c>
      <c r="S277" s="215" t="s">
        <v>532</v>
      </c>
      <c r="T277" s="215" t="s">
        <v>445</v>
      </c>
      <c r="U277" s="215" t="s">
        <v>446</v>
      </c>
      <c r="V277" s="217" t="b">
        <v>1</v>
      </c>
      <c r="W277" s="217">
        <v>1989</v>
      </c>
      <c r="X277" s="217">
        <v>5</v>
      </c>
      <c r="Y277" s="217">
        <v>2</v>
      </c>
      <c r="Z277" s="217">
        <v>4</v>
      </c>
      <c r="AA277" s="215" t="s">
        <v>447</v>
      </c>
      <c r="AB277" s="215" t="s">
        <v>531</v>
      </c>
      <c r="AC277" s="215" t="s">
        <v>533</v>
      </c>
      <c r="AD277" s="217">
        <v>2.3802949999999998</v>
      </c>
      <c r="AE277" s="217">
        <v>152</v>
      </c>
      <c r="AF277" s="217">
        <v>4.4200000000000003E-2</v>
      </c>
      <c r="AG277" s="217">
        <v>-99</v>
      </c>
      <c r="AH277" s="215" t="s">
        <v>224</v>
      </c>
      <c r="AI277" s="215" t="s">
        <v>449</v>
      </c>
      <c r="AJ277" s="215" t="s">
        <v>310</v>
      </c>
      <c r="AK277" s="215" t="s">
        <v>531</v>
      </c>
      <c r="AL277" s="215" t="s">
        <v>386</v>
      </c>
      <c r="AM277" s="217" t="b">
        <v>1</v>
      </c>
      <c r="AN277" s="217" t="b">
        <v>0</v>
      </c>
      <c r="AO277" s="215" t="s">
        <v>311</v>
      </c>
      <c r="AP277" s="215" t="s">
        <v>312</v>
      </c>
      <c r="AQ277" s="217">
        <v>100.20194000000001</v>
      </c>
      <c r="AR277" s="217" t="b">
        <v>0</v>
      </c>
      <c r="AS277" s="215" t="s">
        <v>534</v>
      </c>
      <c r="AU277" s="222" t="s">
        <v>819</v>
      </c>
    </row>
    <row r="278" spans="1:47" s="218" customFormat="1" x14ac:dyDescent="0.25">
      <c r="A278" s="245">
        <f t="shared" si="32"/>
        <v>373</v>
      </c>
      <c r="B278" s="246" t="str">
        <f t="shared" si="33"/>
        <v>Oil Field - Well</v>
      </c>
      <c r="C278" s="246" t="str">
        <f ca="1">IF(B278="","",VLOOKUP(D278,'Species Data'!B:E,4,FALSE))</f>
        <v>twometpen</v>
      </c>
      <c r="D278" s="246">
        <f t="shared" ca="1" si="34"/>
        <v>199</v>
      </c>
      <c r="E278" s="246">
        <f t="shared" ca="1" si="35"/>
        <v>1.5350999999999999</v>
      </c>
      <c r="F278" s="246" t="str">
        <f t="shared" ca="1" si="36"/>
        <v>2-methylpentane (isohexane)</v>
      </c>
      <c r="G278" s="246">
        <f t="shared" ca="1" si="37"/>
        <v>86.175359999999998</v>
      </c>
      <c r="H278" s="204">
        <f ca="1">IF(G278="","",IF(VLOOKUP(Well_Head!F278,'Species Data'!D:F,3,FALSE)=0,"X",IF(G278&lt;44.1,2,1)))</f>
        <v>1</v>
      </c>
      <c r="I278" s="204">
        <f t="shared" ca="1" si="38"/>
        <v>0.797867641838229</v>
      </c>
      <c r="J278" s="247">
        <f ca="1">IF(I278="","",IF(COUNTIF($D$12:D278,D278)=1,IF(H278=1,I278*H278,IF(H278="X","X",0)),0))</f>
        <v>0</v>
      </c>
      <c r="K278" s="248">
        <f t="shared" ca="1" si="39"/>
        <v>0</v>
      </c>
      <c r="L278" s="239" t="s">
        <v>626</v>
      </c>
      <c r="M278" s="215" t="s">
        <v>448</v>
      </c>
      <c r="N278" s="215" t="s">
        <v>470</v>
      </c>
      <c r="O278" s="216">
        <v>41419</v>
      </c>
      <c r="P278" s="215" t="s">
        <v>531</v>
      </c>
      <c r="Q278" s="217">
        <v>100</v>
      </c>
      <c r="R278" s="215" t="s">
        <v>445</v>
      </c>
      <c r="S278" s="215" t="s">
        <v>532</v>
      </c>
      <c r="T278" s="215" t="s">
        <v>445</v>
      </c>
      <c r="U278" s="215" t="s">
        <v>446</v>
      </c>
      <c r="V278" s="217" t="b">
        <v>1</v>
      </c>
      <c r="W278" s="217">
        <v>1989</v>
      </c>
      <c r="X278" s="217">
        <v>5</v>
      </c>
      <c r="Y278" s="217">
        <v>2</v>
      </c>
      <c r="Z278" s="217">
        <v>4</v>
      </c>
      <c r="AA278" s="215" t="s">
        <v>447</v>
      </c>
      <c r="AB278" s="215" t="s">
        <v>531</v>
      </c>
      <c r="AC278" s="215" t="s">
        <v>533</v>
      </c>
      <c r="AD278" s="217">
        <v>2.3802949999999998</v>
      </c>
      <c r="AE278" s="217">
        <v>193</v>
      </c>
      <c r="AF278" s="217">
        <v>2.3599999999999999E-2</v>
      </c>
      <c r="AG278" s="217">
        <v>-99</v>
      </c>
      <c r="AH278" s="215" t="s">
        <v>224</v>
      </c>
      <c r="AI278" s="215" t="s">
        <v>449</v>
      </c>
      <c r="AJ278" s="215" t="s">
        <v>313</v>
      </c>
      <c r="AK278" s="215" t="s">
        <v>531</v>
      </c>
      <c r="AL278" s="215" t="s">
        <v>387</v>
      </c>
      <c r="AM278" s="217" t="b">
        <v>1</v>
      </c>
      <c r="AN278" s="217" t="b">
        <v>0</v>
      </c>
      <c r="AO278" s="215" t="s">
        <v>314</v>
      </c>
      <c r="AP278" s="215" t="s">
        <v>315</v>
      </c>
      <c r="AQ278" s="217">
        <v>114.22852</v>
      </c>
      <c r="AR278" s="217" t="b">
        <v>0</v>
      </c>
      <c r="AS278" s="215" t="s">
        <v>534</v>
      </c>
      <c r="AU278" s="222" t="s">
        <v>819</v>
      </c>
    </row>
    <row r="279" spans="1:47" s="218" customFormat="1" x14ac:dyDescent="0.25">
      <c r="A279" s="245">
        <f t="shared" si="32"/>
        <v>374</v>
      </c>
      <c r="B279" s="246" t="str">
        <f t="shared" si="33"/>
        <v>Oil Field - Well</v>
      </c>
      <c r="C279" s="246" t="str">
        <f ca="1">IF(B279="","",VLOOKUP(D279,'Species Data'!B:E,4,FALSE))</f>
        <v>ethylhexane</v>
      </c>
      <c r="D279" s="246">
        <f t="shared" ca="1" si="34"/>
        <v>226</v>
      </c>
      <c r="E279" s="246">
        <f t="shared" ca="1" si="35"/>
        <v>0.16489999999999999</v>
      </c>
      <c r="F279" s="246" t="str">
        <f t="shared" ca="1" si="36"/>
        <v>3-ethylhexane</v>
      </c>
      <c r="G279" s="246">
        <f t="shared" ca="1" si="37"/>
        <v>114.22852</v>
      </c>
      <c r="H279" s="204" t="str">
        <f ca="1">IF(G279="","",IF(VLOOKUP(Well_Head!F279,'Species Data'!D:F,3,FALSE)=0,"X",IF(G279&lt;44.1,2,1)))</f>
        <v>X</v>
      </c>
      <c r="I279" s="204">
        <f t="shared" ca="1" si="38"/>
        <v>0.19565579469041575</v>
      </c>
      <c r="J279" s="247">
        <f ca="1">IF(I279="","",IF(COUNTIF($D$12:D279,D279)=1,IF(H279=1,I279*H279,IF(H279="X","X",0)),0))</f>
        <v>0</v>
      </c>
      <c r="K279" s="248">
        <f t="shared" ca="1" si="39"/>
        <v>0</v>
      </c>
      <c r="L279" s="239" t="s">
        <v>626</v>
      </c>
      <c r="M279" s="215" t="s">
        <v>448</v>
      </c>
      <c r="N279" s="215" t="s">
        <v>470</v>
      </c>
      <c r="O279" s="216">
        <v>41419</v>
      </c>
      <c r="P279" s="215" t="s">
        <v>531</v>
      </c>
      <c r="Q279" s="217">
        <v>100</v>
      </c>
      <c r="R279" s="215" t="s">
        <v>445</v>
      </c>
      <c r="S279" s="215" t="s">
        <v>532</v>
      </c>
      <c r="T279" s="215" t="s">
        <v>445</v>
      </c>
      <c r="U279" s="215" t="s">
        <v>446</v>
      </c>
      <c r="V279" s="217" t="b">
        <v>1</v>
      </c>
      <c r="W279" s="217">
        <v>1989</v>
      </c>
      <c r="X279" s="217">
        <v>5</v>
      </c>
      <c r="Y279" s="217">
        <v>2</v>
      </c>
      <c r="Z279" s="217">
        <v>4</v>
      </c>
      <c r="AA279" s="215" t="s">
        <v>447</v>
      </c>
      <c r="AB279" s="215" t="s">
        <v>531</v>
      </c>
      <c r="AC279" s="215" t="s">
        <v>533</v>
      </c>
      <c r="AD279" s="217">
        <v>2.3802949999999998</v>
      </c>
      <c r="AE279" s="217">
        <v>194</v>
      </c>
      <c r="AF279" s="217">
        <v>0.1767</v>
      </c>
      <c r="AG279" s="217">
        <v>-99</v>
      </c>
      <c r="AH279" s="215" t="s">
        <v>224</v>
      </c>
      <c r="AI279" s="215" t="s">
        <v>449</v>
      </c>
      <c r="AJ279" s="215" t="s">
        <v>316</v>
      </c>
      <c r="AK279" s="215" t="s">
        <v>531</v>
      </c>
      <c r="AL279" s="215" t="s">
        <v>388</v>
      </c>
      <c r="AM279" s="217" t="b">
        <v>1</v>
      </c>
      <c r="AN279" s="217" t="b">
        <v>0</v>
      </c>
      <c r="AO279" s="215" t="s">
        <v>317</v>
      </c>
      <c r="AP279" s="215" t="s">
        <v>318</v>
      </c>
      <c r="AQ279" s="217">
        <v>100.20194000000001</v>
      </c>
      <c r="AR279" s="217" t="b">
        <v>0</v>
      </c>
      <c r="AS279" s="215" t="s">
        <v>534</v>
      </c>
      <c r="AU279" s="222" t="s">
        <v>819</v>
      </c>
    </row>
    <row r="280" spans="1:47" s="218" customFormat="1" x14ac:dyDescent="0.25">
      <c r="A280" s="245">
        <f t="shared" si="32"/>
        <v>375</v>
      </c>
      <c r="B280" s="246" t="str">
        <f t="shared" si="33"/>
        <v>Oil Field - Well</v>
      </c>
      <c r="C280" s="246" t="str">
        <f ca="1">IF(B280="","",VLOOKUP(D280,'Species Data'!B:E,4,FALSE))</f>
        <v>threemethex</v>
      </c>
      <c r="D280" s="246">
        <f t="shared" ca="1" si="34"/>
        <v>245</v>
      </c>
      <c r="E280" s="246">
        <f t="shared" ca="1" si="35"/>
        <v>0.60609999999999997</v>
      </c>
      <c r="F280" s="246" t="str">
        <f t="shared" ca="1" si="36"/>
        <v>3-methylhexane</v>
      </c>
      <c r="G280" s="246">
        <f t="shared" ca="1" si="37"/>
        <v>100.20194000000001</v>
      </c>
      <c r="H280" s="204">
        <f ca="1">IF(G280="","",IF(VLOOKUP(Well_Head!F280,'Species Data'!D:F,3,FALSE)=0,"X",IF(G280&lt;44.1,2,1)))</f>
        <v>1</v>
      </c>
      <c r="I280" s="204">
        <f t="shared" ca="1" si="38"/>
        <v>0.3128559379350353</v>
      </c>
      <c r="J280" s="247">
        <f ca="1">IF(I280="","",IF(COUNTIF($D$12:D280,D280)=1,IF(H280=1,I280*H280,IF(H280="X","X",0)),0))</f>
        <v>0</v>
      </c>
      <c r="K280" s="248">
        <f t="shared" ca="1" si="39"/>
        <v>0</v>
      </c>
      <c r="L280" s="239" t="s">
        <v>626</v>
      </c>
      <c r="M280" s="215" t="s">
        <v>448</v>
      </c>
      <c r="N280" s="215" t="s">
        <v>470</v>
      </c>
      <c r="O280" s="216">
        <v>41419</v>
      </c>
      <c r="P280" s="215" t="s">
        <v>531</v>
      </c>
      <c r="Q280" s="217">
        <v>100</v>
      </c>
      <c r="R280" s="215" t="s">
        <v>445</v>
      </c>
      <c r="S280" s="215" t="s">
        <v>532</v>
      </c>
      <c r="T280" s="215" t="s">
        <v>445</v>
      </c>
      <c r="U280" s="215" t="s">
        <v>446</v>
      </c>
      <c r="V280" s="217" t="b">
        <v>1</v>
      </c>
      <c r="W280" s="217">
        <v>1989</v>
      </c>
      <c r="X280" s="217">
        <v>5</v>
      </c>
      <c r="Y280" s="217">
        <v>2</v>
      </c>
      <c r="Z280" s="217">
        <v>4</v>
      </c>
      <c r="AA280" s="215" t="s">
        <v>447</v>
      </c>
      <c r="AB280" s="215" t="s">
        <v>531</v>
      </c>
      <c r="AC280" s="215" t="s">
        <v>533</v>
      </c>
      <c r="AD280" s="217">
        <v>2.3802949999999998</v>
      </c>
      <c r="AE280" s="217">
        <v>199</v>
      </c>
      <c r="AF280" s="217">
        <v>1.0353000000000001</v>
      </c>
      <c r="AG280" s="217">
        <v>-99</v>
      </c>
      <c r="AH280" s="215" t="s">
        <v>224</v>
      </c>
      <c r="AI280" s="215" t="s">
        <v>449</v>
      </c>
      <c r="AJ280" s="215" t="s">
        <v>319</v>
      </c>
      <c r="AK280" s="215" t="s">
        <v>531</v>
      </c>
      <c r="AL280" s="215" t="s">
        <v>389</v>
      </c>
      <c r="AM280" s="217" t="b">
        <v>1</v>
      </c>
      <c r="AN280" s="217" t="b">
        <v>0</v>
      </c>
      <c r="AO280" s="215" t="s">
        <v>320</v>
      </c>
      <c r="AP280" s="215" t="s">
        <v>321</v>
      </c>
      <c r="AQ280" s="217">
        <v>86.175359999999998</v>
      </c>
      <c r="AR280" s="217" t="b">
        <v>0</v>
      </c>
      <c r="AS280" s="215" t="s">
        <v>534</v>
      </c>
      <c r="AU280" s="222" t="s">
        <v>819</v>
      </c>
    </row>
    <row r="281" spans="1:47" s="218" customFormat="1" x14ac:dyDescent="0.25">
      <c r="A281" s="245">
        <f t="shared" si="32"/>
        <v>376</v>
      </c>
      <c r="B281" s="246" t="str">
        <f t="shared" si="33"/>
        <v>Oil Field - Well</v>
      </c>
      <c r="C281" s="246" t="str">
        <f ca="1">IF(B281="","",VLOOKUP(D281,'Species Data'!B:E,4,FALSE))</f>
        <v>threemetpen</v>
      </c>
      <c r="D281" s="246">
        <f t="shared" ca="1" si="34"/>
        <v>248</v>
      </c>
      <c r="E281" s="246">
        <f t="shared" ca="1" si="35"/>
        <v>1.1323000000000001</v>
      </c>
      <c r="F281" s="246" t="str">
        <f t="shared" ca="1" si="36"/>
        <v>3-methylpentane</v>
      </c>
      <c r="G281" s="246">
        <f t="shared" ca="1" si="37"/>
        <v>86.175359999999998</v>
      </c>
      <c r="H281" s="204">
        <f ca="1">IF(G281="","",IF(VLOOKUP(Well_Head!F281,'Species Data'!D:F,3,FALSE)=0,"X",IF(G281&lt;44.1,2,1)))</f>
        <v>1</v>
      </c>
      <c r="I281" s="204">
        <f t="shared" ca="1" si="38"/>
        <v>0.69705640751338704</v>
      </c>
      <c r="J281" s="247">
        <f ca="1">IF(I281="","",IF(COUNTIF($D$12:D281,D281)=1,IF(H281=1,I281*H281,IF(H281="X","X",0)),0))</f>
        <v>0</v>
      </c>
      <c r="K281" s="248">
        <f t="shared" ca="1" si="39"/>
        <v>0</v>
      </c>
      <c r="L281" s="239" t="s">
        <v>626</v>
      </c>
      <c r="M281" s="215" t="s">
        <v>448</v>
      </c>
      <c r="N281" s="215" t="s">
        <v>470</v>
      </c>
      <c r="O281" s="216">
        <v>41419</v>
      </c>
      <c r="P281" s="215" t="s">
        <v>531</v>
      </c>
      <c r="Q281" s="217">
        <v>100</v>
      </c>
      <c r="R281" s="215" t="s">
        <v>445</v>
      </c>
      <c r="S281" s="215" t="s">
        <v>532</v>
      </c>
      <c r="T281" s="215" t="s">
        <v>445</v>
      </c>
      <c r="U281" s="215" t="s">
        <v>446</v>
      </c>
      <c r="V281" s="217" t="b">
        <v>1</v>
      </c>
      <c r="W281" s="217">
        <v>1989</v>
      </c>
      <c r="X281" s="217">
        <v>5</v>
      </c>
      <c r="Y281" s="217">
        <v>2</v>
      </c>
      <c r="Z281" s="217">
        <v>4</v>
      </c>
      <c r="AA281" s="215" t="s">
        <v>447</v>
      </c>
      <c r="AB281" s="215" t="s">
        <v>531</v>
      </c>
      <c r="AC281" s="215" t="s">
        <v>533</v>
      </c>
      <c r="AD281" s="217">
        <v>2.3802949999999998</v>
      </c>
      <c r="AE281" s="217">
        <v>226</v>
      </c>
      <c r="AF281" s="217">
        <v>4.7699999999999999E-2</v>
      </c>
      <c r="AG281" s="217">
        <v>-99</v>
      </c>
      <c r="AH281" s="215" t="s">
        <v>224</v>
      </c>
      <c r="AI281" s="215" t="s">
        <v>449</v>
      </c>
      <c r="AJ281" s="215" t="s">
        <v>439</v>
      </c>
      <c r="AK281" s="215" t="s">
        <v>531</v>
      </c>
      <c r="AL281" s="215" t="s">
        <v>461</v>
      </c>
      <c r="AM281" s="217" t="b">
        <v>0</v>
      </c>
      <c r="AN281" s="217" t="b">
        <v>0</v>
      </c>
      <c r="AO281" s="215" t="s">
        <v>440</v>
      </c>
      <c r="AP281" s="215" t="s">
        <v>531</v>
      </c>
      <c r="AQ281" s="217">
        <v>114.22852</v>
      </c>
      <c r="AR281" s="217" t="b">
        <v>0</v>
      </c>
      <c r="AS281" s="215" t="s">
        <v>534</v>
      </c>
      <c r="AU281" s="222" t="s">
        <v>819</v>
      </c>
    </row>
    <row r="282" spans="1:47" s="218" customFormat="1" x14ac:dyDescent="0.25">
      <c r="A282" s="245">
        <f t="shared" si="32"/>
        <v>377</v>
      </c>
      <c r="B282" s="246" t="str">
        <f t="shared" si="33"/>
        <v>Oil Field - Well</v>
      </c>
      <c r="C282" s="246" t="str">
        <f ca="1">IF(B282="","",VLOOKUP(D282,'Species Data'!B:E,4,FALSE))</f>
        <v>benzene</v>
      </c>
      <c r="D282" s="246">
        <f t="shared" ca="1" si="34"/>
        <v>302</v>
      </c>
      <c r="E282" s="246">
        <f t="shared" ca="1" si="35"/>
        <v>0.25090000000000001</v>
      </c>
      <c r="F282" s="246" t="str">
        <f t="shared" ca="1" si="36"/>
        <v>Benzene</v>
      </c>
      <c r="G282" s="246">
        <f t="shared" ca="1" si="37"/>
        <v>78.111840000000001</v>
      </c>
      <c r="H282" s="204">
        <f ca="1">IF(G282="","",IF(VLOOKUP(Well_Head!F282,'Species Data'!D:F,3,FALSE)=0,"X",IF(G282&lt;44.1,2,1)))</f>
        <v>1</v>
      </c>
      <c r="I282" s="204">
        <f t="shared" ca="1" si="38"/>
        <v>0.3538559880462076</v>
      </c>
      <c r="J282" s="247">
        <f ca="1">IF(I282="","",IF(COUNTIF($D$12:D282,D282)=1,IF(H282=1,I282*H282,IF(H282="X","X",0)),0))</f>
        <v>0</v>
      </c>
      <c r="K282" s="248">
        <f t="shared" ca="1" si="39"/>
        <v>0</v>
      </c>
      <c r="L282" s="239" t="s">
        <v>626</v>
      </c>
      <c r="M282" s="215" t="s">
        <v>448</v>
      </c>
      <c r="N282" s="215" t="s">
        <v>470</v>
      </c>
      <c r="O282" s="216">
        <v>41419</v>
      </c>
      <c r="P282" s="215" t="s">
        <v>531</v>
      </c>
      <c r="Q282" s="217">
        <v>100</v>
      </c>
      <c r="R282" s="215" t="s">
        <v>445</v>
      </c>
      <c r="S282" s="215" t="s">
        <v>532</v>
      </c>
      <c r="T282" s="215" t="s">
        <v>445</v>
      </c>
      <c r="U282" s="215" t="s">
        <v>446</v>
      </c>
      <c r="V282" s="217" t="b">
        <v>1</v>
      </c>
      <c r="W282" s="217">
        <v>1989</v>
      </c>
      <c r="X282" s="217">
        <v>5</v>
      </c>
      <c r="Y282" s="217">
        <v>2</v>
      </c>
      <c r="Z282" s="217">
        <v>4</v>
      </c>
      <c r="AA282" s="215" t="s">
        <v>447</v>
      </c>
      <c r="AB282" s="215" t="s">
        <v>531</v>
      </c>
      <c r="AC282" s="215" t="s">
        <v>533</v>
      </c>
      <c r="AD282" s="217">
        <v>2.3802949999999998</v>
      </c>
      <c r="AE282" s="217">
        <v>245</v>
      </c>
      <c r="AF282" s="217">
        <v>0.2271</v>
      </c>
      <c r="AG282" s="217">
        <v>-99</v>
      </c>
      <c r="AH282" s="215" t="s">
        <v>224</v>
      </c>
      <c r="AI282" s="215" t="s">
        <v>449</v>
      </c>
      <c r="AJ282" s="215" t="s">
        <v>325</v>
      </c>
      <c r="AK282" s="215" t="s">
        <v>531</v>
      </c>
      <c r="AL282" s="215" t="s">
        <v>390</v>
      </c>
      <c r="AM282" s="217" t="b">
        <v>1</v>
      </c>
      <c r="AN282" s="217" t="b">
        <v>0</v>
      </c>
      <c r="AO282" s="215" t="s">
        <v>326</v>
      </c>
      <c r="AP282" s="215" t="s">
        <v>327</v>
      </c>
      <c r="AQ282" s="217">
        <v>100.20194000000001</v>
      </c>
      <c r="AR282" s="217" t="b">
        <v>0</v>
      </c>
      <c r="AS282" s="215" t="s">
        <v>534</v>
      </c>
      <c r="AU282" s="222" t="s">
        <v>819</v>
      </c>
    </row>
    <row r="283" spans="1:47" s="218" customFormat="1" x14ac:dyDescent="0.25">
      <c r="A283" s="245">
        <f t="shared" si="32"/>
        <v>378</v>
      </c>
      <c r="B283" s="246" t="str">
        <f t="shared" si="33"/>
        <v>Oil Field - Well</v>
      </c>
      <c r="C283" s="246" t="str">
        <f ca="1">IF(B283="","",VLOOKUP(D283,'Species Data'!B:E,4,FALSE))</f>
        <v>cyclopentane</v>
      </c>
      <c r="D283" s="246">
        <f t="shared" ca="1" si="34"/>
        <v>390</v>
      </c>
      <c r="E283" s="246">
        <f t="shared" ca="1" si="35"/>
        <v>0.2525</v>
      </c>
      <c r="F283" s="246" t="str">
        <f t="shared" ca="1" si="36"/>
        <v>Cyclopentane</v>
      </c>
      <c r="G283" s="246">
        <f t="shared" ca="1" si="37"/>
        <v>70.132900000000006</v>
      </c>
      <c r="H283" s="204">
        <f ca="1">IF(G283="","",IF(VLOOKUP(Well_Head!F283,'Species Data'!D:F,3,FALSE)=0,"X",IF(G283&lt;44.1,2,1)))</f>
        <v>1</v>
      </c>
      <c r="I283" s="204">
        <f t="shared" ca="1" si="38"/>
        <v>0.12218903823104672</v>
      </c>
      <c r="J283" s="247">
        <f ca="1">IF(I283="","",IF(COUNTIF($D$12:D283,D283)=1,IF(H283=1,I283*H283,IF(H283="X","X",0)),0))</f>
        <v>0</v>
      </c>
      <c r="K283" s="248">
        <f t="shared" ca="1" si="39"/>
        <v>0</v>
      </c>
      <c r="L283" s="239" t="s">
        <v>626</v>
      </c>
      <c r="M283" s="215" t="s">
        <v>448</v>
      </c>
      <c r="N283" s="215" t="s">
        <v>470</v>
      </c>
      <c r="O283" s="216">
        <v>41419</v>
      </c>
      <c r="P283" s="215" t="s">
        <v>531</v>
      </c>
      <c r="Q283" s="217">
        <v>100</v>
      </c>
      <c r="R283" s="215" t="s">
        <v>445</v>
      </c>
      <c r="S283" s="215" t="s">
        <v>532</v>
      </c>
      <c r="T283" s="215" t="s">
        <v>445</v>
      </c>
      <c r="U283" s="215" t="s">
        <v>446</v>
      </c>
      <c r="V283" s="217" t="b">
        <v>1</v>
      </c>
      <c r="W283" s="217">
        <v>1989</v>
      </c>
      <c r="X283" s="217">
        <v>5</v>
      </c>
      <c r="Y283" s="217">
        <v>2</v>
      </c>
      <c r="Z283" s="217">
        <v>4</v>
      </c>
      <c r="AA283" s="215" t="s">
        <v>447</v>
      </c>
      <c r="AB283" s="215" t="s">
        <v>531</v>
      </c>
      <c r="AC283" s="215" t="s">
        <v>533</v>
      </c>
      <c r="AD283" s="217">
        <v>2.3802949999999998</v>
      </c>
      <c r="AE283" s="217">
        <v>248</v>
      </c>
      <c r="AF283" s="217">
        <v>0.64449999999999996</v>
      </c>
      <c r="AG283" s="217">
        <v>-99</v>
      </c>
      <c r="AH283" s="215" t="s">
        <v>224</v>
      </c>
      <c r="AI283" s="215" t="s">
        <v>449</v>
      </c>
      <c r="AJ283" s="215" t="s">
        <v>328</v>
      </c>
      <c r="AK283" s="215" t="s">
        <v>531</v>
      </c>
      <c r="AL283" s="215" t="s">
        <v>391</v>
      </c>
      <c r="AM283" s="217" t="b">
        <v>1</v>
      </c>
      <c r="AN283" s="217" t="b">
        <v>0</v>
      </c>
      <c r="AO283" s="215" t="s">
        <v>329</v>
      </c>
      <c r="AP283" s="215" t="s">
        <v>330</v>
      </c>
      <c r="AQ283" s="217">
        <v>86.175359999999998</v>
      </c>
      <c r="AR283" s="217" t="b">
        <v>0</v>
      </c>
      <c r="AS283" s="215" t="s">
        <v>534</v>
      </c>
      <c r="AU283" s="222" t="s">
        <v>819</v>
      </c>
    </row>
    <row r="284" spans="1:47" s="218" customFormat="1" x14ac:dyDescent="0.25">
      <c r="A284" s="245">
        <f t="shared" si="32"/>
        <v>379</v>
      </c>
      <c r="B284" s="246" t="str">
        <f t="shared" si="33"/>
        <v>Oil Field - Well</v>
      </c>
      <c r="C284" s="246" t="str">
        <f ca="1">IF(B284="","",VLOOKUP(D284,'Species Data'!B:E,4,FALSE))</f>
        <v>ethane</v>
      </c>
      <c r="D284" s="246">
        <f t="shared" ca="1" si="34"/>
        <v>438</v>
      </c>
      <c r="E284" s="246">
        <f t="shared" ca="1" si="35"/>
        <v>8.8839000000000006</v>
      </c>
      <c r="F284" s="246" t="str">
        <f t="shared" ca="1" si="36"/>
        <v>Ethane</v>
      </c>
      <c r="G284" s="246">
        <f t="shared" ca="1" si="37"/>
        <v>30.069040000000005</v>
      </c>
      <c r="H284" s="204">
        <f ca="1">IF(G284="","",IF(VLOOKUP(Well_Head!F284,'Species Data'!D:F,3,FALSE)=0,"X",IF(G284&lt;44.1,2,1)))</f>
        <v>2</v>
      </c>
      <c r="I284" s="204">
        <f t="shared" ca="1" si="38"/>
        <v>7.2582977601417076</v>
      </c>
      <c r="J284" s="247">
        <f ca="1">IF(I284="","",IF(COUNTIF($D$12:D284,D284)=1,IF(H284=1,I284*H284,IF(H284="X","X",0)),0))</f>
        <v>0</v>
      </c>
      <c r="K284" s="248">
        <f t="shared" ca="1" si="39"/>
        <v>0</v>
      </c>
      <c r="L284" s="239" t="s">
        <v>626</v>
      </c>
      <c r="M284" s="215" t="s">
        <v>448</v>
      </c>
      <c r="N284" s="215" t="s">
        <v>470</v>
      </c>
      <c r="O284" s="216">
        <v>41419</v>
      </c>
      <c r="P284" s="215" t="s">
        <v>531</v>
      </c>
      <c r="Q284" s="217">
        <v>100</v>
      </c>
      <c r="R284" s="215" t="s">
        <v>445</v>
      </c>
      <c r="S284" s="215" t="s">
        <v>532</v>
      </c>
      <c r="T284" s="215" t="s">
        <v>445</v>
      </c>
      <c r="U284" s="215" t="s">
        <v>446</v>
      </c>
      <c r="V284" s="217" t="b">
        <v>1</v>
      </c>
      <c r="W284" s="217">
        <v>1989</v>
      </c>
      <c r="X284" s="217">
        <v>5</v>
      </c>
      <c r="Y284" s="217">
        <v>2</v>
      </c>
      <c r="Z284" s="217">
        <v>4</v>
      </c>
      <c r="AA284" s="215" t="s">
        <v>447</v>
      </c>
      <c r="AB284" s="215" t="s">
        <v>531</v>
      </c>
      <c r="AC284" s="215" t="s">
        <v>533</v>
      </c>
      <c r="AD284" s="217">
        <v>2.3802949999999998</v>
      </c>
      <c r="AE284" s="217">
        <v>302</v>
      </c>
      <c r="AF284" s="217">
        <v>0.1231</v>
      </c>
      <c r="AG284" s="217">
        <v>-99</v>
      </c>
      <c r="AH284" s="215" t="s">
        <v>224</v>
      </c>
      <c r="AI284" s="215" t="s">
        <v>449</v>
      </c>
      <c r="AJ284" s="215" t="s">
        <v>262</v>
      </c>
      <c r="AK284" s="215" t="s">
        <v>531</v>
      </c>
      <c r="AL284" s="215" t="s">
        <v>373</v>
      </c>
      <c r="AM284" s="217" t="b">
        <v>1</v>
      </c>
      <c r="AN284" s="217" t="b">
        <v>1</v>
      </c>
      <c r="AO284" s="215" t="s">
        <v>263</v>
      </c>
      <c r="AP284" s="215" t="s">
        <v>264</v>
      </c>
      <c r="AQ284" s="217">
        <v>78.111840000000001</v>
      </c>
      <c r="AR284" s="217" t="b">
        <v>0</v>
      </c>
      <c r="AS284" s="215" t="s">
        <v>534</v>
      </c>
      <c r="AU284" s="222" t="s">
        <v>819</v>
      </c>
    </row>
    <row r="285" spans="1:47" s="218" customFormat="1" x14ac:dyDescent="0.25">
      <c r="A285" s="245">
        <f t="shared" si="32"/>
        <v>380</v>
      </c>
      <c r="B285" s="246" t="str">
        <f t="shared" si="33"/>
        <v>Oil Field - Well</v>
      </c>
      <c r="C285" s="246" t="str">
        <f ca="1">IF(B285="","",VLOOKUP(D285,'Species Data'!B:E,4,FALSE))</f>
        <v>ethyl_benz</v>
      </c>
      <c r="D285" s="246">
        <f t="shared" ca="1" si="34"/>
        <v>449</v>
      </c>
      <c r="E285" s="246">
        <f t="shared" ca="1" si="35"/>
        <v>0.19889999999999999</v>
      </c>
      <c r="F285" s="246" t="str">
        <f t="shared" ca="1" si="36"/>
        <v>Ethylbenzene</v>
      </c>
      <c r="G285" s="246">
        <f t="shared" ca="1" si="37"/>
        <v>106.16500000000001</v>
      </c>
      <c r="H285" s="204">
        <f ca="1">IF(G285="","",IF(VLOOKUP(Well_Head!F285,'Species Data'!D:F,3,FALSE)=0,"X",IF(G285&lt;44.1,2,1)))</f>
        <v>1</v>
      </c>
      <c r="I285" s="204">
        <f t="shared" ca="1" si="38"/>
        <v>0.43623386650805906</v>
      </c>
      <c r="J285" s="247">
        <f ca="1">IF(I285="","",IF(COUNTIF($D$12:D285,D285)=1,IF(H285=1,I285*H285,IF(H285="X","X",0)),0))</f>
        <v>0</v>
      </c>
      <c r="K285" s="248">
        <f t="shared" ca="1" si="39"/>
        <v>0</v>
      </c>
      <c r="L285" s="239" t="s">
        <v>626</v>
      </c>
      <c r="M285" s="215" t="s">
        <v>448</v>
      </c>
      <c r="N285" s="215" t="s">
        <v>470</v>
      </c>
      <c r="O285" s="216">
        <v>41419</v>
      </c>
      <c r="P285" s="215" t="s">
        <v>531</v>
      </c>
      <c r="Q285" s="217">
        <v>100</v>
      </c>
      <c r="R285" s="215" t="s">
        <v>445</v>
      </c>
      <c r="S285" s="215" t="s">
        <v>532</v>
      </c>
      <c r="T285" s="215" t="s">
        <v>445</v>
      </c>
      <c r="U285" s="215" t="s">
        <v>446</v>
      </c>
      <c r="V285" s="217" t="b">
        <v>1</v>
      </c>
      <c r="W285" s="217">
        <v>1989</v>
      </c>
      <c r="X285" s="217">
        <v>5</v>
      </c>
      <c r="Y285" s="217">
        <v>2</v>
      </c>
      <c r="Z285" s="217">
        <v>4</v>
      </c>
      <c r="AA285" s="215" t="s">
        <v>447</v>
      </c>
      <c r="AB285" s="215" t="s">
        <v>531</v>
      </c>
      <c r="AC285" s="215" t="s">
        <v>533</v>
      </c>
      <c r="AD285" s="217">
        <v>2.3802949999999998</v>
      </c>
      <c r="AE285" s="217">
        <v>385</v>
      </c>
      <c r="AF285" s="217">
        <v>8.5000000000000006E-3</v>
      </c>
      <c r="AG285" s="217">
        <v>-99</v>
      </c>
      <c r="AH285" s="215" t="s">
        <v>224</v>
      </c>
      <c r="AI285" s="215" t="s">
        <v>449</v>
      </c>
      <c r="AJ285" s="215" t="s">
        <v>331</v>
      </c>
      <c r="AK285" s="215" t="s">
        <v>531</v>
      </c>
      <c r="AL285" s="215" t="s">
        <v>392</v>
      </c>
      <c r="AM285" s="217" t="b">
        <v>1</v>
      </c>
      <c r="AN285" s="217" t="b">
        <v>0</v>
      </c>
      <c r="AO285" s="215" t="s">
        <v>332</v>
      </c>
      <c r="AP285" s="215" t="s">
        <v>333</v>
      </c>
      <c r="AQ285" s="217">
        <v>84.159480000000002</v>
      </c>
      <c r="AR285" s="217" t="b">
        <v>0</v>
      </c>
      <c r="AS285" s="215" t="s">
        <v>534</v>
      </c>
      <c r="AU285" s="222" t="s">
        <v>819</v>
      </c>
    </row>
    <row r="286" spans="1:47" s="218" customFormat="1" x14ac:dyDescent="0.25">
      <c r="A286" s="245">
        <f t="shared" si="32"/>
        <v>381</v>
      </c>
      <c r="B286" s="246" t="str">
        <f t="shared" si="33"/>
        <v>Oil Field - Well</v>
      </c>
      <c r="C286" s="246" t="str">
        <f ca="1">IF(B286="","",VLOOKUP(D286,'Species Data'!B:E,4,FALSE))</f>
        <v>isobut</v>
      </c>
      <c r="D286" s="246">
        <f t="shared" ca="1" si="34"/>
        <v>491</v>
      </c>
      <c r="E286" s="246">
        <f t="shared" ca="1" si="35"/>
        <v>3.1034000000000002</v>
      </c>
      <c r="F286" s="246" t="str">
        <f t="shared" ca="1" si="36"/>
        <v>Isobutane</v>
      </c>
      <c r="G286" s="246">
        <f t="shared" ca="1" si="37"/>
        <v>58.122199999999992</v>
      </c>
      <c r="H286" s="204">
        <f ca="1">IF(G286="","",IF(VLOOKUP(Well_Head!F286,'Species Data'!D:F,3,FALSE)=0,"X",IF(G286&lt;44.1,2,1)))</f>
        <v>1</v>
      </c>
      <c r="I286" s="204">
        <f t="shared" ca="1" si="38"/>
        <v>2.9024368807561878</v>
      </c>
      <c r="J286" s="247">
        <f ca="1">IF(I286="","",IF(COUNTIF($D$12:D286,D286)=1,IF(H286=1,I286*H286,IF(H286="X","X",0)),0))</f>
        <v>0</v>
      </c>
      <c r="K286" s="248">
        <f t="shared" ca="1" si="39"/>
        <v>0</v>
      </c>
      <c r="L286" s="239" t="s">
        <v>626</v>
      </c>
      <c r="M286" s="215" t="s">
        <v>448</v>
      </c>
      <c r="N286" s="215" t="s">
        <v>470</v>
      </c>
      <c r="O286" s="216">
        <v>41419</v>
      </c>
      <c r="P286" s="215" t="s">
        <v>531</v>
      </c>
      <c r="Q286" s="217">
        <v>100</v>
      </c>
      <c r="R286" s="215" t="s">
        <v>445</v>
      </c>
      <c r="S286" s="215" t="s">
        <v>532</v>
      </c>
      <c r="T286" s="215" t="s">
        <v>445</v>
      </c>
      <c r="U286" s="215" t="s">
        <v>446</v>
      </c>
      <c r="V286" s="217" t="b">
        <v>1</v>
      </c>
      <c r="W286" s="217">
        <v>1989</v>
      </c>
      <c r="X286" s="217">
        <v>5</v>
      </c>
      <c r="Y286" s="217">
        <v>2</v>
      </c>
      <c r="Z286" s="217">
        <v>4</v>
      </c>
      <c r="AA286" s="215" t="s">
        <v>447</v>
      </c>
      <c r="AB286" s="215" t="s">
        <v>531</v>
      </c>
      <c r="AC286" s="215" t="s">
        <v>533</v>
      </c>
      <c r="AD286" s="217">
        <v>2.3802949999999998</v>
      </c>
      <c r="AE286" s="217">
        <v>438</v>
      </c>
      <c r="AF286" s="217">
        <v>10.1622</v>
      </c>
      <c r="AG286" s="217">
        <v>-99</v>
      </c>
      <c r="AH286" s="215" t="s">
        <v>224</v>
      </c>
      <c r="AI286" s="215" t="s">
        <v>449</v>
      </c>
      <c r="AJ286" s="215" t="s">
        <v>265</v>
      </c>
      <c r="AK286" s="215" t="s">
        <v>531</v>
      </c>
      <c r="AL286" s="215" t="s">
        <v>374</v>
      </c>
      <c r="AM286" s="217" t="b">
        <v>1</v>
      </c>
      <c r="AN286" s="217" t="b">
        <v>0</v>
      </c>
      <c r="AO286" s="215" t="s">
        <v>266</v>
      </c>
      <c r="AP286" s="215" t="s">
        <v>267</v>
      </c>
      <c r="AQ286" s="217">
        <v>30.069040000000005</v>
      </c>
      <c r="AR286" s="217" t="b">
        <v>1</v>
      </c>
      <c r="AS286" s="215" t="s">
        <v>534</v>
      </c>
      <c r="AU286" s="222" t="s">
        <v>819</v>
      </c>
    </row>
    <row r="287" spans="1:47" s="218" customFormat="1" x14ac:dyDescent="0.25">
      <c r="A287" s="245">
        <f t="shared" si="32"/>
        <v>382</v>
      </c>
      <c r="B287" s="246" t="str">
        <f t="shared" si="33"/>
        <v>Oil Field - Well</v>
      </c>
      <c r="C287" s="246" t="str">
        <f ca="1">IF(B287="","",VLOOKUP(D287,'Species Data'!B:E,4,FALSE))</f>
        <v>isopentane</v>
      </c>
      <c r="D287" s="246">
        <f t="shared" ca="1" si="34"/>
        <v>508</v>
      </c>
      <c r="E287" s="246">
        <f t="shared" ca="1" si="35"/>
        <v>2.8269000000000002</v>
      </c>
      <c r="F287" s="246" t="str">
        <f t="shared" ca="1" si="36"/>
        <v>Isopentane (2-Methylbutane)</v>
      </c>
      <c r="G287" s="246">
        <f t="shared" ca="1" si="37"/>
        <v>72.148780000000002</v>
      </c>
      <c r="H287" s="204">
        <f ca="1">IF(G287="","",IF(VLOOKUP(Well_Head!F287,'Species Data'!D:F,3,FALSE)=0,"X",IF(G287&lt;44.1,2,1)))</f>
        <v>1</v>
      </c>
      <c r="I287" s="204">
        <f t="shared" ca="1" si="38"/>
        <v>2.9334258075204316</v>
      </c>
      <c r="J287" s="247">
        <f ca="1">IF(I287="","",IF(COUNTIF($D$12:D287,D287)=1,IF(H287=1,I287*H287,IF(H287="X","X",0)),0))</f>
        <v>0</v>
      </c>
      <c r="K287" s="248">
        <f t="shared" ca="1" si="39"/>
        <v>0</v>
      </c>
      <c r="L287" s="239" t="s">
        <v>626</v>
      </c>
      <c r="M287" s="215" t="s">
        <v>448</v>
      </c>
      <c r="N287" s="215" t="s">
        <v>470</v>
      </c>
      <c r="O287" s="216">
        <v>41419</v>
      </c>
      <c r="P287" s="215" t="s">
        <v>531</v>
      </c>
      <c r="Q287" s="217">
        <v>100</v>
      </c>
      <c r="R287" s="215" t="s">
        <v>445</v>
      </c>
      <c r="S287" s="215" t="s">
        <v>532</v>
      </c>
      <c r="T287" s="215" t="s">
        <v>445</v>
      </c>
      <c r="U287" s="215" t="s">
        <v>446</v>
      </c>
      <c r="V287" s="217" t="b">
        <v>1</v>
      </c>
      <c r="W287" s="217">
        <v>1989</v>
      </c>
      <c r="X287" s="217">
        <v>5</v>
      </c>
      <c r="Y287" s="217">
        <v>2</v>
      </c>
      <c r="Z287" s="217">
        <v>4</v>
      </c>
      <c r="AA287" s="215" t="s">
        <v>447</v>
      </c>
      <c r="AB287" s="215" t="s">
        <v>531</v>
      </c>
      <c r="AC287" s="215" t="s">
        <v>533</v>
      </c>
      <c r="AD287" s="217">
        <v>2.3802949999999998</v>
      </c>
      <c r="AE287" s="217">
        <v>449</v>
      </c>
      <c r="AF287" s="217">
        <v>7.5499999999999998E-2</v>
      </c>
      <c r="AG287" s="217">
        <v>-99</v>
      </c>
      <c r="AH287" s="215" t="s">
        <v>224</v>
      </c>
      <c r="AI287" s="215" t="s">
        <v>449</v>
      </c>
      <c r="AJ287" s="215" t="s">
        <v>337</v>
      </c>
      <c r="AK287" s="215" t="s">
        <v>531</v>
      </c>
      <c r="AL287" s="215" t="s">
        <v>394</v>
      </c>
      <c r="AM287" s="217" t="b">
        <v>1</v>
      </c>
      <c r="AN287" s="217" t="b">
        <v>1</v>
      </c>
      <c r="AO287" s="215" t="s">
        <v>338</v>
      </c>
      <c r="AP287" s="215" t="s">
        <v>339</v>
      </c>
      <c r="AQ287" s="217">
        <v>106.16500000000001</v>
      </c>
      <c r="AR287" s="217" t="b">
        <v>0</v>
      </c>
      <c r="AS287" s="215" t="s">
        <v>534</v>
      </c>
      <c r="AU287" s="222" t="s">
        <v>819</v>
      </c>
    </row>
    <row r="288" spans="1:47" s="218" customFormat="1" x14ac:dyDescent="0.25">
      <c r="A288" s="245">
        <f t="shared" si="32"/>
        <v>383</v>
      </c>
      <c r="B288" s="246" t="str">
        <f t="shared" si="33"/>
        <v>Oil Field - Well</v>
      </c>
      <c r="C288" s="246" t="str">
        <f ca="1">IF(B288="","",VLOOKUP(D288,'Species Data'!B:E,4,FALSE))</f>
        <v>isopben</v>
      </c>
      <c r="D288" s="246">
        <f t="shared" ca="1" si="34"/>
        <v>514</v>
      </c>
      <c r="E288" s="246">
        <f t="shared" ca="1" si="35"/>
        <v>1.83E-2</v>
      </c>
      <c r="F288" s="246" t="str">
        <f t="shared" ca="1" si="36"/>
        <v>Isopropylbenzene (cumene)</v>
      </c>
      <c r="G288" s="246">
        <f t="shared" ca="1" si="37"/>
        <v>120.19158</v>
      </c>
      <c r="H288" s="204">
        <f ca="1">IF(G288="","",IF(VLOOKUP(Well_Head!F288,'Species Data'!D:F,3,FALSE)=0,"X",IF(G288&lt;44.1,2,1)))</f>
        <v>1</v>
      </c>
      <c r="I288" s="204">
        <f t="shared" ca="1" si="38"/>
        <v>7.8922318682833947E-2</v>
      </c>
      <c r="J288" s="247">
        <f ca="1">IF(I288="","",IF(COUNTIF($D$12:D288,D288)=1,IF(H288=1,I288*H288,IF(H288="X","X",0)),0))</f>
        <v>0</v>
      </c>
      <c r="K288" s="248">
        <f t="shared" ca="1" si="39"/>
        <v>0</v>
      </c>
      <c r="L288" s="239" t="s">
        <v>626</v>
      </c>
      <c r="M288" s="215" t="s">
        <v>448</v>
      </c>
      <c r="N288" s="215" t="s">
        <v>470</v>
      </c>
      <c r="O288" s="216">
        <v>41419</v>
      </c>
      <c r="P288" s="215" t="s">
        <v>531</v>
      </c>
      <c r="Q288" s="217">
        <v>100</v>
      </c>
      <c r="R288" s="215" t="s">
        <v>445</v>
      </c>
      <c r="S288" s="215" t="s">
        <v>532</v>
      </c>
      <c r="T288" s="215" t="s">
        <v>445</v>
      </c>
      <c r="U288" s="215" t="s">
        <v>446</v>
      </c>
      <c r="V288" s="217" t="b">
        <v>1</v>
      </c>
      <c r="W288" s="217">
        <v>1989</v>
      </c>
      <c r="X288" s="217">
        <v>5</v>
      </c>
      <c r="Y288" s="217">
        <v>2</v>
      </c>
      <c r="Z288" s="217">
        <v>4</v>
      </c>
      <c r="AA288" s="215" t="s">
        <v>447</v>
      </c>
      <c r="AB288" s="215" t="s">
        <v>531</v>
      </c>
      <c r="AC288" s="215" t="s">
        <v>533</v>
      </c>
      <c r="AD288" s="217">
        <v>2.3802949999999998</v>
      </c>
      <c r="AE288" s="217">
        <v>491</v>
      </c>
      <c r="AF288" s="217">
        <v>2.7121</v>
      </c>
      <c r="AG288" s="217">
        <v>-99</v>
      </c>
      <c r="AH288" s="215" t="s">
        <v>224</v>
      </c>
      <c r="AI288" s="215" t="s">
        <v>449</v>
      </c>
      <c r="AJ288" s="215" t="s">
        <v>268</v>
      </c>
      <c r="AK288" s="215" t="s">
        <v>531</v>
      </c>
      <c r="AL288" s="215" t="s">
        <v>375</v>
      </c>
      <c r="AM288" s="217" t="b">
        <v>1</v>
      </c>
      <c r="AN288" s="217" t="b">
        <v>0</v>
      </c>
      <c r="AO288" s="215" t="s">
        <v>269</v>
      </c>
      <c r="AP288" s="215" t="s">
        <v>270</v>
      </c>
      <c r="AQ288" s="217">
        <v>58.122199999999992</v>
      </c>
      <c r="AR288" s="217" t="b">
        <v>0</v>
      </c>
      <c r="AS288" s="215" t="s">
        <v>534</v>
      </c>
      <c r="AU288" s="222" t="s">
        <v>819</v>
      </c>
    </row>
    <row r="289" spans="1:47" s="218" customFormat="1" x14ac:dyDescent="0.25">
      <c r="A289" s="245">
        <f t="shared" si="32"/>
        <v>384</v>
      </c>
      <c r="B289" s="246" t="str">
        <f t="shared" si="33"/>
        <v>Oil Field - Well</v>
      </c>
      <c r="C289" s="246" t="str">
        <f ca="1">IF(B289="","",VLOOKUP(D289,'Species Data'!B:E,4,FALSE))</f>
        <v>M_xylene</v>
      </c>
      <c r="D289" s="246">
        <f t="shared" ca="1" si="34"/>
        <v>524</v>
      </c>
      <c r="E289" s="246">
        <f t="shared" ca="1" si="35"/>
        <v>0.14630000000000001</v>
      </c>
      <c r="F289" s="246" t="str">
        <f t="shared" ca="1" si="36"/>
        <v>M-xylene</v>
      </c>
      <c r="G289" s="246">
        <f t="shared" ca="1" si="37"/>
        <v>106.16500000000001</v>
      </c>
      <c r="H289" s="204">
        <f ca="1">IF(G289="","",IF(VLOOKUP(Well_Head!F289,'Species Data'!D:F,3,FALSE)=0,"X",IF(G289&lt;44.1,2,1)))</f>
        <v>1</v>
      </c>
      <c r="I289" s="204">
        <f t="shared" ca="1" si="38"/>
        <v>0.21376692793735641</v>
      </c>
      <c r="J289" s="247">
        <f ca="1">IF(I289="","",IF(COUNTIF($D$12:D289,D289)=1,IF(H289=1,I289*H289,IF(H289="X","X",0)),0))</f>
        <v>0</v>
      </c>
      <c r="K289" s="248">
        <f t="shared" ca="1" si="39"/>
        <v>0</v>
      </c>
      <c r="L289" s="239" t="s">
        <v>626</v>
      </c>
      <c r="M289" s="215" t="s">
        <v>448</v>
      </c>
      <c r="N289" s="215" t="s">
        <v>470</v>
      </c>
      <c r="O289" s="216">
        <v>41419</v>
      </c>
      <c r="P289" s="215" t="s">
        <v>531</v>
      </c>
      <c r="Q289" s="217">
        <v>100</v>
      </c>
      <c r="R289" s="215" t="s">
        <v>445</v>
      </c>
      <c r="S289" s="215" t="s">
        <v>532</v>
      </c>
      <c r="T289" s="215" t="s">
        <v>445</v>
      </c>
      <c r="U289" s="215" t="s">
        <v>446</v>
      </c>
      <c r="V289" s="217" t="b">
        <v>1</v>
      </c>
      <c r="W289" s="217">
        <v>1989</v>
      </c>
      <c r="X289" s="217">
        <v>5</v>
      </c>
      <c r="Y289" s="217">
        <v>2</v>
      </c>
      <c r="Z289" s="217">
        <v>4</v>
      </c>
      <c r="AA289" s="215" t="s">
        <v>447</v>
      </c>
      <c r="AB289" s="215" t="s">
        <v>531</v>
      </c>
      <c r="AC289" s="215" t="s">
        <v>533</v>
      </c>
      <c r="AD289" s="217">
        <v>2.3802949999999998</v>
      </c>
      <c r="AE289" s="217">
        <v>499</v>
      </c>
      <c r="AF289" s="217">
        <v>4.4999999999999997E-3</v>
      </c>
      <c r="AG289" s="217">
        <v>-99</v>
      </c>
      <c r="AH289" s="215" t="s">
        <v>224</v>
      </c>
      <c r="AI289" s="215" t="s">
        <v>449</v>
      </c>
      <c r="AJ289" s="215" t="s">
        <v>531</v>
      </c>
      <c r="AK289" s="215" t="s">
        <v>642</v>
      </c>
      <c r="AL289" s="215" t="s">
        <v>643</v>
      </c>
      <c r="AM289" s="217" t="b">
        <v>0</v>
      </c>
      <c r="AN289" s="217" t="b">
        <v>0</v>
      </c>
      <c r="AO289" s="215" t="s">
        <v>644</v>
      </c>
      <c r="AP289" s="215" t="s">
        <v>531</v>
      </c>
      <c r="AQ289" s="217">
        <v>134.21816000000001</v>
      </c>
      <c r="AR289" s="217" t="b">
        <v>0</v>
      </c>
      <c r="AS289" s="215" t="s">
        <v>534</v>
      </c>
      <c r="AU289" s="222" t="s">
        <v>819</v>
      </c>
    </row>
    <row r="290" spans="1:47" s="218" customFormat="1" x14ac:dyDescent="0.25">
      <c r="A290" s="245">
        <f t="shared" si="32"/>
        <v>385</v>
      </c>
      <c r="B290" s="246" t="str">
        <f t="shared" si="33"/>
        <v>Oil Field - Well</v>
      </c>
      <c r="C290" s="246" t="str">
        <f ca="1">IF(B290="","",VLOOKUP(D290,'Species Data'!B:E,4,FALSE))</f>
        <v>methane</v>
      </c>
      <c r="D290" s="246">
        <f t="shared" ca="1" si="34"/>
        <v>529</v>
      </c>
      <c r="E290" s="246">
        <f t="shared" ca="1" si="35"/>
        <v>40.692900000000002</v>
      </c>
      <c r="F290" s="246" t="str">
        <f t="shared" ca="1" si="36"/>
        <v>Methane</v>
      </c>
      <c r="G290" s="246">
        <f t="shared" ca="1" si="37"/>
        <v>16.042459999999998</v>
      </c>
      <c r="H290" s="204">
        <f ca="1">IF(G290="","",IF(VLOOKUP(Well_Head!F290,'Species Data'!D:F,3,FALSE)=0,"X",IF(G290&lt;44.1,2,1)))</f>
        <v>2</v>
      </c>
      <c r="I290" s="204">
        <f t="shared" ca="1" si="38"/>
        <v>36.272299888366533</v>
      </c>
      <c r="J290" s="247">
        <f ca="1">IF(I290="","",IF(COUNTIF($D$12:D290,D290)=1,IF(H290=1,I290*H290,IF(H290="X","X",0)),0))</f>
        <v>0</v>
      </c>
      <c r="K290" s="248">
        <f t="shared" ca="1" si="39"/>
        <v>0</v>
      </c>
      <c r="L290" s="239" t="s">
        <v>626</v>
      </c>
      <c r="M290" s="215" t="s">
        <v>448</v>
      </c>
      <c r="N290" s="215" t="s">
        <v>470</v>
      </c>
      <c r="O290" s="216">
        <v>41419</v>
      </c>
      <c r="P290" s="215" t="s">
        <v>531</v>
      </c>
      <c r="Q290" s="217">
        <v>100</v>
      </c>
      <c r="R290" s="215" t="s">
        <v>445</v>
      </c>
      <c r="S290" s="215" t="s">
        <v>532</v>
      </c>
      <c r="T290" s="215" t="s">
        <v>445</v>
      </c>
      <c r="U290" s="215" t="s">
        <v>446</v>
      </c>
      <c r="V290" s="217" t="b">
        <v>1</v>
      </c>
      <c r="W290" s="217">
        <v>1989</v>
      </c>
      <c r="X290" s="217">
        <v>5</v>
      </c>
      <c r="Y290" s="217">
        <v>2</v>
      </c>
      <c r="Z290" s="217">
        <v>4</v>
      </c>
      <c r="AA290" s="215" t="s">
        <v>447</v>
      </c>
      <c r="AB290" s="215" t="s">
        <v>531</v>
      </c>
      <c r="AC290" s="215" t="s">
        <v>533</v>
      </c>
      <c r="AD290" s="217">
        <v>2.3802949999999998</v>
      </c>
      <c r="AE290" s="217">
        <v>508</v>
      </c>
      <c r="AF290" s="217">
        <v>2.9424999999999999</v>
      </c>
      <c r="AG290" s="217">
        <v>-99</v>
      </c>
      <c r="AH290" s="215" t="s">
        <v>224</v>
      </c>
      <c r="AI290" s="215" t="s">
        <v>449</v>
      </c>
      <c r="AJ290" s="215" t="s">
        <v>342</v>
      </c>
      <c r="AK290" s="215" t="s">
        <v>531</v>
      </c>
      <c r="AL290" s="215" t="s">
        <v>395</v>
      </c>
      <c r="AM290" s="217" t="b">
        <v>1</v>
      </c>
      <c r="AN290" s="217" t="b">
        <v>0</v>
      </c>
      <c r="AO290" s="215" t="s">
        <v>343</v>
      </c>
      <c r="AP290" s="215" t="s">
        <v>344</v>
      </c>
      <c r="AQ290" s="217">
        <v>72.148780000000002</v>
      </c>
      <c r="AR290" s="217" t="b">
        <v>0</v>
      </c>
      <c r="AS290" s="215" t="s">
        <v>534</v>
      </c>
      <c r="AU290" s="222" t="s">
        <v>819</v>
      </c>
    </row>
    <row r="291" spans="1:47" s="218" customFormat="1" x14ac:dyDescent="0.25">
      <c r="A291" s="245">
        <f t="shared" si="32"/>
        <v>386</v>
      </c>
      <c r="B291" s="246" t="str">
        <f t="shared" si="33"/>
        <v>Oil Field - Well</v>
      </c>
      <c r="C291" s="246" t="str">
        <f ca="1">IF(B291="","",VLOOKUP(D291,'Species Data'!B:E,4,FALSE))</f>
        <v>methcychex</v>
      </c>
      <c r="D291" s="246">
        <f t="shared" ca="1" si="34"/>
        <v>550</v>
      </c>
      <c r="E291" s="246">
        <f t="shared" ca="1" si="35"/>
        <v>0.64670000000000005</v>
      </c>
      <c r="F291" s="246" t="str">
        <f t="shared" ca="1" si="36"/>
        <v>Methylcyclohexane</v>
      </c>
      <c r="G291" s="246">
        <f t="shared" ca="1" si="37"/>
        <v>98.186059999999998</v>
      </c>
      <c r="H291" s="204">
        <f ca="1">IF(G291="","",IF(VLOOKUP(Well_Head!F291,'Species Data'!D:F,3,FALSE)=0,"X",IF(G291&lt;44.1,2,1)))</f>
        <v>1</v>
      </c>
      <c r="I291" s="204">
        <f t="shared" ca="1" si="38"/>
        <v>0.46704501527724096</v>
      </c>
      <c r="J291" s="247">
        <f ca="1">IF(I291="","",IF(COUNTIF($D$12:D291,D291)=1,IF(H291=1,I291*H291,IF(H291="X","X",0)),0))</f>
        <v>0</v>
      </c>
      <c r="K291" s="248">
        <f t="shared" ca="1" si="39"/>
        <v>0</v>
      </c>
      <c r="L291" s="239" t="s">
        <v>626</v>
      </c>
      <c r="M291" s="215" t="s">
        <v>448</v>
      </c>
      <c r="N291" s="215" t="s">
        <v>470</v>
      </c>
      <c r="O291" s="216">
        <v>41419</v>
      </c>
      <c r="P291" s="215" t="s">
        <v>531</v>
      </c>
      <c r="Q291" s="217">
        <v>100</v>
      </c>
      <c r="R291" s="215" t="s">
        <v>445</v>
      </c>
      <c r="S291" s="215" t="s">
        <v>532</v>
      </c>
      <c r="T291" s="215" t="s">
        <v>445</v>
      </c>
      <c r="U291" s="215" t="s">
        <v>446</v>
      </c>
      <c r="V291" s="217" t="b">
        <v>1</v>
      </c>
      <c r="W291" s="217">
        <v>1989</v>
      </c>
      <c r="X291" s="217">
        <v>5</v>
      </c>
      <c r="Y291" s="217">
        <v>2</v>
      </c>
      <c r="Z291" s="217">
        <v>4</v>
      </c>
      <c r="AA291" s="215" t="s">
        <v>447</v>
      </c>
      <c r="AB291" s="215" t="s">
        <v>531</v>
      </c>
      <c r="AC291" s="215" t="s">
        <v>533</v>
      </c>
      <c r="AD291" s="217">
        <v>2.3802949999999998</v>
      </c>
      <c r="AE291" s="217">
        <v>514</v>
      </c>
      <c r="AF291" s="217">
        <v>2.7000000000000001E-3</v>
      </c>
      <c r="AG291" s="217">
        <v>-99</v>
      </c>
      <c r="AH291" s="215" t="s">
        <v>224</v>
      </c>
      <c r="AI291" s="215" t="s">
        <v>449</v>
      </c>
      <c r="AJ291" s="215" t="s">
        <v>362</v>
      </c>
      <c r="AK291" s="215" t="s">
        <v>531</v>
      </c>
      <c r="AL291" s="215" t="s">
        <v>399</v>
      </c>
      <c r="AM291" s="217" t="b">
        <v>1</v>
      </c>
      <c r="AN291" s="217" t="b">
        <v>1</v>
      </c>
      <c r="AO291" s="215" t="s">
        <v>363</v>
      </c>
      <c r="AP291" s="215" t="s">
        <v>364</v>
      </c>
      <c r="AQ291" s="217">
        <v>120.19158</v>
      </c>
      <c r="AR291" s="217" t="b">
        <v>0</v>
      </c>
      <c r="AS291" s="215" t="s">
        <v>534</v>
      </c>
      <c r="AU291" s="222" t="s">
        <v>819</v>
      </c>
    </row>
    <row r="292" spans="1:47" s="218" customFormat="1" x14ac:dyDescent="0.25">
      <c r="A292" s="245">
        <f t="shared" si="32"/>
        <v>387</v>
      </c>
      <c r="B292" s="246" t="str">
        <f t="shared" si="33"/>
        <v>Oil Field - Well</v>
      </c>
      <c r="C292" s="246" t="str">
        <f ca="1">IF(B292="","",VLOOKUP(D292,'Species Data'!B:E,4,FALSE))</f>
        <v>methcycpen</v>
      </c>
      <c r="D292" s="246">
        <f t="shared" ca="1" si="34"/>
        <v>551</v>
      </c>
      <c r="E292" s="246">
        <f t="shared" ca="1" si="35"/>
        <v>1.1295999999999999</v>
      </c>
      <c r="F292" s="246" t="str">
        <f t="shared" ca="1" si="36"/>
        <v>Methylcyclopentane</v>
      </c>
      <c r="G292" s="246">
        <f t="shared" ca="1" si="37"/>
        <v>84.159480000000002</v>
      </c>
      <c r="H292" s="204">
        <f ca="1">IF(G292="","",IF(VLOOKUP(Well_Head!F292,'Species Data'!D:F,3,FALSE)=0,"X",IF(G292&lt;44.1,2,1)))</f>
        <v>1</v>
      </c>
      <c r="I292" s="204">
        <f t="shared" ca="1" si="38"/>
        <v>0.80952321163948093</v>
      </c>
      <c r="J292" s="247">
        <f ca="1">IF(I292="","",IF(COUNTIF($D$12:D292,D292)=1,IF(H292=1,I292*H292,IF(H292="X","X",0)),0))</f>
        <v>0</v>
      </c>
      <c r="K292" s="248">
        <f t="shared" ca="1" si="39"/>
        <v>0</v>
      </c>
      <c r="L292" s="239" t="s">
        <v>626</v>
      </c>
      <c r="M292" s="215" t="s">
        <v>448</v>
      </c>
      <c r="N292" s="215" t="s">
        <v>470</v>
      </c>
      <c r="O292" s="216">
        <v>41419</v>
      </c>
      <c r="P292" s="215" t="s">
        <v>531</v>
      </c>
      <c r="Q292" s="217">
        <v>100</v>
      </c>
      <c r="R292" s="215" t="s">
        <v>445</v>
      </c>
      <c r="S292" s="215" t="s">
        <v>532</v>
      </c>
      <c r="T292" s="215" t="s">
        <v>445</v>
      </c>
      <c r="U292" s="215" t="s">
        <v>446</v>
      </c>
      <c r="V292" s="217" t="b">
        <v>1</v>
      </c>
      <c r="W292" s="217">
        <v>1989</v>
      </c>
      <c r="X292" s="217">
        <v>5</v>
      </c>
      <c r="Y292" s="217">
        <v>2</v>
      </c>
      <c r="Z292" s="217">
        <v>4</v>
      </c>
      <c r="AA292" s="215" t="s">
        <v>447</v>
      </c>
      <c r="AB292" s="215" t="s">
        <v>531</v>
      </c>
      <c r="AC292" s="215" t="s">
        <v>533</v>
      </c>
      <c r="AD292" s="217">
        <v>2.3802949999999998</v>
      </c>
      <c r="AE292" s="217">
        <v>524</v>
      </c>
      <c r="AF292" s="217">
        <v>3.3399999999999999E-2</v>
      </c>
      <c r="AG292" s="217">
        <v>-99</v>
      </c>
      <c r="AH292" s="215" t="s">
        <v>224</v>
      </c>
      <c r="AI292" s="215" t="s">
        <v>449</v>
      </c>
      <c r="AJ292" s="215" t="s">
        <v>436</v>
      </c>
      <c r="AK292" s="215" t="s">
        <v>531</v>
      </c>
      <c r="AL292" s="215" t="s">
        <v>460</v>
      </c>
      <c r="AM292" s="217" t="b">
        <v>0</v>
      </c>
      <c r="AN292" s="217" t="b">
        <v>1</v>
      </c>
      <c r="AO292" s="215" t="s">
        <v>437</v>
      </c>
      <c r="AP292" s="215" t="s">
        <v>438</v>
      </c>
      <c r="AQ292" s="217">
        <v>106.16500000000001</v>
      </c>
      <c r="AR292" s="217" t="b">
        <v>0</v>
      </c>
      <c r="AS292" s="215" t="s">
        <v>534</v>
      </c>
      <c r="AU292" s="222" t="s">
        <v>819</v>
      </c>
    </row>
    <row r="293" spans="1:47" s="218" customFormat="1" x14ac:dyDescent="0.25">
      <c r="A293" s="245">
        <f t="shared" si="32"/>
        <v>388</v>
      </c>
      <c r="B293" s="246" t="str">
        <f t="shared" si="33"/>
        <v>Oil Field - Well</v>
      </c>
      <c r="C293" s="246" t="str">
        <f ca="1">IF(B293="","",VLOOKUP(D293,'Species Data'!B:E,4,FALSE))</f>
        <v>N_but</v>
      </c>
      <c r="D293" s="246">
        <f t="shared" ca="1" si="34"/>
        <v>592</v>
      </c>
      <c r="E293" s="246">
        <f t="shared" ca="1" si="35"/>
        <v>8.2203999999999997</v>
      </c>
      <c r="F293" s="246" t="str">
        <f t="shared" ca="1" si="36"/>
        <v>N-butane</v>
      </c>
      <c r="G293" s="246">
        <f t="shared" ca="1" si="37"/>
        <v>58.122199999999992</v>
      </c>
      <c r="H293" s="204">
        <f ca="1">IF(G293="","",IF(VLOOKUP(Well_Head!F293,'Species Data'!D:F,3,FALSE)=0,"X",IF(G293&lt;44.1,2,1)))</f>
        <v>1</v>
      </c>
      <c r="I293" s="204">
        <f t="shared" ca="1" si="38"/>
        <v>6.782997179218774</v>
      </c>
      <c r="J293" s="247">
        <f ca="1">IF(I293="","",IF(COUNTIF($D$12:D293,D293)=1,IF(H293=1,I293*H293,IF(H293="X","X",0)),0))</f>
        <v>0</v>
      </c>
      <c r="K293" s="248">
        <f t="shared" ca="1" si="39"/>
        <v>0</v>
      </c>
      <c r="L293" s="239" t="s">
        <v>626</v>
      </c>
      <c r="M293" s="215" t="s">
        <v>448</v>
      </c>
      <c r="N293" s="215" t="s">
        <v>470</v>
      </c>
      <c r="O293" s="216">
        <v>41419</v>
      </c>
      <c r="P293" s="215" t="s">
        <v>531</v>
      </c>
      <c r="Q293" s="217">
        <v>100</v>
      </c>
      <c r="R293" s="215" t="s">
        <v>445</v>
      </c>
      <c r="S293" s="215" t="s">
        <v>532</v>
      </c>
      <c r="T293" s="215" t="s">
        <v>445</v>
      </c>
      <c r="U293" s="215" t="s">
        <v>446</v>
      </c>
      <c r="V293" s="217" t="b">
        <v>1</v>
      </c>
      <c r="W293" s="217">
        <v>1989</v>
      </c>
      <c r="X293" s="217">
        <v>5</v>
      </c>
      <c r="Y293" s="217">
        <v>2</v>
      </c>
      <c r="Z293" s="217">
        <v>4</v>
      </c>
      <c r="AA293" s="215" t="s">
        <v>447</v>
      </c>
      <c r="AB293" s="215" t="s">
        <v>531</v>
      </c>
      <c r="AC293" s="215" t="s">
        <v>533</v>
      </c>
      <c r="AD293" s="217">
        <v>2.3802949999999998</v>
      </c>
      <c r="AE293" s="217">
        <v>529</v>
      </c>
      <c r="AF293" s="217">
        <v>47.8262</v>
      </c>
      <c r="AG293" s="217">
        <v>-99</v>
      </c>
      <c r="AH293" s="215" t="s">
        <v>224</v>
      </c>
      <c r="AI293" s="215" t="s">
        <v>449</v>
      </c>
      <c r="AJ293" s="215" t="s">
        <v>271</v>
      </c>
      <c r="AK293" s="215" t="s">
        <v>531</v>
      </c>
      <c r="AL293" s="215" t="s">
        <v>376</v>
      </c>
      <c r="AM293" s="217" t="b">
        <v>0</v>
      </c>
      <c r="AN293" s="217" t="b">
        <v>0</v>
      </c>
      <c r="AO293" s="215" t="s">
        <v>272</v>
      </c>
      <c r="AP293" s="215" t="s">
        <v>531</v>
      </c>
      <c r="AQ293" s="217">
        <v>16.042459999999998</v>
      </c>
      <c r="AR293" s="217" t="b">
        <v>1</v>
      </c>
      <c r="AS293" s="215" t="s">
        <v>534</v>
      </c>
      <c r="AU293" s="222" t="s">
        <v>819</v>
      </c>
    </row>
    <row r="294" spans="1:47" s="218" customFormat="1" x14ac:dyDescent="0.25">
      <c r="A294" s="245">
        <f t="shared" si="32"/>
        <v>389</v>
      </c>
      <c r="B294" s="246" t="str">
        <f t="shared" si="33"/>
        <v>Oil Field - Well</v>
      </c>
      <c r="C294" s="246" t="str">
        <f ca="1">IF(B294="","",VLOOKUP(D294,'Species Data'!B:E,4,FALSE))</f>
        <v>N_dec</v>
      </c>
      <c r="D294" s="246">
        <f t="shared" ca="1" si="34"/>
        <v>598</v>
      </c>
      <c r="E294" s="246">
        <f t="shared" ca="1" si="35"/>
        <v>6.0000000000000001E-3</v>
      </c>
      <c r="F294" s="246" t="str">
        <f t="shared" ca="1" si="36"/>
        <v>N-decane</v>
      </c>
      <c r="G294" s="246">
        <f t="shared" ca="1" si="37"/>
        <v>142.28167999999999</v>
      </c>
      <c r="H294" s="204">
        <f ca="1">IF(G294="","",IF(VLOOKUP(Well_Head!F294,'Species Data'!D:F,3,FALSE)=0,"X",IF(G294&lt;44.1,2,1)))</f>
        <v>1</v>
      </c>
      <c r="I294" s="204">
        <f t="shared" ca="1" si="38"/>
        <v>7.7733428340856864E-2</v>
      </c>
      <c r="J294" s="247">
        <f ca="1">IF(I294="","",IF(COUNTIF($D$12:D294,D294)=1,IF(H294=1,I294*H294,IF(H294="X","X",0)),0))</f>
        <v>0</v>
      </c>
      <c r="K294" s="248">
        <f t="shared" ca="1" si="39"/>
        <v>0</v>
      </c>
      <c r="L294" s="239" t="s">
        <v>626</v>
      </c>
      <c r="M294" s="215" t="s">
        <v>448</v>
      </c>
      <c r="N294" s="215" t="s">
        <v>470</v>
      </c>
      <c r="O294" s="216">
        <v>41419</v>
      </c>
      <c r="P294" s="215" t="s">
        <v>531</v>
      </c>
      <c r="Q294" s="217">
        <v>100</v>
      </c>
      <c r="R294" s="215" t="s">
        <v>445</v>
      </c>
      <c r="S294" s="215" t="s">
        <v>532</v>
      </c>
      <c r="T294" s="215" t="s">
        <v>445</v>
      </c>
      <c r="U294" s="215" t="s">
        <v>446</v>
      </c>
      <c r="V294" s="217" t="b">
        <v>1</v>
      </c>
      <c r="W294" s="217">
        <v>1989</v>
      </c>
      <c r="X294" s="217">
        <v>5</v>
      </c>
      <c r="Y294" s="217">
        <v>2</v>
      </c>
      <c r="Z294" s="217">
        <v>4</v>
      </c>
      <c r="AA294" s="215" t="s">
        <v>447</v>
      </c>
      <c r="AB294" s="215" t="s">
        <v>531</v>
      </c>
      <c r="AC294" s="215" t="s">
        <v>533</v>
      </c>
      <c r="AD294" s="217">
        <v>2.3802949999999998</v>
      </c>
      <c r="AE294" s="217">
        <v>551</v>
      </c>
      <c r="AF294" s="217">
        <v>1.6400000000000001E-2</v>
      </c>
      <c r="AG294" s="217">
        <v>-99</v>
      </c>
      <c r="AH294" s="215" t="s">
        <v>224</v>
      </c>
      <c r="AI294" s="215" t="s">
        <v>449</v>
      </c>
      <c r="AJ294" s="215" t="s">
        <v>351</v>
      </c>
      <c r="AK294" s="215" t="s">
        <v>531</v>
      </c>
      <c r="AL294" s="215" t="s">
        <v>397</v>
      </c>
      <c r="AM294" s="217" t="b">
        <v>1</v>
      </c>
      <c r="AN294" s="217" t="b">
        <v>0</v>
      </c>
      <c r="AO294" s="215" t="s">
        <v>352</v>
      </c>
      <c r="AP294" s="215" t="s">
        <v>353</v>
      </c>
      <c r="AQ294" s="217">
        <v>84.159480000000002</v>
      </c>
      <c r="AR294" s="217" t="b">
        <v>0</v>
      </c>
      <c r="AS294" s="215" t="s">
        <v>534</v>
      </c>
      <c r="AU294" s="222" t="s">
        <v>819</v>
      </c>
    </row>
    <row r="295" spans="1:47" s="218" customFormat="1" x14ac:dyDescent="0.25">
      <c r="A295" s="245">
        <f t="shared" ref="A295:A358" si="40">IF(B295="","",A294+1)</f>
        <v>390</v>
      </c>
      <c r="B295" s="246" t="str">
        <f t="shared" si="33"/>
        <v>Oil Field - Well</v>
      </c>
      <c r="C295" s="246" t="str">
        <f ca="1">IF(B295="","",VLOOKUP(D295,'Species Data'!B:E,4,FALSE))</f>
        <v>N_hep</v>
      </c>
      <c r="D295" s="246">
        <f t="shared" ca="1" si="34"/>
        <v>600</v>
      </c>
      <c r="E295" s="246">
        <f t="shared" ca="1" si="35"/>
        <v>0.93540000000000001</v>
      </c>
      <c r="F295" s="246" t="str">
        <f t="shared" ca="1" si="36"/>
        <v>N-heptane</v>
      </c>
      <c r="G295" s="246">
        <f t="shared" ca="1" si="37"/>
        <v>100.20194000000001</v>
      </c>
      <c r="H295" s="204">
        <f ca="1">IF(G295="","",IF(VLOOKUP(Well_Head!F295,'Species Data'!D:F,3,FALSE)=0,"X",IF(G295&lt;44.1,2,1)))</f>
        <v>1</v>
      </c>
      <c r="I295" s="204">
        <f t="shared" ca="1" si="38"/>
        <v>0.42536718655989475</v>
      </c>
      <c r="J295" s="247">
        <f ca="1">IF(I295="","",IF(COUNTIF($D$12:D295,D295)=1,IF(H295=1,I295*H295,IF(H295="X","X",0)),0))</f>
        <v>0</v>
      </c>
      <c r="K295" s="248">
        <f t="shared" ca="1" si="39"/>
        <v>0</v>
      </c>
      <c r="L295" s="239" t="s">
        <v>626</v>
      </c>
      <c r="M295" s="215" t="s">
        <v>448</v>
      </c>
      <c r="N295" s="215" t="s">
        <v>470</v>
      </c>
      <c r="O295" s="216">
        <v>41419</v>
      </c>
      <c r="P295" s="215" t="s">
        <v>531</v>
      </c>
      <c r="Q295" s="217">
        <v>100</v>
      </c>
      <c r="R295" s="215" t="s">
        <v>445</v>
      </c>
      <c r="S295" s="215" t="s">
        <v>532</v>
      </c>
      <c r="T295" s="215" t="s">
        <v>445</v>
      </c>
      <c r="U295" s="215" t="s">
        <v>446</v>
      </c>
      <c r="V295" s="217" t="b">
        <v>1</v>
      </c>
      <c r="W295" s="217">
        <v>1989</v>
      </c>
      <c r="X295" s="217">
        <v>5</v>
      </c>
      <c r="Y295" s="217">
        <v>2</v>
      </c>
      <c r="Z295" s="217">
        <v>4</v>
      </c>
      <c r="AA295" s="215" t="s">
        <v>447</v>
      </c>
      <c r="AB295" s="215" t="s">
        <v>531</v>
      </c>
      <c r="AC295" s="215" t="s">
        <v>533</v>
      </c>
      <c r="AD295" s="217">
        <v>2.3802949999999998</v>
      </c>
      <c r="AE295" s="217">
        <v>592</v>
      </c>
      <c r="AF295" s="217">
        <v>7.7709999999999999</v>
      </c>
      <c r="AG295" s="217">
        <v>-99</v>
      </c>
      <c r="AH295" s="215" t="s">
        <v>224</v>
      </c>
      <c r="AI295" s="215" t="s">
        <v>449</v>
      </c>
      <c r="AJ295" s="215" t="s">
        <v>273</v>
      </c>
      <c r="AK295" s="215" t="s">
        <v>531</v>
      </c>
      <c r="AL295" s="215" t="s">
        <v>377</v>
      </c>
      <c r="AM295" s="217" t="b">
        <v>1</v>
      </c>
      <c r="AN295" s="217" t="b">
        <v>0</v>
      </c>
      <c r="AO295" s="215" t="s">
        <v>274</v>
      </c>
      <c r="AP295" s="215" t="s">
        <v>275</v>
      </c>
      <c r="AQ295" s="217">
        <v>58.122199999999992</v>
      </c>
      <c r="AR295" s="217" t="b">
        <v>0</v>
      </c>
      <c r="AS295" s="215" t="s">
        <v>534</v>
      </c>
      <c r="AU295" s="222" t="s">
        <v>819</v>
      </c>
    </row>
    <row r="296" spans="1:47" s="218" customFormat="1" x14ac:dyDescent="0.25">
      <c r="A296" s="245">
        <f t="shared" si="40"/>
        <v>391</v>
      </c>
      <c r="B296" s="246" t="str">
        <f t="shared" si="33"/>
        <v>Oil Field - Well</v>
      </c>
      <c r="C296" s="246" t="str">
        <f ca="1">IF(B296="","",VLOOKUP(D296,'Species Data'!B:E,4,FALSE))</f>
        <v>N_hex</v>
      </c>
      <c r="D296" s="246">
        <f t="shared" ca="1" si="34"/>
        <v>601</v>
      </c>
      <c r="E296" s="246">
        <f t="shared" ca="1" si="35"/>
        <v>1.7048000000000001</v>
      </c>
      <c r="F296" s="246" t="str">
        <f t="shared" ca="1" si="36"/>
        <v>N-hexane</v>
      </c>
      <c r="G296" s="246">
        <f t="shared" ca="1" si="37"/>
        <v>86.175359999999998</v>
      </c>
      <c r="H296" s="204">
        <f ca="1">IF(G296="","",IF(VLOOKUP(Well_Head!F296,'Species Data'!D:F,3,FALSE)=0,"X",IF(G296&lt;44.1,2,1)))</f>
        <v>1</v>
      </c>
      <c r="I296" s="204">
        <f t="shared" ca="1" si="38"/>
        <v>0.89334553631121094</v>
      </c>
      <c r="J296" s="247">
        <f ca="1">IF(I296="","",IF(COUNTIF($D$12:D296,D296)=1,IF(H296=1,I296*H296,IF(H296="X","X",0)),0))</f>
        <v>0</v>
      </c>
      <c r="K296" s="248">
        <f t="shared" ca="1" si="39"/>
        <v>0</v>
      </c>
      <c r="L296" s="239" t="s">
        <v>626</v>
      </c>
      <c r="M296" s="215" t="s">
        <v>448</v>
      </c>
      <c r="N296" s="215" t="s">
        <v>470</v>
      </c>
      <c r="O296" s="216">
        <v>41419</v>
      </c>
      <c r="P296" s="215" t="s">
        <v>531</v>
      </c>
      <c r="Q296" s="217">
        <v>100</v>
      </c>
      <c r="R296" s="215" t="s">
        <v>445</v>
      </c>
      <c r="S296" s="215" t="s">
        <v>532</v>
      </c>
      <c r="T296" s="215" t="s">
        <v>445</v>
      </c>
      <c r="U296" s="215" t="s">
        <v>446</v>
      </c>
      <c r="V296" s="217" t="b">
        <v>1</v>
      </c>
      <c r="W296" s="217">
        <v>1989</v>
      </c>
      <c r="X296" s="217">
        <v>5</v>
      </c>
      <c r="Y296" s="217">
        <v>2</v>
      </c>
      <c r="Z296" s="217">
        <v>4</v>
      </c>
      <c r="AA296" s="215" t="s">
        <v>447</v>
      </c>
      <c r="AB296" s="215" t="s">
        <v>531</v>
      </c>
      <c r="AC296" s="215" t="s">
        <v>533</v>
      </c>
      <c r="AD296" s="217">
        <v>2.3802949999999998</v>
      </c>
      <c r="AE296" s="217">
        <v>598</v>
      </c>
      <c r="AF296" s="217">
        <v>1.1000000000000001E-3</v>
      </c>
      <c r="AG296" s="217">
        <v>-99</v>
      </c>
      <c r="AH296" s="215" t="s">
        <v>224</v>
      </c>
      <c r="AI296" s="215" t="s">
        <v>449</v>
      </c>
      <c r="AJ296" s="215" t="s">
        <v>414</v>
      </c>
      <c r="AK296" s="215" t="s">
        <v>531</v>
      </c>
      <c r="AL296" s="215" t="s">
        <v>452</v>
      </c>
      <c r="AM296" s="217" t="b">
        <v>1</v>
      </c>
      <c r="AN296" s="217" t="b">
        <v>0</v>
      </c>
      <c r="AO296" s="215" t="s">
        <v>415</v>
      </c>
      <c r="AP296" s="215" t="s">
        <v>416</v>
      </c>
      <c r="AQ296" s="217">
        <v>142.28167999999999</v>
      </c>
      <c r="AR296" s="217" t="b">
        <v>0</v>
      </c>
      <c r="AS296" s="215" t="s">
        <v>534</v>
      </c>
      <c r="AU296" s="222" t="s">
        <v>819</v>
      </c>
    </row>
    <row r="297" spans="1:47" s="218" customFormat="1" x14ac:dyDescent="0.25">
      <c r="A297" s="245">
        <f t="shared" si="40"/>
        <v>392</v>
      </c>
      <c r="B297" s="246" t="str">
        <f t="shared" si="33"/>
        <v>Oil Field - Well</v>
      </c>
      <c r="C297" s="246" t="str">
        <f ca="1">IF(B297="","",VLOOKUP(D297,'Species Data'!B:E,4,FALSE))</f>
        <v>N_nonane</v>
      </c>
      <c r="D297" s="246">
        <f t="shared" ca="1" si="34"/>
        <v>603</v>
      </c>
      <c r="E297" s="246">
        <f t="shared" ca="1" si="35"/>
        <v>0.1951</v>
      </c>
      <c r="F297" s="246" t="str">
        <f t="shared" ca="1" si="36"/>
        <v>N-nonane</v>
      </c>
      <c r="G297" s="246">
        <f t="shared" ca="1" si="37"/>
        <v>128.2551</v>
      </c>
      <c r="H297" s="204">
        <f ca="1">IF(G297="","",IF(VLOOKUP(Well_Head!F297,'Species Data'!D:F,3,FALSE)=0,"X",IF(G297&lt;44.1,2,1)))</f>
        <v>1</v>
      </c>
      <c r="I297" s="204">
        <f t="shared" ca="1" si="38"/>
        <v>0.35487821151781407</v>
      </c>
      <c r="J297" s="247">
        <f ca="1">IF(I297="","",IF(COUNTIF($D$12:D297,D297)=1,IF(H297=1,I297*H297,IF(H297="X","X",0)),0))</f>
        <v>0</v>
      </c>
      <c r="K297" s="248">
        <f t="shared" ca="1" si="39"/>
        <v>0</v>
      </c>
      <c r="L297" s="239" t="s">
        <v>626</v>
      </c>
      <c r="M297" s="215" t="s">
        <v>448</v>
      </c>
      <c r="N297" s="215" t="s">
        <v>470</v>
      </c>
      <c r="O297" s="216">
        <v>41419</v>
      </c>
      <c r="P297" s="215" t="s">
        <v>531</v>
      </c>
      <c r="Q297" s="217">
        <v>100</v>
      </c>
      <c r="R297" s="215" t="s">
        <v>445</v>
      </c>
      <c r="S297" s="215" t="s">
        <v>532</v>
      </c>
      <c r="T297" s="215" t="s">
        <v>445</v>
      </c>
      <c r="U297" s="215" t="s">
        <v>446</v>
      </c>
      <c r="V297" s="217" t="b">
        <v>1</v>
      </c>
      <c r="W297" s="217">
        <v>1989</v>
      </c>
      <c r="X297" s="217">
        <v>5</v>
      </c>
      <c r="Y297" s="217">
        <v>2</v>
      </c>
      <c r="Z297" s="217">
        <v>4</v>
      </c>
      <c r="AA297" s="215" t="s">
        <v>447</v>
      </c>
      <c r="AB297" s="215" t="s">
        <v>531</v>
      </c>
      <c r="AC297" s="215" t="s">
        <v>533</v>
      </c>
      <c r="AD297" s="217">
        <v>2.3802949999999998</v>
      </c>
      <c r="AE297" s="217">
        <v>600</v>
      </c>
      <c r="AF297" s="217">
        <v>0.31640000000000001</v>
      </c>
      <c r="AG297" s="217">
        <v>-99</v>
      </c>
      <c r="AH297" s="215" t="s">
        <v>224</v>
      </c>
      <c r="AI297" s="215" t="s">
        <v>449</v>
      </c>
      <c r="AJ297" s="215" t="s">
        <v>276</v>
      </c>
      <c r="AK297" s="215" t="s">
        <v>531</v>
      </c>
      <c r="AL297" s="215" t="s">
        <v>378</v>
      </c>
      <c r="AM297" s="217" t="b">
        <v>1</v>
      </c>
      <c r="AN297" s="217" t="b">
        <v>0</v>
      </c>
      <c r="AO297" s="215" t="s">
        <v>277</v>
      </c>
      <c r="AP297" s="215" t="s">
        <v>278</v>
      </c>
      <c r="AQ297" s="217">
        <v>100.20194000000001</v>
      </c>
      <c r="AR297" s="217" t="b">
        <v>0</v>
      </c>
      <c r="AS297" s="215" t="s">
        <v>534</v>
      </c>
      <c r="AU297" s="222" t="s">
        <v>819</v>
      </c>
    </row>
    <row r="298" spans="1:47" s="218" customFormat="1" x14ac:dyDescent="0.25">
      <c r="A298" s="245">
        <f t="shared" si="40"/>
        <v>393</v>
      </c>
      <c r="B298" s="246" t="str">
        <f t="shared" si="33"/>
        <v>Oil Field - Well</v>
      </c>
      <c r="C298" s="246" t="str">
        <f ca="1">IF(B298="","",VLOOKUP(D298,'Species Data'!B:E,4,FALSE))</f>
        <v>N_octane</v>
      </c>
      <c r="D298" s="246">
        <f t="shared" ca="1" si="34"/>
        <v>604</v>
      </c>
      <c r="E298" s="246">
        <f t="shared" ca="1" si="35"/>
        <v>0.44619999999999999</v>
      </c>
      <c r="F298" s="246" t="str">
        <f t="shared" ca="1" si="36"/>
        <v>N-octane</v>
      </c>
      <c r="G298" s="246">
        <f t="shared" ca="1" si="37"/>
        <v>114.22852</v>
      </c>
      <c r="H298" s="204">
        <f ca="1">IF(G298="","",IF(VLOOKUP(Well_Head!F298,'Species Data'!D:F,3,FALSE)=0,"X",IF(G298&lt;44.1,2,1)))</f>
        <v>1</v>
      </c>
      <c r="I298" s="204">
        <f t="shared" ca="1" si="38"/>
        <v>0.67063415299729812</v>
      </c>
      <c r="J298" s="247">
        <f ca="1">IF(I298="","",IF(COUNTIF($D$12:D298,D298)=1,IF(H298=1,I298*H298,IF(H298="X","X",0)),0))</f>
        <v>0</v>
      </c>
      <c r="K298" s="248">
        <f t="shared" ca="1" si="39"/>
        <v>0</v>
      </c>
      <c r="L298" s="239" t="s">
        <v>626</v>
      </c>
      <c r="M298" s="215" t="s">
        <v>448</v>
      </c>
      <c r="N298" s="215" t="s">
        <v>470</v>
      </c>
      <c r="O298" s="216">
        <v>41419</v>
      </c>
      <c r="P298" s="215" t="s">
        <v>531</v>
      </c>
      <c r="Q298" s="217">
        <v>100</v>
      </c>
      <c r="R298" s="215" t="s">
        <v>445</v>
      </c>
      <c r="S298" s="215" t="s">
        <v>532</v>
      </c>
      <c r="T298" s="215" t="s">
        <v>445</v>
      </c>
      <c r="U298" s="215" t="s">
        <v>446</v>
      </c>
      <c r="V298" s="217" t="b">
        <v>1</v>
      </c>
      <c r="W298" s="217">
        <v>1989</v>
      </c>
      <c r="X298" s="217">
        <v>5</v>
      </c>
      <c r="Y298" s="217">
        <v>2</v>
      </c>
      <c r="Z298" s="217">
        <v>4</v>
      </c>
      <c r="AA298" s="215" t="s">
        <v>447</v>
      </c>
      <c r="AB298" s="215" t="s">
        <v>531</v>
      </c>
      <c r="AC298" s="215" t="s">
        <v>533</v>
      </c>
      <c r="AD298" s="217">
        <v>2.3802949999999998</v>
      </c>
      <c r="AE298" s="217">
        <v>601</v>
      </c>
      <c r="AF298" s="217">
        <v>1.1569</v>
      </c>
      <c r="AG298" s="217">
        <v>-99</v>
      </c>
      <c r="AH298" s="215" t="s">
        <v>224</v>
      </c>
      <c r="AI298" s="215" t="s">
        <v>449</v>
      </c>
      <c r="AJ298" s="215" t="s">
        <v>279</v>
      </c>
      <c r="AK298" s="215" t="s">
        <v>531</v>
      </c>
      <c r="AL298" s="215" t="s">
        <v>379</v>
      </c>
      <c r="AM298" s="217" t="b">
        <v>1</v>
      </c>
      <c r="AN298" s="217" t="b">
        <v>1</v>
      </c>
      <c r="AO298" s="215" t="s">
        <v>280</v>
      </c>
      <c r="AP298" s="215" t="s">
        <v>281</v>
      </c>
      <c r="AQ298" s="217">
        <v>86.175359999999998</v>
      </c>
      <c r="AR298" s="217" t="b">
        <v>0</v>
      </c>
      <c r="AS298" s="215" t="s">
        <v>534</v>
      </c>
      <c r="AU298" s="222" t="s">
        <v>819</v>
      </c>
    </row>
    <row r="299" spans="1:47" s="218" customFormat="1" x14ac:dyDescent="0.25">
      <c r="A299" s="245">
        <f t="shared" si="40"/>
        <v>394</v>
      </c>
      <c r="B299" s="246" t="str">
        <f t="shared" si="33"/>
        <v>Oil Field - Well</v>
      </c>
      <c r="C299" s="246" t="str">
        <f ca="1">IF(B299="","",VLOOKUP(D299,'Species Data'!B:E,4,FALSE))</f>
        <v>N_pentane</v>
      </c>
      <c r="D299" s="246">
        <f t="shared" ca="1" si="34"/>
        <v>605</v>
      </c>
      <c r="E299" s="246">
        <f t="shared" ca="1" si="35"/>
        <v>0.85009999999999997</v>
      </c>
      <c r="F299" s="246" t="str">
        <f t="shared" ca="1" si="36"/>
        <v>N-pentane</v>
      </c>
      <c r="G299" s="246">
        <f t="shared" ca="1" si="37"/>
        <v>72.148780000000002</v>
      </c>
      <c r="H299" s="204">
        <f ca="1">IF(G299="","",IF(VLOOKUP(Well_Head!F299,'Species Data'!D:F,3,FALSE)=0,"X",IF(G299&lt;44.1,2,1)))</f>
        <v>1</v>
      </c>
      <c r="I299" s="204">
        <f t="shared" ca="1" si="38"/>
        <v>2.2200360467107241</v>
      </c>
      <c r="J299" s="247">
        <f ca="1">IF(I299="","",IF(COUNTIF($D$12:D299,D299)=1,IF(H299=1,I299*H299,IF(H299="X","X",0)),0))</f>
        <v>0</v>
      </c>
      <c r="K299" s="248">
        <f t="shared" ca="1" si="39"/>
        <v>0</v>
      </c>
      <c r="L299" s="239" t="s">
        <v>626</v>
      </c>
      <c r="M299" s="215" t="s">
        <v>448</v>
      </c>
      <c r="N299" s="215" t="s">
        <v>470</v>
      </c>
      <c r="O299" s="216">
        <v>41419</v>
      </c>
      <c r="P299" s="215" t="s">
        <v>531</v>
      </c>
      <c r="Q299" s="217">
        <v>100</v>
      </c>
      <c r="R299" s="215" t="s">
        <v>445</v>
      </c>
      <c r="S299" s="215" t="s">
        <v>532</v>
      </c>
      <c r="T299" s="215" t="s">
        <v>445</v>
      </c>
      <c r="U299" s="215" t="s">
        <v>446</v>
      </c>
      <c r="V299" s="217" t="b">
        <v>1</v>
      </c>
      <c r="W299" s="217">
        <v>1989</v>
      </c>
      <c r="X299" s="217">
        <v>5</v>
      </c>
      <c r="Y299" s="217">
        <v>2</v>
      </c>
      <c r="Z299" s="217">
        <v>4</v>
      </c>
      <c r="AA299" s="215" t="s">
        <v>447</v>
      </c>
      <c r="AB299" s="215" t="s">
        <v>531</v>
      </c>
      <c r="AC299" s="215" t="s">
        <v>533</v>
      </c>
      <c r="AD299" s="217">
        <v>2.3802949999999998</v>
      </c>
      <c r="AE299" s="217">
        <v>603</v>
      </c>
      <c r="AF299" s="217">
        <v>1.8599999999999998E-2</v>
      </c>
      <c r="AG299" s="217">
        <v>-99</v>
      </c>
      <c r="AH299" s="215" t="s">
        <v>224</v>
      </c>
      <c r="AI299" s="215" t="s">
        <v>449</v>
      </c>
      <c r="AJ299" s="215" t="s">
        <v>417</v>
      </c>
      <c r="AK299" s="215" t="s">
        <v>531</v>
      </c>
      <c r="AL299" s="215" t="s">
        <v>453</v>
      </c>
      <c r="AM299" s="217" t="b">
        <v>1</v>
      </c>
      <c r="AN299" s="217" t="b">
        <v>0</v>
      </c>
      <c r="AO299" s="215" t="s">
        <v>418</v>
      </c>
      <c r="AP299" s="215" t="s">
        <v>419</v>
      </c>
      <c r="AQ299" s="217">
        <v>128.2551</v>
      </c>
      <c r="AR299" s="217" t="b">
        <v>0</v>
      </c>
      <c r="AS299" s="215" t="s">
        <v>534</v>
      </c>
      <c r="AU299" s="222" t="s">
        <v>819</v>
      </c>
    </row>
    <row r="300" spans="1:47" s="218" customFormat="1" x14ac:dyDescent="0.25">
      <c r="A300" s="245">
        <f t="shared" si="40"/>
        <v>395</v>
      </c>
      <c r="B300" s="246" t="str">
        <f t="shared" si="33"/>
        <v>Oil Field - Well</v>
      </c>
      <c r="C300" s="246" t="str">
        <f ca="1">IF(B300="","",VLOOKUP(D300,'Species Data'!B:E,4,FALSE))</f>
        <v>N_proben</v>
      </c>
      <c r="D300" s="246">
        <f t="shared" ca="1" si="34"/>
        <v>608</v>
      </c>
      <c r="E300" s="246">
        <f t="shared" ca="1" si="35"/>
        <v>4.5600000000000002E-2</v>
      </c>
      <c r="F300" s="246" t="str">
        <f t="shared" ca="1" si="36"/>
        <v>N-propylbenzene</v>
      </c>
      <c r="G300" s="246">
        <f t="shared" ca="1" si="37"/>
        <v>120.19158</v>
      </c>
      <c r="H300" s="204">
        <f ca="1">IF(G300="","",IF(VLOOKUP(Well_Head!F300,'Species Data'!D:F,3,FALSE)=0,"X",IF(G300&lt;44.1,2,1)))</f>
        <v>1</v>
      </c>
      <c r="I300" s="204">
        <f t="shared" ca="1" si="38"/>
        <v>0.16350019983357761</v>
      </c>
      <c r="J300" s="247">
        <f ca="1">IF(I300="","",IF(COUNTIF($D$12:D300,D300)=1,IF(H300=1,I300*H300,IF(H300="X","X",0)),0))</f>
        <v>0</v>
      </c>
      <c r="K300" s="248">
        <f t="shared" ca="1" si="39"/>
        <v>0</v>
      </c>
      <c r="L300" s="239" t="s">
        <v>626</v>
      </c>
      <c r="M300" s="215" t="s">
        <v>448</v>
      </c>
      <c r="N300" s="215" t="s">
        <v>470</v>
      </c>
      <c r="O300" s="216">
        <v>41419</v>
      </c>
      <c r="P300" s="215" t="s">
        <v>531</v>
      </c>
      <c r="Q300" s="217">
        <v>100</v>
      </c>
      <c r="R300" s="215" t="s">
        <v>445</v>
      </c>
      <c r="S300" s="215" t="s">
        <v>532</v>
      </c>
      <c r="T300" s="215" t="s">
        <v>445</v>
      </c>
      <c r="U300" s="215" t="s">
        <v>446</v>
      </c>
      <c r="V300" s="217" t="b">
        <v>1</v>
      </c>
      <c r="W300" s="217">
        <v>1989</v>
      </c>
      <c r="X300" s="217">
        <v>5</v>
      </c>
      <c r="Y300" s="217">
        <v>2</v>
      </c>
      <c r="Z300" s="217">
        <v>4</v>
      </c>
      <c r="AA300" s="215" t="s">
        <v>447</v>
      </c>
      <c r="AB300" s="215" t="s">
        <v>531</v>
      </c>
      <c r="AC300" s="215" t="s">
        <v>533</v>
      </c>
      <c r="AD300" s="217">
        <v>2.3802949999999998</v>
      </c>
      <c r="AE300" s="217">
        <v>604</v>
      </c>
      <c r="AF300" s="217">
        <v>8.14E-2</v>
      </c>
      <c r="AG300" s="217">
        <v>-99</v>
      </c>
      <c r="AH300" s="215" t="s">
        <v>224</v>
      </c>
      <c r="AI300" s="215" t="s">
        <v>449</v>
      </c>
      <c r="AJ300" s="215" t="s">
        <v>282</v>
      </c>
      <c r="AK300" s="215" t="s">
        <v>531</v>
      </c>
      <c r="AL300" s="215" t="s">
        <v>380</v>
      </c>
      <c r="AM300" s="217" t="b">
        <v>1</v>
      </c>
      <c r="AN300" s="217" t="b">
        <v>0</v>
      </c>
      <c r="AO300" s="215" t="s">
        <v>283</v>
      </c>
      <c r="AP300" s="215" t="s">
        <v>284</v>
      </c>
      <c r="AQ300" s="217">
        <v>114.22852</v>
      </c>
      <c r="AR300" s="217" t="b">
        <v>0</v>
      </c>
      <c r="AS300" s="215" t="s">
        <v>534</v>
      </c>
      <c r="AU300" s="222" t="s">
        <v>819</v>
      </c>
    </row>
    <row r="301" spans="1:47" s="218" customFormat="1" x14ac:dyDescent="0.25">
      <c r="A301" s="245">
        <f t="shared" si="40"/>
        <v>396</v>
      </c>
      <c r="B301" s="246" t="str">
        <f t="shared" si="33"/>
        <v>Oil Field - Well</v>
      </c>
      <c r="C301" s="246" t="str">
        <f ca="1">IF(B301="","",VLOOKUP(D301,'Species Data'!B:E,4,FALSE))</f>
        <v>O_xylene</v>
      </c>
      <c r="D301" s="246">
        <f t="shared" ca="1" si="34"/>
        <v>620</v>
      </c>
      <c r="E301" s="246">
        <f t="shared" ca="1" si="35"/>
        <v>8.1299999999999997E-2</v>
      </c>
      <c r="F301" s="246" t="str">
        <f t="shared" ca="1" si="36"/>
        <v>O-xylene</v>
      </c>
      <c r="G301" s="246">
        <f t="shared" ca="1" si="37"/>
        <v>106.16500000000001</v>
      </c>
      <c r="H301" s="204">
        <f ca="1">IF(G301="","",IF(VLOOKUP(Well_Head!F301,'Species Data'!D:F,3,FALSE)=0,"X",IF(G301&lt;44.1,2,1)))</f>
        <v>1</v>
      </c>
      <c r="I301" s="204">
        <f t="shared" ca="1" si="38"/>
        <v>0.25780031508927398</v>
      </c>
      <c r="J301" s="247">
        <f ca="1">IF(I301="","",IF(COUNTIF($D$12:D301,D301)=1,IF(H301=1,I301*H301,IF(H301="X","X",0)),0))</f>
        <v>0</v>
      </c>
      <c r="K301" s="248">
        <f t="shared" ca="1" si="39"/>
        <v>0</v>
      </c>
      <c r="L301" s="239" t="s">
        <v>626</v>
      </c>
      <c r="M301" s="215" t="s">
        <v>448</v>
      </c>
      <c r="N301" s="215" t="s">
        <v>470</v>
      </c>
      <c r="O301" s="216">
        <v>41419</v>
      </c>
      <c r="P301" s="215" t="s">
        <v>531</v>
      </c>
      <c r="Q301" s="217">
        <v>100</v>
      </c>
      <c r="R301" s="215" t="s">
        <v>445</v>
      </c>
      <c r="S301" s="215" t="s">
        <v>532</v>
      </c>
      <c r="T301" s="215" t="s">
        <v>445</v>
      </c>
      <c r="U301" s="215" t="s">
        <v>446</v>
      </c>
      <c r="V301" s="217" t="b">
        <v>1</v>
      </c>
      <c r="W301" s="217">
        <v>1989</v>
      </c>
      <c r="X301" s="217">
        <v>5</v>
      </c>
      <c r="Y301" s="217">
        <v>2</v>
      </c>
      <c r="Z301" s="217">
        <v>4</v>
      </c>
      <c r="AA301" s="215" t="s">
        <v>447</v>
      </c>
      <c r="AB301" s="215" t="s">
        <v>531</v>
      </c>
      <c r="AC301" s="215" t="s">
        <v>533</v>
      </c>
      <c r="AD301" s="217">
        <v>2.3802949999999998</v>
      </c>
      <c r="AE301" s="217">
        <v>605</v>
      </c>
      <c r="AF301" s="217">
        <v>3.3931</v>
      </c>
      <c r="AG301" s="217">
        <v>-99</v>
      </c>
      <c r="AH301" s="215" t="s">
        <v>224</v>
      </c>
      <c r="AI301" s="215" t="s">
        <v>449</v>
      </c>
      <c r="AJ301" s="215" t="s">
        <v>285</v>
      </c>
      <c r="AK301" s="215" t="s">
        <v>531</v>
      </c>
      <c r="AL301" s="215" t="s">
        <v>381</v>
      </c>
      <c r="AM301" s="217" t="b">
        <v>1</v>
      </c>
      <c r="AN301" s="217" t="b">
        <v>0</v>
      </c>
      <c r="AO301" s="215" t="s">
        <v>286</v>
      </c>
      <c r="AP301" s="215" t="s">
        <v>287</v>
      </c>
      <c r="AQ301" s="217">
        <v>72.148780000000002</v>
      </c>
      <c r="AR301" s="217" t="b">
        <v>0</v>
      </c>
      <c r="AS301" s="215" t="s">
        <v>534</v>
      </c>
      <c r="AU301" s="222" t="s">
        <v>819</v>
      </c>
    </row>
    <row r="302" spans="1:47" s="218" customFormat="1" x14ac:dyDescent="0.25">
      <c r="A302" s="245">
        <f t="shared" si="40"/>
        <v>397</v>
      </c>
      <c r="B302" s="246" t="str">
        <f t="shared" si="33"/>
        <v>Oil Field - Well</v>
      </c>
      <c r="C302" s="246" t="str">
        <f ca="1">IF(B302="","",VLOOKUP(D302,'Species Data'!B:E,4,FALSE))</f>
        <v>P_xylene</v>
      </c>
      <c r="D302" s="246">
        <f t="shared" ca="1" si="34"/>
        <v>648</v>
      </c>
      <c r="E302" s="246">
        <f t="shared" ca="1" si="35"/>
        <v>0.08</v>
      </c>
      <c r="F302" s="246" t="str">
        <f t="shared" ca="1" si="36"/>
        <v>P-xylene</v>
      </c>
      <c r="G302" s="246">
        <f t="shared" ca="1" si="37"/>
        <v>106.16500000000001</v>
      </c>
      <c r="H302" s="204">
        <f ca="1">IF(G302="","",IF(VLOOKUP(Well_Head!F302,'Species Data'!D:F,3,FALSE)=0,"X",IF(G302&lt;44.1,2,1)))</f>
        <v>1</v>
      </c>
      <c r="I302" s="204">
        <f t="shared" ca="1" si="38"/>
        <v>8.6622328093956577E-2</v>
      </c>
      <c r="J302" s="247">
        <f ca="1">IF(I302="","",IF(COUNTIF($D$12:D302,D302)=1,IF(H302=1,I302*H302,IF(H302="X","X",0)),0))</f>
        <v>0</v>
      </c>
      <c r="K302" s="248">
        <f t="shared" ca="1" si="39"/>
        <v>0</v>
      </c>
      <c r="L302" s="239" t="s">
        <v>626</v>
      </c>
      <c r="M302" s="215" t="s">
        <v>448</v>
      </c>
      <c r="N302" s="215" t="s">
        <v>470</v>
      </c>
      <c r="O302" s="216">
        <v>41419</v>
      </c>
      <c r="P302" s="215" t="s">
        <v>531</v>
      </c>
      <c r="Q302" s="217">
        <v>100</v>
      </c>
      <c r="R302" s="215" t="s">
        <v>445</v>
      </c>
      <c r="S302" s="215" t="s">
        <v>532</v>
      </c>
      <c r="T302" s="215" t="s">
        <v>445</v>
      </c>
      <c r="U302" s="215" t="s">
        <v>446</v>
      </c>
      <c r="V302" s="217" t="b">
        <v>1</v>
      </c>
      <c r="W302" s="217">
        <v>1989</v>
      </c>
      <c r="X302" s="217">
        <v>5</v>
      </c>
      <c r="Y302" s="217">
        <v>2</v>
      </c>
      <c r="Z302" s="217">
        <v>4</v>
      </c>
      <c r="AA302" s="215" t="s">
        <v>447</v>
      </c>
      <c r="AB302" s="215" t="s">
        <v>531</v>
      </c>
      <c r="AC302" s="215" t="s">
        <v>533</v>
      </c>
      <c r="AD302" s="217">
        <v>2.3802949999999998</v>
      </c>
      <c r="AE302" s="217">
        <v>608</v>
      </c>
      <c r="AF302" s="217">
        <v>2.3400000000000001E-2</v>
      </c>
      <c r="AG302" s="217">
        <v>-99</v>
      </c>
      <c r="AH302" s="215" t="s">
        <v>224</v>
      </c>
      <c r="AI302" s="215" t="s">
        <v>449</v>
      </c>
      <c r="AJ302" s="215" t="s">
        <v>420</v>
      </c>
      <c r="AK302" s="215" t="s">
        <v>531</v>
      </c>
      <c r="AL302" s="215" t="s">
        <v>454</v>
      </c>
      <c r="AM302" s="217" t="b">
        <v>1</v>
      </c>
      <c r="AN302" s="217" t="b">
        <v>0</v>
      </c>
      <c r="AO302" s="215" t="s">
        <v>421</v>
      </c>
      <c r="AP302" s="215" t="s">
        <v>422</v>
      </c>
      <c r="AQ302" s="217">
        <v>120.19158</v>
      </c>
      <c r="AR302" s="217" t="b">
        <v>0</v>
      </c>
      <c r="AS302" s="215" t="s">
        <v>534</v>
      </c>
      <c r="AU302" s="222" t="s">
        <v>819</v>
      </c>
    </row>
    <row r="303" spans="1:47" s="218" customFormat="1" x14ac:dyDescent="0.25">
      <c r="A303" s="245">
        <f t="shared" si="40"/>
        <v>398</v>
      </c>
      <c r="B303" s="246" t="str">
        <f t="shared" si="33"/>
        <v>Oil Field - Well</v>
      </c>
      <c r="C303" s="246" t="str">
        <f ca="1">IF(B303="","",VLOOKUP(D303,'Species Data'!B:E,4,FALSE))</f>
        <v>propane</v>
      </c>
      <c r="D303" s="246">
        <f t="shared" ca="1" si="34"/>
        <v>671</v>
      </c>
      <c r="E303" s="246">
        <f t="shared" ca="1" si="35"/>
        <v>14.1404</v>
      </c>
      <c r="F303" s="246" t="str">
        <f t="shared" ca="1" si="36"/>
        <v>Propane</v>
      </c>
      <c r="G303" s="246">
        <f t="shared" ca="1" si="37"/>
        <v>44.095619999999997</v>
      </c>
      <c r="H303" s="204">
        <f ca="1">IF(G303="","",IF(VLOOKUP(Well_Head!F303,'Species Data'!D:F,3,FALSE)=0,"X",IF(G303&lt;44.1,2,1)))</f>
        <v>2</v>
      </c>
      <c r="I303" s="204">
        <f t="shared" ca="1" si="38"/>
        <v>8.8717997321996727</v>
      </c>
      <c r="J303" s="247">
        <f ca="1">IF(I303="","",IF(COUNTIF($D$12:D303,D303)=1,IF(H303=1,I303*H303,IF(H303="X","X",0)),0))</f>
        <v>0</v>
      </c>
      <c r="K303" s="248">
        <f t="shared" ca="1" si="39"/>
        <v>0</v>
      </c>
      <c r="L303" s="239" t="s">
        <v>626</v>
      </c>
      <c r="M303" s="215" t="s">
        <v>448</v>
      </c>
      <c r="N303" s="215" t="s">
        <v>470</v>
      </c>
      <c r="O303" s="216">
        <v>41419</v>
      </c>
      <c r="P303" s="215" t="s">
        <v>531</v>
      </c>
      <c r="Q303" s="217">
        <v>100</v>
      </c>
      <c r="R303" s="215" t="s">
        <v>445</v>
      </c>
      <c r="S303" s="215" t="s">
        <v>532</v>
      </c>
      <c r="T303" s="215" t="s">
        <v>445</v>
      </c>
      <c r="U303" s="215" t="s">
        <v>446</v>
      </c>
      <c r="V303" s="217" t="b">
        <v>1</v>
      </c>
      <c r="W303" s="217">
        <v>1989</v>
      </c>
      <c r="X303" s="217">
        <v>5</v>
      </c>
      <c r="Y303" s="217">
        <v>2</v>
      </c>
      <c r="Z303" s="217">
        <v>4</v>
      </c>
      <c r="AA303" s="215" t="s">
        <v>447</v>
      </c>
      <c r="AB303" s="215" t="s">
        <v>531</v>
      </c>
      <c r="AC303" s="215" t="s">
        <v>533</v>
      </c>
      <c r="AD303" s="217">
        <v>2.3802949999999998</v>
      </c>
      <c r="AE303" s="217">
        <v>620</v>
      </c>
      <c r="AF303" s="217">
        <v>5.5999999999999999E-3</v>
      </c>
      <c r="AG303" s="217">
        <v>-99</v>
      </c>
      <c r="AH303" s="215" t="s">
        <v>224</v>
      </c>
      <c r="AI303" s="215" t="s">
        <v>449</v>
      </c>
      <c r="AJ303" s="215" t="s">
        <v>354</v>
      </c>
      <c r="AK303" s="215" t="s">
        <v>531</v>
      </c>
      <c r="AL303" s="215" t="s">
        <v>398</v>
      </c>
      <c r="AM303" s="217" t="b">
        <v>1</v>
      </c>
      <c r="AN303" s="217" t="b">
        <v>1</v>
      </c>
      <c r="AO303" s="215" t="s">
        <v>355</v>
      </c>
      <c r="AP303" s="215" t="s">
        <v>356</v>
      </c>
      <c r="AQ303" s="217">
        <v>106.16500000000001</v>
      </c>
      <c r="AR303" s="217" t="b">
        <v>0</v>
      </c>
      <c r="AS303" s="215" t="s">
        <v>534</v>
      </c>
      <c r="AU303" s="222" t="s">
        <v>819</v>
      </c>
    </row>
    <row r="304" spans="1:47" s="218" customFormat="1" x14ac:dyDescent="0.25">
      <c r="A304" s="245">
        <f t="shared" si="40"/>
        <v>399</v>
      </c>
      <c r="B304" s="246" t="str">
        <f t="shared" si="33"/>
        <v>Oil Field - Well</v>
      </c>
      <c r="C304" s="246" t="str">
        <f ca="1">IF(B304="","",VLOOKUP(D304,'Species Data'!B:E,4,FALSE))</f>
        <v>T_butben</v>
      </c>
      <c r="D304" s="246">
        <f t="shared" ca="1" si="34"/>
        <v>703</v>
      </c>
      <c r="E304" s="246">
        <f t="shared" ca="1" si="35"/>
        <v>3.3700000000000001E-2</v>
      </c>
      <c r="F304" s="246" t="str">
        <f t="shared" ca="1" si="36"/>
        <v>T-butylbenzene</v>
      </c>
      <c r="G304" s="246">
        <f t="shared" ca="1" si="37"/>
        <v>134.21816000000001</v>
      </c>
      <c r="H304" s="204" t="str">
        <f ca="1">IF(G304="","",IF(VLOOKUP(Well_Head!F304,'Species Data'!D:F,3,FALSE)=0,"X",IF(G304&lt;44.1,2,1)))</f>
        <v>X</v>
      </c>
      <c r="I304" s="204">
        <f t="shared" ca="1" si="38"/>
        <v>0.15110018467800349</v>
      </c>
      <c r="J304" s="247">
        <f ca="1">IF(I304="","",IF(COUNTIF($D$12:D304,D304)=1,IF(H304=1,I304*H304,IF(H304="X","X",0)),0))</f>
        <v>0</v>
      </c>
      <c r="K304" s="248">
        <f t="shared" ca="1" si="39"/>
        <v>0</v>
      </c>
      <c r="L304" s="239" t="s">
        <v>626</v>
      </c>
      <c r="M304" s="215" t="s">
        <v>448</v>
      </c>
      <c r="N304" s="215" t="s">
        <v>470</v>
      </c>
      <c r="O304" s="216">
        <v>41419</v>
      </c>
      <c r="P304" s="215" t="s">
        <v>531</v>
      </c>
      <c r="Q304" s="217">
        <v>100</v>
      </c>
      <c r="R304" s="215" t="s">
        <v>445</v>
      </c>
      <c r="S304" s="215" t="s">
        <v>532</v>
      </c>
      <c r="T304" s="215" t="s">
        <v>445</v>
      </c>
      <c r="U304" s="215" t="s">
        <v>446</v>
      </c>
      <c r="V304" s="217" t="b">
        <v>1</v>
      </c>
      <c r="W304" s="217">
        <v>1989</v>
      </c>
      <c r="X304" s="217">
        <v>5</v>
      </c>
      <c r="Y304" s="217">
        <v>2</v>
      </c>
      <c r="Z304" s="217">
        <v>4</v>
      </c>
      <c r="AA304" s="215" t="s">
        <v>447</v>
      </c>
      <c r="AB304" s="215" t="s">
        <v>531</v>
      </c>
      <c r="AC304" s="215" t="s">
        <v>533</v>
      </c>
      <c r="AD304" s="217">
        <v>2.3802949999999998</v>
      </c>
      <c r="AE304" s="217">
        <v>648</v>
      </c>
      <c r="AF304" s="217">
        <v>4.4999999999999997E-3</v>
      </c>
      <c r="AG304" s="217">
        <v>-99</v>
      </c>
      <c r="AH304" s="215" t="s">
        <v>224</v>
      </c>
      <c r="AI304" s="215" t="s">
        <v>449</v>
      </c>
      <c r="AJ304" s="215" t="s">
        <v>433</v>
      </c>
      <c r="AK304" s="215" t="s">
        <v>531</v>
      </c>
      <c r="AL304" s="215" t="s">
        <v>459</v>
      </c>
      <c r="AM304" s="217" t="b">
        <v>0</v>
      </c>
      <c r="AN304" s="217" t="b">
        <v>1</v>
      </c>
      <c r="AO304" s="215" t="s">
        <v>434</v>
      </c>
      <c r="AP304" s="215" t="s">
        <v>435</v>
      </c>
      <c r="AQ304" s="217">
        <v>106.16500000000001</v>
      </c>
      <c r="AR304" s="217" t="b">
        <v>0</v>
      </c>
      <c r="AS304" s="215" t="s">
        <v>534</v>
      </c>
      <c r="AU304" s="222" t="s">
        <v>819</v>
      </c>
    </row>
    <row r="305" spans="1:47" s="218" customFormat="1" x14ac:dyDescent="0.25">
      <c r="A305" s="245">
        <f t="shared" si="40"/>
        <v>400</v>
      </c>
      <c r="B305" s="246" t="str">
        <f t="shared" si="33"/>
        <v>Oil Field - Well</v>
      </c>
      <c r="C305" s="246" t="str">
        <f ca="1">IF(B305="","",VLOOKUP(D305,'Species Data'!B:E,4,FALSE))</f>
        <v>toluene</v>
      </c>
      <c r="D305" s="246">
        <f t="shared" ca="1" si="34"/>
        <v>717</v>
      </c>
      <c r="E305" s="246">
        <f t="shared" ca="1" si="35"/>
        <v>0.4204</v>
      </c>
      <c r="F305" s="246" t="str">
        <f t="shared" ca="1" si="36"/>
        <v>Toluene</v>
      </c>
      <c r="G305" s="246">
        <f t="shared" ca="1" si="37"/>
        <v>92.138419999999996</v>
      </c>
      <c r="H305" s="204">
        <f ca="1">IF(G305="","",IF(VLOOKUP(Well_Head!F305,'Species Data'!D:F,3,FALSE)=0,"X",IF(G305&lt;44.1,2,1)))</f>
        <v>1</v>
      </c>
      <c r="I305" s="204">
        <f t="shared" ca="1" si="38"/>
        <v>0.47057835292909805</v>
      </c>
      <c r="J305" s="247">
        <f ca="1">IF(I305="","",IF(COUNTIF($D$12:D305,D305)=1,IF(H305=1,I305*H305,IF(H305="X","X",0)),0))</f>
        <v>0</v>
      </c>
      <c r="K305" s="248">
        <f t="shared" ca="1" si="39"/>
        <v>0</v>
      </c>
      <c r="L305" s="239" t="s">
        <v>626</v>
      </c>
      <c r="M305" s="215" t="s">
        <v>448</v>
      </c>
      <c r="N305" s="215" t="s">
        <v>470</v>
      </c>
      <c r="O305" s="216">
        <v>41419</v>
      </c>
      <c r="P305" s="215" t="s">
        <v>531</v>
      </c>
      <c r="Q305" s="217">
        <v>100</v>
      </c>
      <c r="R305" s="215" t="s">
        <v>445</v>
      </c>
      <c r="S305" s="215" t="s">
        <v>532</v>
      </c>
      <c r="T305" s="215" t="s">
        <v>445</v>
      </c>
      <c r="U305" s="215" t="s">
        <v>446</v>
      </c>
      <c r="V305" s="217" t="b">
        <v>1</v>
      </c>
      <c r="W305" s="217">
        <v>1989</v>
      </c>
      <c r="X305" s="217">
        <v>5</v>
      </c>
      <c r="Y305" s="217">
        <v>2</v>
      </c>
      <c r="Z305" s="217">
        <v>4</v>
      </c>
      <c r="AA305" s="215" t="s">
        <v>447</v>
      </c>
      <c r="AB305" s="215" t="s">
        <v>531</v>
      </c>
      <c r="AC305" s="215" t="s">
        <v>533</v>
      </c>
      <c r="AD305" s="217">
        <v>2.3802949999999998</v>
      </c>
      <c r="AE305" s="217">
        <v>671</v>
      </c>
      <c r="AF305" s="217">
        <v>13.587300000000001</v>
      </c>
      <c r="AG305" s="217">
        <v>-99</v>
      </c>
      <c r="AH305" s="215" t="s">
        <v>224</v>
      </c>
      <c r="AI305" s="215" t="s">
        <v>449</v>
      </c>
      <c r="AJ305" s="215" t="s">
        <v>288</v>
      </c>
      <c r="AK305" s="215" t="s">
        <v>531</v>
      </c>
      <c r="AL305" s="215" t="s">
        <v>382</v>
      </c>
      <c r="AM305" s="217" t="b">
        <v>1</v>
      </c>
      <c r="AN305" s="217" t="b">
        <v>0</v>
      </c>
      <c r="AO305" s="215" t="s">
        <v>289</v>
      </c>
      <c r="AP305" s="215" t="s">
        <v>290</v>
      </c>
      <c r="AQ305" s="217">
        <v>44.095619999999997</v>
      </c>
      <c r="AR305" s="217" t="b">
        <v>0</v>
      </c>
      <c r="AS305" s="215" t="s">
        <v>534</v>
      </c>
      <c r="AU305" s="222" t="s">
        <v>819</v>
      </c>
    </row>
    <row r="306" spans="1:47" s="218" customFormat="1" x14ac:dyDescent="0.25">
      <c r="A306" s="245">
        <f t="shared" si="40"/>
        <v>401</v>
      </c>
      <c r="B306" s="246" t="str">
        <f t="shared" si="33"/>
        <v>Oil Field - Well</v>
      </c>
      <c r="C306" s="246" t="str">
        <f ca="1">IF(B306="","",VLOOKUP(D306,'Species Data'!B:E,4,FALSE))</f>
        <v>c10_comp</v>
      </c>
      <c r="D306" s="246">
        <f t="shared" ca="1" si="34"/>
        <v>1924</v>
      </c>
      <c r="E306" s="246">
        <f t="shared" ca="1" si="35"/>
        <v>0.35210000000000002</v>
      </c>
      <c r="F306" s="246" t="str">
        <f t="shared" ca="1" si="36"/>
        <v>C-10 Compounds</v>
      </c>
      <c r="G306" s="246">
        <f t="shared" ca="1" si="37"/>
        <v>142.28167999999999</v>
      </c>
      <c r="H306" s="204" t="str">
        <f ca="1">IF(G306="","",IF(VLOOKUP(Well_Head!F306,'Species Data'!D:F,3,FALSE)=0,"X",IF(G306&lt;44.1,2,1)))</f>
        <v>X</v>
      </c>
      <c r="I306" s="204">
        <f t="shared" ca="1" si="38"/>
        <v>2.3240139515726077</v>
      </c>
      <c r="J306" s="247">
        <f ca="1">IF(I306="","",IF(COUNTIF($D$12:D306,D306)=1,IF(H306=1,I306*H306,IF(H306="X","X",0)),0))</f>
        <v>0</v>
      </c>
      <c r="K306" s="248">
        <f t="shared" ca="1" si="39"/>
        <v>0</v>
      </c>
      <c r="L306" s="239" t="s">
        <v>626</v>
      </c>
      <c r="M306" s="215" t="s">
        <v>448</v>
      </c>
      <c r="N306" s="215" t="s">
        <v>470</v>
      </c>
      <c r="O306" s="216">
        <v>41419</v>
      </c>
      <c r="P306" s="215" t="s">
        <v>531</v>
      </c>
      <c r="Q306" s="217">
        <v>100</v>
      </c>
      <c r="R306" s="215" t="s">
        <v>445</v>
      </c>
      <c r="S306" s="215" t="s">
        <v>532</v>
      </c>
      <c r="T306" s="215" t="s">
        <v>445</v>
      </c>
      <c r="U306" s="215" t="s">
        <v>446</v>
      </c>
      <c r="V306" s="217" t="b">
        <v>1</v>
      </c>
      <c r="W306" s="217">
        <v>1989</v>
      </c>
      <c r="X306" s="217">
        <v>5</v>
      </c>
      <c r="Y306" s="217">
        <v>2</v>
      </c>
      <c r="Z306" s="217">
        <v>4</v>
      </c>
      <c r="AA306" s="215" t="s">
        <v>447</v>
      </c>
      <c r="AB306" s="215" t="s">
        <v>531</v>
      </c>
      <c r="AC306" s="215" t="s">
        <v>533</v>
      </c>
      <c r="AD306" s="217">
        <v>2.3802949999999998</v>
      </c>
      <c r="AE306" s="217">
        <v>703</v>
      </c>
      <c r="AF306" s="217">
        <v>8.3999999999999995E-3</v>
      </c>
      <c r="AG306" s="217">
        <v>-99</v>
      </c>
      <c r="AH306" s="215" t="s">
        <v>224</v>
      </c>
      <c r="AI306" s="215" t="s">
        <v>449</v>
      </c>
      <c r="AJ306" s="215" t="s">
        <v>423</v>
      </c>
      <c r="AK306" s="215" t="s">
        <v>531</v>
      </c>
      <c r="AL306" s="215" t="s">
        <v>455</v>
      </c>
      <c r="AM306" s="217" t="b">
        <v>0</v>
      </c>
      <c r="AN306" s="217" t="b">
        <v>0</v>
      </c>
      <c r="AO306" s="215" t="s">
        <v>424</v>
      </c>
      <c r="AP306" s="215" t="s">
        <v>531</v>
      </c>
      <c r="AQ306" s="217">
        <v>134.21816000000001</v>
      </c>
      <c r="AR306" s="217" t="b">
        <v>0</v>
      </c>
      <c r="AS306" s="215" t="s">
        <v>534</v>
      </c>
      <c r="AU306" s="222" t="s">
        <v>819</v>
      </c>
    </row>
    <row r="307" spans="1:47" s="218" customFormat="1" x14ac:dyDescent="0.25">
      <c r="A307" s="245">
        <f t="shared" si="40"/>
        <v>402</v>
      </c>
      <c r="B307" s="246" t="str">
        <f t="shared" si="33"/>
        <v>Oil Field - Well</v>
      </c>
      <c r="C307" s="246" t="str">
        <f ca="1">IF(B307="","",VLOOKUP(D307,'Species Data'!B:E,4,FALSE))</f>
        <v>c11_comp</v>
      </c>
      <c r="D307" s="246">
        <f t="shared" ca="1" si="34"/>
        <v>1929</v>
      </c>
      <c r="E307" s="246">
        <f t="shared" ca="1" si="35"/>
        <v>6.8400000000000002E-2</v>
      </c>
      <c r="F307" s="246" t="str">
        <f t="shared" ca="1" si="36"/>
        <v>C-11 Compounds</v>
      </c>
      <c r="G307" s="246">
        <f t="shared" ca="1" si="37"/>
        <v>156.30826000000002</v>
      </c>
      <c r="H307" s="204" t="str">
        <f ca="1">IF(G307="","",IF(VLOOKUP(Well_Head!F307,'Species Data'!D:F,3,FALSE)=0,"X",IF(G307&lt;44.1,2,1)))</f>
        <v>X</v>
      </c>
      <c r="I307" s="204">
        <f t="shared" ca="1" si="38"/>
        <v>0.83128990490988375</v>
      </c>
      <c r="J307" s="247">
        <f ca="1">IF(I307="","",IF(COUNTIF($D$12:D307,D307)=1,IF(H307=1,I307*H307,IF(H307="X","X",0)),0))</f>
        <v>0</v>
      </c>
      <c r="K307" s="248">
        <f t="shared" ca="1" si="39"/>
        <v>0</v>
      </c>
      <c r="L307" s="239" t="s">
        <v>626</v>
      </c>
      <c r="M307" s="215" t="s">
        <v>448</v>
      </c>
      <c r="N307" s="215" t="s">
        <v>470</v>
      </c>
      <c r="O307" s="216">
        <v>41419</v>
      </c>
      <c r="P307" s="215" t="s">
        <v>531</v>
      </c>
      <c r="Q307" s="217">
        <v>100</v>
      </c>
      <c r="R307" s="215" t="s">
        <v>445</v>
      </c>
      <c r="S307" s="215" t="s">
        <v>532</v>
      </c>
      <c r="T307" s="215" t="s">
        <v>445</v>
      </c>
      <c r="U307" s="215" t="s">
        <v>446</v>
      </c>
      <c r="V307" s="217" t="b">
        <v>1</v>
      </c>
      <c r="W307" s="217">
        <v>1989</v>
      </c>
      <c r="X307" s="217">
        <v>5</v>
      </c>
      <c r="Y307" s="217">
        <v>2</v>
      </c>
      <c r="Z307" s="217">
        <v>4</v>
      </c>
      <c r="AA307" s="215" t="s">
        <v>447</v>
      </c>
      <c r="AB307" s="215" t="s">
        <v>531</v>
      </c>
      <c r="AC307" s="215" t="s">
        <v>533</v>
      </c>
      <c r="AD307" s="217">
        <v>2.3802949999999998</v>
      </c>
      <c r="AE307" s="217">
        <v>717</v>
      </c>
      <c r="AF307" s="217">
        <v>2.3599999999999999E-2</v>
      </c>
      <c r="AG307" s="217">
        <v>-99</v>
      </c>
      <c r="AH307" s="215" t="s">
        <v>224</v>
      </c>
      <c r="AI307" s="215" t="s">
        <v>449</v>
      </c>
      <c r="AJ307" s="215" t="s">
        <v>294</v>
      </c>
      <c r="AK307" s="215" t="s">
        <v>531</v>
      </c>
      <c r="AL307" s="215" t="s">
        <v>383</v>
      </c>
      <c r="AM307" s="217" t="b">
        <v>1</v>
      </c>
      <c r="AN307" s="217" t="b">
        <v>1</v>
      </c>
      <c r="AO307" s="215" t="s">
        <v>295</v>
      </c>
      <c r="AP307" s="215" t="s">
        <v>296</v>
      </c>
      <c r="AQ307" s="217">
        <v>92.138419999999996</v>
      </c>
      <c r="AR307" s="217" t="b">
        <v>0</v>
      </c>
      <c r="AS307" s="215" t="s">
        <v>534</v>
      </c>
      <c r="AU307" s="222" t="s">
        <v>819</v>
      </c>
    </row>
    <row r="308" spans="1:47" s="218" customFormat="1" x14ac:dyDescent="0.25">
      <c r="A308" s="245">
        <f t="shared" si="40"/>
        <v>403</v>
      </c>
      <c r="B308" s="246" t="str">
        <f t="shared" si="33"/>
        <v>Oil Field - Well</v>
      </c>
      <c r="C308" s="246" t="str">
        <f ca="1">IF(B308="","",VLOOKUP(D308,'Species Data'!B:E,4,FALSE))</f>
        <v>c_4_comp</v>
      </c>
      <c r="D308" s="246">
        <f t="shared" ca="1" si="34"/>
        <v>1976</v>
      </c>
      <c r="E308" s="246">
        <f t="shared" ca="1" si="35"/>
        <v>1.1116999999999999</v>
      </c>
      <c r="F308" s="246" t="str">
        <f t="shared" ca="1" si="36"/>
        <v>C-4 Compounds</v>
      </c>
      <c r="G308" s="246">
        <f t="shared" ca="1" si="37"/>
        <v>56.106319999999997</v>
      </c>
      <c r="H308" s="204" t="str">
        <f ca="1">IF(G308="","",IF(VLOOKUP(Well_Head!F308,'Species Data'!D:F,3,FALSE)=0,"X",IF(G308&lt;44.1,2,1)))</f>
        <v>X</v>
      </c>
      <c r="I308" s="204">
        <f t="shared" ca="1" si="38"/>
        <v>0.12625570986808984</v>
      </c>
      <c r="J308" s="247" t="str">
        <f ca="1">IF(I308="","",IF(COUNTIF($D$12:D308,D308)=1,IF(H308=1,I308*H308,IF(H308="X","X",0)),0))</f>
        <v>X</v>
      </c>
      <c r="K308" s="248">
        <f t="shared" ca="1" si="39"/>
        <v>0</v>
      </c>
      <c r="L308" s="239" t="s">
        <v>626</v>
      </c>
      <c r="M308" s="215" t="s">
        <v>448</v>
      </c>
      <c r="N308" s="215" t="s">
        <v>470</v>
      </c>
      <c r="O308" s="216">
        <v>41419</v>
      </c>
      <c r="P308" s="215" t="s">
        <v>531</v>
      </c>
      <c r="Q308" s="217">
        <v>100</v>
      </c>
      <c r="R308" s="215" t="s">
        <v>445</v>
      </c>
      <c r="S308" s="215" t="s">
        <v>532</v>
      </c>
      <c r="T308" s="215" t="s">
        <v>445</v>
      </c>
      <c r="U308" s="215" t="s">
        <v>446</v>
      </c>
      <c r="V308" s="217" t="b">
        <v>1</v>
      </c>
      <c r="W308" s="217">
        <v>1989</v>
      </c>
      <c r="X308" s="217">
        <v>5</v>
      </c>
      <c r="Y308" s="217">
        <v>2</v>
      </c>
      <c r="Z308" s="217">
        <v>4</v>
      </c>
      <c r="AA308" s="215" t="s">
        <v>447</v>
      </c>
      <c r="AB308" s="215" t="s">
        <v>531</v>
      </c>
      <c r="AC308" s="215" t="s">
        <v>533</v>
      </c>
      <c r="AD308" s="217">
        <v>2.3802949999999998</v>
      </c>
      <c r="AE308" s="217">
        <v>981</v>
      </c>
      <c r="AF308" s="217">
        <v>5.7000000000000002E-3</v>
      </c>
      <c r="AG308" s="217">
        <v>-99</v>
      </c>
      <c r="AH308" s="215" t="s">
        <v>224</v>
      </c>
      <c r="AI308" s="215" t="s">
        <v>449</v>
      </c>
      <c r="AJ308" s="215" t="s">
        <v>645</v>
      </c>
      <c r="AK308" s="215" t="s">
        <v>531</v>
      </c>
      <c r="AL308" s="215" t="s">
        <v>531</v>
      </c>
      <c r="AM308" s="217" t="b">
        <v>0</v>
      </c>
      <c r="AN308" s="217" t="b">
        <v>0</v>
      </c>
      <c r="AO308" s="215" t="s">
        <v>646</v>
      </c>
      <c r="AP308" s="215" t="s">
        <v>647</v>
      </c>
      <c r="AQ308" s="217">
        <v>134.21816000000001</v>
      </c>
      <c r="AR308" s="217" t="b">
        <v>0</v>
      </c>
      <c r="AS308" s="215" t="s">
        <v>534</v>
      </c>
      <c r="AU308" s="222" t="s">
        <v>819</v>
      </c>
    </row>
    <row r="309" spans="1:47" s="218" customFormat="1" x14ac:dyDescent="0.25">
      <c r="A309" s="245">
        <f t="shared" si="40"/>
        <v>404</v>
      </c>
      <c r="B309" s="246" t="str">
        <f t="shared" si="33"/>
        <v>Oil Field - Well</v>
      </c>
      <c r="C309" s="246" t="str">
        <f ca="1">IF(B309="","",VLOOKUP(D309,'Species Data'!B:E,4,FALSE))</f>
        <v>c5_comp</v>
      </c>
      <c r="D309" s="246">
        <f t="shared" ca="1" si="34"/>
        <v>1986</v>
      </c>
      <c r="E309" s="246">
        <f t="shared" ca="1" si="35"/>
        <v>3.3706</v>
      </c>
      <c r="F309" s="246" t="str">
        <f t="shared" ca="1" si="36"/>
        <v>C-5 Compounds</v>
      </c>
      <c r="G309" s="246">
        <f t="shared" ca="1" si="37"/>
        <v>72.148780000000002</v>
      </c>
      <c r="H309" s="204" t="str">
        <f ca="1">IF(G309="","",IF(VLOOKUP(Well_Head!F309,'Species Data'!D:F,3,FALSE)=0,"X",IF(G309&lt;44.1,2,1)))</f>
        <v>X</v>
      </c>
      <c r="I309" s="204">
        <f t="shared" ca="1" si="38"/>
        <v>0.76984538536658209</v>
      </c>
      <c r="J309" s="247">
        <f ca="1">IF(I309="","",IF(COUNTIF($D$12:D309,D309)=1,IF(H309=1,I309*H309,IF(H309="X","X",0)),0))</f>
        <v>0</v>
      </c>
      <c r="K309" s="248">
        <f t="shared" ca="1" si="39"/>
        <v>0</v>
      </c>
      <c r="L309" s="239" t="s">
        <v>626</v>
      </c>
      <c r="M309" s="215" t="s">
        <v>448</v>
      </c>
      <c r="N309" s="215" t="s">
        <v>470</v>
      </c>
      <c r="O309" s="216">
        <v>41419</v>
      </c>
      <c r="P309" s="215" t="s">
        <v>531</v>
      </c>
      <c r="Q309" s="217">
        <v>100</v>
      </c>
      <c r="R309" s="215" t="s">
        <v>445</v>
      </c>
      <c r="S309" s="215" t="s">
        <v>532</v>
      </c>
      <c r="T309" s="215" t="s">
        <v>445</v>
      </c>
      <c r="U309" s="215" t="s">
        <v>446</v>
      </c>
      <c r="V309" s="217" t="b">
        <v>1</v>
      </c>
      <c r="W309" s="217">
        <v>1989</v>
      </c>
      <c r="X309" s="217">
        <v>5</v>
      </c>
      <c r="Y309" s="217">
        <v>2</v>
      </c>
      <c r="Z309" s="217">
        <v>4</v>
      </c>
      <c r="AA309" s="215" t="s">
        <v>447</v>
      </c>
      <c r="AB309" s="215" t="s">
        <v>531</v>
      </c>
      <c r="AC309" s="215" t="s">
        <v>533</v>
      </c>
      <c r="AD309" s="217">
        <v>2.3802949999999998</v>
      </c>
      <c r="AE309" s="217">
        <v>1924</v>
      </c>
      <c r="AF309" s="217">
        <v>4.8399999999999999E-2</v>
      </c>
      <c r="AG309" s="217">
        <v>-99</v>
      </c>
      <c r="AH309" s="215" t="s">
        <v>224</v>
      </c>
      <c r="AI309" s="215" t="s">
        <v>449</v>
      </c>
      <c r="AJ309" s="215" t="s">
        <v>224</v>
      </c>
      <c r="AK309" s="215" t="s">
        <v>531</v>
      </c>
      <c r="AL309" s="215" t="s">
        <v>466</v>
      </c>
      <c r="AM309" s="217" t="b">
        <v>0</v>
      </c>
      <c r="AN309" s="217" t="b">
        <v>0</v>
      </c>
      <c r="AO309" s="215" t="s">
        <v>535</v>
      </c>
      <c r="AP309" s="215" t="s">
        <v>536</v>
      </c>
      <c r="AQ309" s="217">
        <v>142.28167999999999</v>
      </c>
      <c r="AR309" s="217" t="b">
        <v>0</v>
      </c>
      <c r="AS309" s="215" t="s">
        <v>534</v>
      </c>
      <c r="AU309" s="222" t="s">
        <v>819</v>
      </c>
    </row>
    <row r="310" spans="1:47" s="218" customFormat="1" x14ac:dyDescent="0.25">
      <c r="A310" s="245">
        <f t="shared" si="40"/>
        <v>405</v>
      </c>
      <c r="B310" s="246" t="str">
        <f t="shared" si="33"/>
        <v>Oil Field - Well</v>
      </c>
      <c r="C310" s="246" t="str">
        <f ca="1">IF(B310="","",VLOOKUP(D310,'Species Data'!B:E,4,FALSE))</f>
        <v>c6_comp</v>
      </c>
      <c r="D310" s="246">
        <f t="shared" ca="1" si="34"/>
        <v>1999</v>
      </c>
      <c r="E310" s="246">
        <f t="shared" ca="1" si="35"/>
        <v>1.6494</v>
      </c>
      <c r="F310" s="246" t="str">
        <f t="shared" ca="1" si="36"/>
        <v>C-6 Compounds</v>
      </c>
      <c r="G310" s="246">
        <f t="shared" ca="1" si="37"/>
        <v>86.175359999999998</v>
      </c>
      <c r="H310" s="204" t="str">
        <f ca="1">IF(G310="","",IF(VLOOKUP(Well_Head!F310,'Species Data'!D:F,3,FALSE)=0,"X",IF(G310&lt;44.1,2,1)))</f>
        <v>X</v>
      </c>
      <c r="I310" s="204">
        <f t="shared" ca="1" si="38"/>
        <v>2.1343803864649171</v>
      </c>
      <c r="J310" s="247">
        <f ca="1">IF(I310="","",IF(COUNTIF($D$12:D310,D310)=1,IF(H310=1,I310*H310,IF(H310="X","X",0)),0))</f>
        <v>0</v>
      </c>
      <c r="K310" s="248">
        <f t="shared" ca="1" si="39"/>
        <v>0</v>
      </c>
      <c r="L310" s="239" t="s">
        <v>626</v>
      </c>
      <c r="M310" s="215" t="s">
        <v>448</v>
      </c>
      <c r="N310" s="215" t="s">
        <v>470</v>
      </c>
      <c r="O310" s="216">
        <v>41419</v>
      </c>
      <c r="P310" s="215" t="s">
        <v>531</v>
      </c>
      <c r="Q310" s="217">
        <v>100</v>
      </c>
      <c r="R310" s="215" t="s">
        <v>445</v>
      </c>
      <c r="S310" s="215" t="s">
        <v>532</v>
      </c>
      <c r="T310" s="215" t="s">
        <v>445</v>
      </c>
      <c r="U310" s="215" t="s">
        <v>446</v>
      </c>
      <c r="V310" s="217" t="b">
        <v>1</v>
      </c>
      <c r="W310" s="217">
        <v>1989</v>
      </c>
      <c r="X310" s="217">
        <v>5</v>
      </c>
      <c r="Y310" s="217">
        <v>2</v>
      </c>
      <c r="Z310" s="217">
        <v>4</v>
      </c>
      <c r="AA310" s="215" t="s">
        <v>447</v>
      </c>
      <c r="AB310" s="215" t="s">
        <v>531</v>
      </c>
      <c r="AC310" s="215" t="s">
        <v>533</v>
      </c>
      <c r="AD310" s="217">
        <v>2.3802949999999998</v>
      </c>
      <c r="AE310" s="217">
        <v>1929</v>
      </c>
      <c r="AF310" s="217">
        <v>9.1999999999999998E-3</v>
      </c>
      <c r="AG310" s="217">
        <v>-99</v>
      </c>
      <c r="AH310" s="215" t="s">
        <v>224</v>
      </c>
      <c r="AI310" s="215" t="s">
        <v>449</v>
      </c>
      <c r="AJ310" s="215" t="s">
        <v>224</v>
      </c>
      <c r="AK310" s="215" t="s">
        <v>531</v>
      </c>
      <c r="AL310" s="215" t="s">
        <v>467</v>
      </c>
      <c r="AM310" s="217" t="b">
        <v>0</v>
      </c>
      <c r="AN310" s="217" t="b">
        <v>0</v>
      </c>
      <c r="AO310" s="215" t="s">
        <v>468</v>
      </c>
      <c r="AP310" s="215" t="s">
        <v>469</v>
      </c>
      <c r="AQ310" s="217">
        <v>156.30826000000002</v>
      </c>
      <c r="AR310" s="217" t="b">
        <v>0</v>
      </c>
      <c r="AS310" s="215" t="s">
        <v>534</v>
      </c>
      <c r="AU310" s="222" t="s">
        <v>819</v>
      </c>
    </row>
    <row r="311" spans="1:47" s="218" customFormat="1" x14ac:dyDescent="0.25">
      <c r="A311" s="245">
        <f t="shared" si="40"/>
        <v>406</v>
      </c>
      <c r="B311" s="246" t="str">
        <f t="shared" si="33"/>
        <v>Oil Field - Well</v>
      </c>
      <c r="C311" s="246" t="str">
        <f ca="1">IF(B311="","",VLOOKUP(D311,'Species Data'!B:E,4,FALSE))</f>
        <v>c7_comp</v>
      </c>
      <c r="D311" s="246">
        <f t="shared" ca="1" si="34"/>
        <v>2005</v>
      </c>
      <c r="E311" s="246">
        <f t="shared" ca="1" si="35"/>
        <v>1.3692</v>
      </c>
      <c r="F311" s="246" t="str">
        <f t="shared" ca="1" si="36"/>
        <v>C-7 Compounds</v>
      </c>
      <c r="G311" s="246">
        <f t="shared" ca="1" si="37"/>
        <v>100.20194000000001</v>
      </c>
      <c r="H311" s="204" t="str">
        <f ca="1">IF(G311="","",IF(VLOOKUP(Well_Head!F311,'Species Data'!D:F,3,FALSE)=0,"X",IF(G311&lt;44.1,2,1)))</f>
        <v>X</v>
      </c>
      <c r="I311" s="204">
        <f t="shared" ca="1" si="38"/>
        <v>4.8450170327985953</v>
      </c>
      <c r="J311" s="247">
        <f ca="1">IF(I311="","",IF(COUNTIF($D$12:D311,D311)=1,IF(H311=1,I311*H311,IF(H311="X","X",0)),0))</f>
        <v>0</v>
      </c>
      <c r="K311" s="248">
        <f t="shared" ca="1" si="39"/>
        <v>0</v>
      </c>
      <c r="L311" s="239" t="s">
        <v>626</v>
      </c>
      <c r="M311" s="215" t="s">
        <v>448</v>
      </c>
      <c r="N311" s="215" t="s">
        <v>470</v>
      </c>
      <c r="O311" s="216">
        <v>41419</v>
      </c>
      <c r="P311" s="215" t="s">
        <v>531</v>
      </c>
      <c r="Q311" s="217">
        <v>100</v>
      </c>
      <c r="R311" s="215" t="s">
        <v>445</v>
      </c>
      <c r="S311" s="215" t="s">
        <v>532</v>
      </c>
      <c r="T311" s="215" t="s">
        <v>445</v>
      </c>
      <c r="U311" s="215" t="s">
        <v>446</v>
      </c>
      <c r="V311" s="217" t="b">
        <v>1</v>
      </c>
      <c r="W311" s="217">
        <v>1989</v>
      </c>
      <c r="X311" s="217">
        <v>5</v>
      </c>
      <c r="Y311" s="217">
        <v>2</v>
      </c>
      <c r="Z311" s="217">
        <v>4</v>
      </c>
      <c r="AA311" s="215" t="s">
        <v>447</v>
      </c>
      <c r="AB311" s="215" t="s">
        <v>531</v>
      </c>
      <c r="AC311" s="215" t="s">
        <v>533</v>
      </c>
      <c r="AD311" s="217">
        <v>2.3802949999999998</v>
      </c>
      <c r="AE311" s="217">
        <v>1999</v>
      </c>
      <c r="AF311" s="217">
        <v>0.52880000000000005</v>
      </c>
      <c r="AG311" s="217">
        <v>-99</v>
      </c>
      <c r="AH311" s="215" t="s">
        <v>224</v>
      </c>
      <c r="AI311" s="215" t="s">
        <v>449</v>
      </c>
      <c r="AJ311" s="215" t="s">
        <v>224</v>
      </c>
      <c r="AK311" s="215" t="s">
        <v>531</v>
      </c>
      <c r="AL311" s="215" t="s">
        <v>540</v>
      </c>
      <c r="AM311" s="217" t="b">
        <v>0</v>
      </c>
      <c r="AN311" s="217" t="b">
        <v>0</v>
      </c>
      <c r="AO311" s="215" t="s">
        <v>541</v>
      </c>
      <c r="AP311" s="215" t="s">
        <v>542</v>
      </c>
      <c r="AQ311" s="217">
        <v>86.175359999999998</v>
      </c>
      <c r="AR311" s="217" t="b">
        <v>0</v>
      </c>
      <c r="AS311" s="215" t="s">
        <v>534</v>
      </c>
      <c r="AU311" s="222" t="s">
        <v>819</v>
      </c>
    </row>
    <row r="312" spans="1:47" s="218" customFormat="1" x14ac:dyDescent="0.25">
      <c r="A312" s="245">
        <f t="shared" si="40"/>
        <v>407</v>
      </c>
      <c r="B312" s="246" t="str">
        <f t="shared" si="33"/>
        <v>Oil Field - Well</v>
      </c>
      <c r="C312" s="246" t="str">
        <f ca="1">IF(B312="","",VLOOKUP(D312,'Species Data'!B:E,4,FALSE))</f>
        <v>c8_comp</v>
      </c>
      <c r="D312" s="246">
        <f t="shared" ca="1" si="34"/>
        <v>2011</v>
      </c>
      <c r="E312" s="246">
        <f t="shared" ca="1" si="35"/>
        <v>1.3995</v>
      </c>
      <c r="F312" s="246" t="str">
        <f t="shared" ca="1" si="36"/>
        <v>C-8 Compounds</v>
      </c>
      <c r="G312" s="246">
        <f t="shared" ca="1" si="37"/>
        <v>113.21160686946486</v>
      </c>
      <c r="H312" s="204" t="str">
        <f ca="1">IF(G312="","",IF(VLOOKUP(Well_Head!F312,'Species Data'!D:F,3,FALSE)=0,"X",IF(G312&lt;44.1,2,1)))</f>
        <v>X</v>
      </c>
      <c r="I312" s="204">
        <f t="shared" ca="1" si="38"/>
        <v>5.0392950480272818</v>
      </c>
      <c r="J312" s="247">
        <f ca="1">IF(I312="","",IF(COUNTIF($D$12:D312,D312)=1,IF(H312=1,I312*H312,IF(H312="X","X",0)),0))</f>
        <v>0</v>
      </c>
      <c r="K312" s="248">
        <f t="shared" ca="1" si="39"/>
        <v>0</v>
      </c>
      <c r="L312" s="239" t="s">
        <v>626</v>
      </c>
      <c r="M312" s="215" t="s">
        <v>448</v>
      </c>
      <c r="N312" s="215" t="s">
        <v>470</v>
      </c>
      <c r="O312" s="216">
        <v>41419</v>
      </c>
      <c r="P312" s="215" t="s">
        <v>531</v>
      </c>
      <c r="Q312" s="217">
        <v>100</v>
      </c>
      <c r="R312" s="215" t="s">
        <v>445</v>
      </c>
      <c r="S312" s="215" t="s">
        <v>532</v>
      </c>
      <c r="T312" s="215" t="s">
        <v>445</v>
      </c>
      <c r="U312" s="215" t="s">
        <v>446</v>
      </c>
      <c r="V312" s="217" t="b">
        <v>1</v>
      </c>
      <c r="W312" s="217">
        <v>1989</v>
      </c>
      <c r="X312" s="217">
        <v>5</v>
      </c>
      <c r="Y312" s="217">
        <v>2</v>
      </c>
      <c r="Z312" s="217">
        <v>4</v>
      </c>
      <c r="AA312" s="215" t="s">
        <v>447</v>
      </c>
      <c r="AB312" s="215" t="s">
        <v>531</v>
      </c>
      <c r="AC312" s="215" t="s">
        <v>533</v>
      </c>
      <c r="AD312" s="217">
        <v>2.3802949999999998</v>
      </c>
      <c r="AE312" s="217">
        <v>2005</v>
      </c>
      <c r="AF312" s="217">
        <v>3.6993999999999998</v>
      </c>
      <c r="AG312" s="217">
        <v>-99</v>
      </c>
      <c r="AH312" s="215" t="s">
        <v>224</v>
      </c>
      <c r="AI312" s="215" t="s">
        <v>449</v>
      </c>
      <c r="AJ312" s="215" t="s">
        <v>224</v>
      </c>
      <c r="AK312" s="215" t="s">
        <v>531</v>
      </c>
      <c r="AL312" s="215" t="s">
        <v>543</v>
      </c>
      <c r="AM312" s="217" t="b">
        <v>0</v>
      </c>
      <c r="AN312" s="217" t="b">
        <v>0</v>
      </c>
      <c r="AO312" s="215" t="s">
        <v>544</v>
      </c>
      <c r="AP312" s="215" t="s">
        <v>545</v>
      </c>
      <c r="AQ312" s="217">
        <v>100.20194000000001</v>
      </c>
      <c r="AR312" s="217" t="b">
        <v>0</v>
      </c>
      <c r="AS312" s="215" t="s">
        <v>534</v>
      </c>
      <c r="AU312" s="222" t="s">
        <v>819</v>
      </c>
    </row>
    <row r="313" spans="1:47" s="218" customFormat="1" x14ac:dyDescent="0.25">
      <c r="A313" s="245">
        <f t="shared" si="40"/>
        <v>408</v>
      </c>
      <c r="B313" s="246" t="str">
        <f t="shared" si="33"/>
        <v>Oil Field - Well</v>
      </c>
      <c r="C313" s="246" t="str">
        <f ca="1">IF(B313="","",VLOOKUP(D313,'Species Data'!B:E,4,FALSE))</f>
        <v>c9_comp</v>
      </c>
      <c r="D313" s="246">
        <f t="shared" ca="1" si="34"/>
        <v>2018</v>
      </c>
      <c r="E313" s="246">
        <f t="shared" ca="1" si="35"/>
        <v>0.68589999999999995</v>
      </c>
      <c r="F313" s="246" t="str">
        <f t="shared" ca="1" si="36"/>
        <v>C-9 Compounds</v>
      </c>
      <c r="G313" s="246">
        <f t="shared" ca="1" si="37"/>
        <v>127.23917598649743</v>
      </c>
      <c r="H313" s="204" t="str">
        <f ca="1">IF(G313="","",IF(VLOOKUP(Well_Head!F313,'Species Data'!D:F,3,FALSE)=0,"X",IF(G313&lt;44.1,2,1)))</f>
        <v>X</v>
      </c>
      <c r="I313" s="204">
        <f t="shared" ca="1" si="38"/>
        <v>4.5871944954599391</v>
      </c>
      <c r="J313" s="247">
        <f ca="1">IF(I313="","",IF(COUNTIF($D$12:D313,D313)=1,IF(H313=1,I313*H313,IF(H313="X","X",0)),0))</f>
        <v>0</v>
      </c>
      <c r="K313" s="248">
        <f t="shared" ca="1" si="39"/>
        <v>0</v>
      </c>
      <c r="L313" s="239" t="s">
        <v>626</v>
      </c>
      <c r="M313" s="215" t="s">
        <v>448</v>
      </c>
      <c r="N313" s="215" t="s">
        <v>470</v>
      </c>
      <c r="O313" s="216">
        <v>41419</v>
      </c>
      <c r="P313" s="215" t="s">
        <v>531</v>
      </c>
      <c r="Q313" s="217">
        <v>100</v>
      </c>
      <c r="R313" s="215" t="s">
        <v>445</v>
      </c>
      <c r="S313" s="215" t="s">
        <v>532</v>
      </c>
      <c r="T313" s="215" t="s">
        <v>445</v>
      </c>
      <c r="U313" s="215" t="s">
        <v>446</v>
      </c>
      <c r="V313" s="217" t="b">
        <v>1</v>
      </c>
      <c r="W313" s="217">
        <v>1989</v>
      </c>
      <c r="X313" s="217">
        <v>5</v>
      </c>
      <c r="Y313" s="217">
        <v>2</v>
      </c>
      <c r="Z313" s="217">
        <v>4</v>
      </c>
      <c r="AA313" s="215" t="s">
        <v>447</v>
      </c>
      <c r="AB313" s="215" t="s">
        <v>531</v>
      </c>
      <c r="AC313" s="215" t="s">
        <v>533</v>
      </c>
      <c r="AD313" s="217">
        <v>2.3802949999999998</v>
      </c>
      <c r="AE313" s="217">
        <v>2011</v>
      </c>
      <c r="AF313" s="217">
        <v>1.4513</v>
      </c>
      <c r="AG313" s="217">
        <v>-99</v>
      </c>
      <c r="AH313" s="215" t="s">
        <v>224</v>
      </c>
      <c r="AI313" s="215" t="s">
        <v>449</v>
      </c>
      <c r="AJ313" s="215" t="s">
        <v>224</v>
      </c>
      <c r="AK313" s="215" t="s">
        <v>531</v>
      </c>
      <c r="AL313" s="215" t="s">
        <v>546</v>
      </c>
      <c r="AM313" s="217" t="b">
        <v>0</v>
      </c>
      <c r="AN313" s="217" t="b">
        <v>0</v>
      </c>
      <c r="AO313" s="215" t="s">
        <v>547</v>
      </c>
      <c r="AP313" s="215" t="s">
        <v>548</v>
      </c>
      <c r="AQ313" s="217">
        <v>113.21160686946486</v>
      </c>
      <c r="AR313" s="217" t="b">
        <v>0</v>
      </c>
      <c r="AS313" s="215" t="s">
        <v>534</v>
      </c>
      <c r="AU313" s="222" t="s">
        <v>819</v>
      </c>
    </row>
    <row r="314" spans="1:47" s="218" customFormat="1" x14ac:dyDescent="0.25">
      <c r="A314" s="245">
        <f t="shared" si="40"/>
        <v>409</v>
      </c>
      <c r="B314" s="246" t="str">
        <f t="shared" si="33"/>
        <v>Oil Field - Well</v>
      </c>
      <c r="C314" s="246" t="str">
        <f ca="1">IF(B314="","",VLOOKUP(D314,'Species Data'!B:E,4,FALSE))</f>
        <v>trimethben123</v>
      </c>
      <c r="D314" s="246">
        <f t="shared" ca="1" si="34"/>
        <v>25</v>
      </c>
      <c r="E314" s="246">
        <f t="shared" ca="1" si="35"/>
        <v>0.38679999999999998</v>
      </c>
      <c r="F314" s="246" t="str">
        <f t="shared" ca="1" si="36"/>
        <v>1,2,3-trimethylbenzene</v>
      </c>
      <c r="G314" s="246">
        <f t="shared" ca="1" si="37"/>
        <v>120.19158</v>
      </c>
      <c r="H314" s="204">
        <f ca="1">IF(G314="","",IF(VLOOKUP(Well_Head!F314,'Species Data'!D:F,3,FALSE)=0,"X",IF(G314&lt;44.1,2,1)))</f>
        <v>1</v>
      </c>
      <c r="I314" s="204">
        <f t="shared" ca="1" si="38"/>
        <v>0.15947797269529998</v>
      </c>
      <c r="J314" s="247">
        <f ca="1">IF(I314="","",IF(COUNTIF($D$12:D314,D314)=1,IF(H314=1,I314*H314,IF(H314="X","X",0)),0))</f>
        <v>0</v>
      </c>
      <c r="K314" s="248">
        <f t="shared" ca="1" si="39"/>
        <v>0</v>
      </c>
      <c r="L314" s="239" t="s">
        <v>626</v>
      </c>
      <c r="M314" s="215" t="s">
        <v>448</v>
      </c>
      <c r="N314" s="215" t="s">
        <v>470</v>
      </c>
      <c r="O314" s="216">
        <v>41419</v>
      </c>
      <c r="P314" s="215" t="s">
        <v>531</v>
      </c>
      <c r="Q314" s="217">
        <v>100</v>
      </c>
      <c r="R314" s="215" t="s">
        <v>445</v>
      </c>
      <c r="S314" s="215" t="s">
        <v>532</v>
      </c>
      <c r="T314" s="215" t="s">
        <v>445</v>
      </c>
      <c r="U314" s="215" t="s">
        <v>446</v>
      </c>
      <c r="V314" s="217" t="b">
        <v>1</v>
      </c>
      <c r="W314" s="217">
        <v>1989</v>
      </c>
      <c r="X314" s="217">
        <v>5</v>
      </c>
      <c r="Y314" s="217">
        <v>2</v>
      </c>
      <c r="Z314" s="217">
        <v>4</v>
      </c>
      <c r="AA314" s="215" t="s">
        <v>447</v>
      </c>
      <c r="AB314" s="215" t="s">
        <v>531</v>
      </c>
      <c r="AC314" s="215" t="s">
        <v>533</v>
      </c>
      <c r="AD314" s="217">
        <v>2.3802949999999998</v>
      </c>
      <c r="AE314" s="217">
        <v>2018</v>
      </c>
      <c r="AF314" s="217">
        <v>0.98809999999999998</v>
      </c>
      <c r="AG314" s="217">
        <v>-99</v>
      </c>
      <c r="AH314" s="215" t="s">
        <v>224</v>
      </c>
      <c r="AI314" s="215" t="s">
        <v>449</v>
      </c>
      <c r="AJ314" s="215" t="s">
        <v>224</v>
      </c>
      <c r="AK314" s="215" t="s">
        <v>531</v>
      </c>
      <c r="AL314" s="215" t="s">
        <v>464</v>
      </c>
      <c r="AM314" s="217" t="b">
        <v>0</v>
      </c>
      <c r="AN314" s="217" t="b">
        <v>0</v>
      </c>
      <c r="AO314" s="215" t="s">
        <v>549</v>
      </c>
      <c r="AP314" s="215" t="s">
        <v>550</v>
      </c>
      <c r="AQ314" s="217">
        <v>127.23917598649743</v>
      </c>
      <c r="AR314" s="217" t="b">
        <v>0</v>
      </c>
      <c r="AS314" s="215" t="s">
        <v>534</v>
      </c>
      <c r="AU314" s="222" t="s">
        <v>819</v>
      </c>
    </row>
    <row r="315" spans="1:47" s="218" customFormat="1" x14ac:dyDescent="0.25">
      <c r="A315" s="245">
        <f t="shared" si="40"/>
        <v>410</v>
      </c>
      <c r="B315" s="246" t="str">
        <f t="shared" si="33"/>
        <v>Oil Field - Well</v>
      </c>
      <c r="C315" s="246" t="str">
        <f ca="1">IF(B315="","",VLOOKUP(D315,'Species Data'!B:E,4,FALSE))</f>
        <v>trimetben124</v>
      </c>
      <c r="D315" s="246">
        <f t="shared" ca="1" si="34"/>
        <v>30</v>
      </c>
      <c r="E315" s="246">
        <f t="shared" ca="1" si="35"/>
        <v>0.68149999999999999</v>
      </c>
      <c r="F315" s="246" t="str">
        <f t="shared" ca="1" si="36"/>
        <v>1,2,4-trimethylbenzene  (1,3,4-trimethylbenzene)</v>
      </c>
      <c r="G315" s="246">
        <f t="shared" ca="1" si="37"/>
        <v>120.19158</v>
      </c>
      <c r="H315" s="204">
        <f ca="1">IF(G315="","",IF(VLOOKUP(Well_Head!F315,'Species Data'!D:F,3,FALSE)=0,"X",IF(G315&lt;44.1,2,1)))</f>
        <v>1</v>
      </c>
      <c r="I315" s="204">
        <f t="shared" ca="1" si="38"/>
        <v>0.18081133210273925</v>
      </c>
      <c r="J315" s="247">
        <f ca="1">IF(I315="","",IF(COUNTIF($D$12:D315,D315)=1,IF(H315=1,I315*H315,IF(H315="X","X",0)),0))</f>
        <v>0</v>
      </c>
      <c r="K315" s="248">
        <f t="shared" ca="1" si="39"/>
        <v>0</v>
      </c>
      <c r="L315" s="239" t="s">
        <v>626</v>
      </c>
      <c r="M315" s="215" t="s">
        <v>448</v>
      </c>
      <c r="N315" s="215" t="s">
        <v>470</v>
      </c>
      <c r="O315" s="216">
        <v>41419</v>
      </c>
      <c r="P315" s="215" t="s">
        <v>531</v>
      </c>
      <c r="Q315" s="217">
        <v>100</v>
      </c>
      <c r="R315" s="215" t="s">
        <v>445</v>
      </c>
      <c r="S315" s="215" t="s">
        <v>532</v>
      </c>
      <c r="T315" s="215" t="s">
        <v>445</v>
      </c>
      <c r="U315" s="215" t="s">
        <v>446</v>
      </c>
      <c r="V315" s="217" t="b">
        <v>1</v>
      </c>
      <c r="W315" s="217">
        <v>1989</v>
      </c>
      <c r="X315" s="217">
        <v>5</v>
      </c>
      <c r="Y315" s="217">
        <v>2</v>
      </c>
      <c r="Z315" s="217">
        <v>4</v>
      </c>
      <c r="AA315" s="215" t="s">
        <v>447</v>
      </c>
      <c r="AB315" s="215" t="s">
        <v>531</v>
      </c>
      <c r="AC315" s="215" t="s">
        <v>533</v>
      </c>
      <c r="AD315" s="217">
        <v>2.2218420000000001</v>
      </c>
      <c r="AE315" s="217">
        <v>30</v>
      </c>
      <c r="AF315" s="217">
        <v>1.6400000000000001E-2</v>
      </c>
      <c r="AG315" s="217">
        <v>-99</v>
      </c>
      <c r="AH315" s="215" t="s">
        <v>224</v>
      </c>
      <c r="AI315" s="215" t="s">
        <v>449</v>
      </c>
      <c r="AJ315" s="215" t="s">
        <v>359</v>
      </c>
      <c r="AK315" s="215" t="s">
        <v>531</v>
      </c>
      <c r="AL315" s="215" t="s">
        <v>531</v>
      </c>
      <c r="AM315" s="217" t="b">
        <v>1</v>
      </c>
      <c r="AN315" s="217" t="b">
        <v>0</v>
      </c>
      <c r="AO315" s="215" t="s">
        <v>360</v>
      </c>
      <c r="AP315" s="215" t="s">
        <v>361</v>
      </c>
      <c r="AQ315" s="217">
        <v>120.19158</v>
      </c>
      <c r="AR315" s="217" t="b">
        <v>0</v>
      </c>
      <c r="AS315" s="215" t="s">
        <v>534</v>
      </c>
      <c r="AU315" s="222" t="s">
        <v>819</v>
      </c>
    </row>
    <row r="316" spans="1:47" s="218" customFormat="1" x14ac:dyDescent="0.25">
      <c r="A316" s="245">
        <f t="shared" si="40"/>
        <v>411</v>
      </c>
      <c r="B316" s="246" t="str">
        <f t="shared" si="33"/>
        <v>Oil Field - Well</v>
      </c>
      <c r="C316" s="246" t="str">
        <f ca="1">IF(B316="","",VLOOKUP(D316,'Species Data'!B:E,4,FALSE))</f>
        <v>dietben13</v>
      </c>
      <c r="D316" s="246">
        <f t="shared" ca="1" si="34"/>
        <v>51</v>
      </c>
      <c r="E316" s="246">
        <f t="shared" ca="1" si="35"/>
        <v>0.4904</v>
      </c>
      <c r="F316" s="246" t="str">
        <f t="shared" ca="1" si="36"/>
        <v>1,3-diethylbenzene (meta)</v>
      </c>
      <c r="G316" s="246">
        <f t="shared" ca="1" si="37"/>
        <v>134.21816000000001</v>
      </c>
      <c r="H316" s="204" t="str">
        <f ca="1">IF(G316="","",IF(VLOOKUP(Well_Head!F316,'Species Data'!D:F,3,FALSE)=0,"X",IF(G316&lt;44.1,2,1)))</f>
        <v>X</v>
      </c>
      <c r="I316" s="204">
        <f t="shared" ca="1" si="38"/>
        <v>0.1341112750248917</v>
      </c>
      <c r="J316" s="247">
        <f ca="1">IF(I316="","",IF(COUNTIF($D$12:D316,D316)=1,IF(H316=1,I316*H316,IF(H316="X","X",0)),0))</f>
        <v>0</v>
      </c>
      <c r="K316" s="248">
        <f t="shared" ca="1" si="39"/>
        <v>0</v>
      </c>
      <c r="L316" s="239" t="s">
        <v>626</v>
      </c>
      <c r="M316" s="215" t="s">
        <v>448</v>
      </c>
      <c r="N316" s="215" t="s">
        <v>470</v>
      </c>
      <c r="O316" s="216">
        <v>41419</v>
      </c>
      <c r="P316" s="215" t="s">
        <v>531</v>
      </c>
      <c r="Q316" s="217">
        <v>100</v>
      </c>
      <c r="R316" s="215" t="s">
        <v>445</v>
      </c>
      <c r="S316" s="215" t="s">
        <v>532</v>
      </c>
      <c r="T316" s="215" t="s">
        <v>445</v>
      </c>
      <c r="U316" s="215" t="s">
        <v>446</v>
      </c>
      <c r="V316" s="217" t="b">
        <v>1</v>
      </c>
      <c r="W316" s="217">
        <v>1989</v>
      </c>
      <c r="X316" s="217">
        <v>5</v>
      </c>
      <c r="Y316" s="217">
        <v>2</v>
      </c>
      <c r="Z316" s="217">
        <v>4</v>
      </c>
      <c r="AA316" s="215" t="s">
        <v>447</v>
      </c>
      <c r="AB316" s="215" t="s">
        <v>531</v>
      </c>
      <c r="AC316" s="215" t="s">
        <v>533</v>
      </c>
      <c r="AD316" s="217">
        <v>2.2218420000000001</v>
      </c>
      <c r="AE316" s="217">
        <v>44</v>
      </c>
      <c r="AF316" s="217">
        <v>4.1000000000000003E-3</v>
      </c>
      <c r="AG316" s="217">
        <v>-99</v>
      </c>
      <c r="AH316" s="215" t="s">
        <v>224</v>
      </c>
      <c r="AI316" s="215" t="s">
        <v>449</v>
      </c>
      <c r="AJ316" s="215" t="s">
        <v>400</v>
      </c>
      <c r="AK316" s="215" t="s">
        <v>531</v>
      </c>
      <c r="AL316" s="215" t="s">
        <v>401</v>
      </c>
      <c r="AM316" s="217" t="b">
        <v>1</v>
      </c>
      <c r="AN316" s="217" t="b">
        <v>0</v>
      </c>
      <c r="AO316" s="215" t="s">
        <v>402</v>
      </c>
      <c r="AP316" s="215" t="s">
        <v>403</v>
      </c>
      <c r="AQ316" s="217">
        <v>120.19158</v>
      </c>
      <c r="AR316" s="217" t="b">
        <v>0</v>
      </c>
      <c r="AS316" s="215" t="s">
        <v>534</v>
      </c>
      <c r="AU316" s="222" t="s">
        <v>819</v>
      </c>
    </row>
    <row r="317" spans="1:47" s="218" customFormat="1" x14ac:dyDescent="0.25">
      <c r="A317" s="245">
        <f t="shared" si="40"/>
        <v>412</v>
      </c>
      <c r="B317" s="246" t="str">
        <f t="shared" si="33"/>
        <v>Oil Field - Well</v>
      </c>
      <c r="C317" s="246" t="str">
        <f ca="1">IF(B317="","",VLOOKUP(D317,'Species Data'!B:E,4,FALSE))</f>
        <v>ethben12</v>
      </c>
      <c r="D317" s="246">
        <f t="shared" ca="1" si="34"/>
        <v>80</v>
      </c>
      <c r="E317" s="246">
        <f t="shared" ca="1" si="35"/>
        <v>0.16919999999999999</v>
      </c>
      <c r="F317" s="246" t="str">
        <f t="shared" ca="1" si="36"/>
        <v>1-Methyl-2-ethylbenzene</v>
      </c>
      <c r="G317" s="246">
        <f t="shared" ca="1" si="37"/>
        <v>120.19158</v>
      </c>
      <c r="H317" s="204">
        <f ca="1">IF(G317="","",IF(VLOOKUP(Well_Head!F317,'Species Data'!D:F,3,FALSE)=0,"X",IF(G317&lt;44.1,2,1)))</f>
        <v>1</v>
      </c>
      <c r="I317" s="204">
        <f t="shared" ca="1" si="38"/>
        <v>0.13882239189403453</v>
      </c>
      <c r="J317" s="247">
        <f ca="1">IF(I317="","",IF(COUNTIF($D$12:D317,D317)=1,IF(H317=1,I317*H317,IF(H317="X","X",0)),0))</f>
        <v>0</v>
      </c>
      <c r="K317" s="248">
        <f t="shared" ca="1" si="39"/>
        <v>0</v>
      </c>
      <c r="L317" s="239" t="s">
        <v>626</v>
      </c>
      <c r="M317" s="215" t="s">
        <v>448</v>
      </c>
      <c r="N317" s="215" t="s">
        <v>470</v>
      </c>
      <c r="O317" s="216">
        <v>41419</v>
      </c>
      <c r="P317" s="215" t="s">
        <v>531</v>
      </c>
      <c r="Q317" s="217">
        <v>100</v>
      </c>
      <c r="R317" s="215" t="s">
        <v>445</v>
      </c>
      <c r="S317" s="215" t="s">
        <v>532</v>
      </c>
      <c r="T317" s="215" t="s">
        <v>445</v>
      </c>
      <c r="U317" s="215" t="s">
        <v>446</v>
      </c>
      <c r="V317" s="217" t="b">
        <v>1</v>
      </c>
      <c r="W317" s="217">
        <v>1989</v>
      </c>
      <c r="X317" s="217">
        <v>5</v>
      </c>
      <c r="Y317" s="217">
        <v>2</v>
      </c>
      <c r="Z317" s="217">
        <v>4</v>
      </c>
      <c r="AA317" s="215" t="s">
        <v>447</v>
      </c>
      <c r="AB317" s="215" t="s">
        <v>531</v>
      </c>
      <c r="AC317" s="215" t="s">
        <v>533</v>
      </c>
      <c r="AD317" s="217">
        <v>2.2218420000000001</v>
      </c>
      <c r="AE317" s="217">
        <v>80</v>
      </c>
      <c r="AF317" s="217">
        <v>3.8E-3</v>
      </c>
      <c r="AG317" s="217">
        <v>-99</v>
      </c>
      <c r="AH317" s="215" t="s">
        <v>224</v>
      </c>
      <c r="AI317" s="215" t="s">
        <v>449</v>
      </c>
      <c r="AJ317" s="215" t="s">
        <v>408</v>
      </c>
      <c r="AK317" s="215" t="s">
        <v>531</v>
      </c>
      <c r="AL317" s="215" t="s">
        <v>450</v>
      </c>
      <c r="AM317" s="217" t="b">
        <v>1</v>
      </c>
      <c r="AN317" s="217" t="b">
        <v>0</v>
      </c>
      <c r="AO317" s="215" t="s">
        <v>409</v>
      </c>
      <c r="AP317" s="215" t="s">
        <v>410</v>
      </c>
      <c r="AQ317" s="217">
        <v>120.19158</v>
      </c>
      <c r="AR317" s="217" t="b">
        <v>0</v>
      </c>
      <c r="AS317" s="215" t="s">
        <v>534</v>
      </c>
      <c r="AU317" s="222" t="s">
        <v>819</v>
      </c>
    </row>
    <row r="318" spans="1:47" s="218" customFormat="1" x14ac:dyDescent="0.25">
      <c r="A318" s="245">
        <f t="shared" si="40"/>
        <v>413</v>
      </c>
      <c r="B318" s="246" t="str">
        <f t="shared" si="33"/>
        <v>Oil Field - Well</v>
      </c>
      <c r="C318" s="246" t="str">
        <f ca="1">IF(B318="","",VLOOKUP(D318,'Species Data'!B:E,4,FALSE))</f>
        <v>ethben13</v>
      </c>
      <c r="D318" s="246">
        <f t="shared" ca="1" si="34"/>
        <v>89</v>
      </c>
      <c r="E318" s="246">
        <f t="shared" ca="1" si="35"/>
        <v>0.55159999999999998</v>
      </c>
      <c r="F318" s="246" t="str">
        <f t="shared" ca="1" si="36"/>
        <v>1-Methyl-3-ethylbenzene (3-Ethyltoluene)</v>
      </c>
      <c r="G318" s="246">
        <f t="shared" ca="1" si="37"/>
        <v>120.19158</v>
      </c>
      <c r="H318" s="204">
        <f ca="1">IF(G318="","",IF(VLOOKUP(Well_Head!F318,'Species Data'!D:F,3,FALSE)=0,"X",IF(G318&lt;44.1,2,1)))</f>
        <v>1</v>
      </c>
      <c r="I318" s="204">
        <f t="shared" ca="1" si="38"/>
        <v>0.1338446080322987</v>
      </c>
      <c r="J318" s="247">
        <f ca="1">IF(I318="","",IF(COUNTIF($D$12:D318,D318)=1,IF(H318=1,I318*H318,IF(H318="X","X",0)),0))</f>
        <v>0</v>
      </c>
      <c r="K318" s="248">
        <f t="shared" ca="1" si="39"/>
        <v>0</v>
      </c>
      <c r="L318" s="239" t="s">
        <v>626</v>
      </c>
      <c r="M318" s="215" t="s">
        <v>448</v>
      </c>
      <c r="N318" s="215" t="s">
        <v>470</v>
      </c>
      <c r="O318" s="216">
        <v>41419</v>
      </c>
      <c r="P318" s="215" t="s">
        <v>531</v>
      </c>
      <c r="Q318" s="217">
        <v>100</v>
      </c>
      <c r="R318" s="215" t="s">
        <v>445</v>
      </c>
      <c r="S318" s="215" t="s">
        <v>532</v>
      </c>
      <c r="T318" s="215" t="s">
        <v>445</v>
      </c>
      <c r="U318" s="215" t="s">
        <v>446</v>
      </c>
      <c r="V318" s="217" t="b">
        <v>1</v>
      </c>
      <c r="W318" s="217">
        <v>1989</v>
      </c>
      <c r="X318" s="217">
        <v>5</v>
      </c>
      <c r="Y318" s="217">
        <v>2</v>
      </c>
      <c r="Z318" s="217">
        <v>4</v>
      </c>
      <c r="AA318" s="215" t="s">
        <v>447</v>
      </c>
      <c r="AB318" s="215" t="s">
        <v>531</v>
      </c>
      <c r="AC318" s="215" t="s">
        <v>533</v>
      </c>
      <c r="AD318" s="217">
        <v>2.2218420000000001</v>
      </c>
      <c r="AE318" s="217">
        <v>122</v>
      </c>
      <c r="AF318" s="217">
        <v>4.0899999999999999E-2</v>
      </c>
      <c r="AG318" s="217">
        <v>-99</v>
      </c>
      <c r="AH318" s="215" t="s">
        <v>224</v>
      </c>
      <c r="AI318" s="215" t="s">
        <v>449</v>
      </c>
      <c r="AJ318" s="215" t="s">
        <v>301</v>
      </c>
      <c r="AK318" s="215" t="s">
        <v>531</v>
      </c>
      <c r="AL318" s="215" t="s">
        <v>384</v>
      </c>
      <c r="AM318" s="217" t="b">
        <v>1</v>
      </c>
      <c r="AN318" s="217" t="b">
        <v>0</v>
      </c>
      <c r="AO318" s="215" t="s">
        <v>302</v>
      </c>
      <c r="AP318" s="215" t="s">
        <v>303</v>
      </c>
      <c r="AQ318" s="217">
        <v>86.175359999999998</v>
      </c>
      <c r="AR318" s="217" t="b">
        <v>0</v>
      </c>
      <c r="AS318" s="215" t="s">
        <v>534</v>
      </c>
      <c r="AU318" s="222" t="s">
        <v>819</v>
      </c>
    </row>
    <row r="319" spans="1:47" s="218" customFormat="1" x14ac:dyDescent="0.25">
      <c r="A319" s="245">
        <f t="shared" si="40"/>
        <v>414</v>
      </c>
      <c r="B319" s="246" t="str">
        <f t="shared" si="33"/>
        <v>Oil Field - Well</v>
      </c>
      <c r="C319" s="246" t="str">
        <f ca="1">IF(B319="","",VLOOKUP(D319,'Species Data'!B:E,4,FALSE))</f>
        <v>dimethhex23</v>
      </c>
      <c r="D319" s="246">
        <f t="shared" ca="1" si="34"/>
        <v>138</v>
      </c>
      <c r="E319" s="246">
        <f t="shared" ca="1" si="35"/>
        <v>7.4399999999999994E-2</v>
      </c>
      <c r="F319" s="246" t="str">
        <f t="shared" ca="1" si="36"/>
        <v>2,3-dimethylhexane</v>
      </c>
      <c r="G319" s="246">
        <f t="shared" ca="1" si="37"/>
        <v>114.22852</v>
      </c>
      <c r="H319" s="204">
        <f ca="1">IF(G319="","",IF(VLOOKUP(Well_Head!F319,'Species Data'!D:F,3,FALSE)=0,"X",IF(G319&lt;44.1,2,1)))</f>
        <v>1</v>
      </c>
      <c r="I319" s="204">
        <f t="shared" ca="1" si="38"/>
        <v>5.9266739103792238E-2</v>
      </c>
      <c r="J319" s="247">
        <f ca="1">IF(I319="","",IF(COUNTIF($D$12:D319,D319)=1,IF(H319=1,I319*H319,IF(H319="X","X",0)),0))</f>
        <v>0</v>
      </c>
      <c r="K319" s="248">
        <f t="shared" ca="1" si="39"/>
        <v>0</v>
      </c>
      <c r="L319" s="239" t="s">
        <v>626</v>
      </c>
      <c r="M319" s="215" t="s">
        <v>448</v>
      </c>
      <c r="N319" s="215" t="s">
        <v>470</v>
      </c>
      <c r="O319" s="216">
        <v>41419</v>
      </c>
      <c r="P319" s="215" t="s">
        <v>531</v>
      </c>
      <c r="Q319" s="217">
        <v>100</v>
      </c>
      <c r="R319" s="215" t="s">
        <v>445</v>
      </c>
      <c r="S319" s="215" t="s">
        <v>532</v>
      </c>
      <c r="T319" s="215" t="s">
        <v>445</v>
      </c>
      <c r="U319" s="215" t="s">
        <v>446</v>
      </c>
      <c r="V319" s="217" t="b">
        <v>1</v>
      </c>
      <c r="W319" s="217">
        <v>1989</v>
      </c>
      <c r="X319" s="217">
        <v>5</v>
      </c>
      <c r="Y319" s="217">
        <v>2</v>
      </c>
      <c r="Z319" s="217">
        <v>4</v>
      </c>
      <c r="AA319" s="215" t="s">
        <v>447</v>
      </c>
      <c r="AB319" s="215" t="s">
        <v>531</v>
      </c>
      <c r="AC319" s="215" t="s">
        <v>533</v>
      </c>
      <c r="AD319" s="217">
        <v>2.2218420000000001</v>
      </c>
      <c r="AE319" s="217">
        <v>127</v>
      </c>
      <c r="AF319" s="217">
        <v>2.5100000000000001E-2</v>
      </c>
      <c r="AG319" s="217">
        <v>-99</v>
      </c>
      <c r="AH319" s="215" t="s">
        <v>224</v>
      </c>
      <c r="AI319" s="215" t="s">
        <v>449</v>
      </c>
      <c r="AJ319" s="215" t="s">
        <v>441</v>
      </c>
      <c r="AK319" s="215" t="s">
        <v>531</v>
      </c>
      <c r="AL319" s="215" t="s">
        <v>462</v>
      </c>
      <c r="AM319" s="217" t="b">
        <v>0</v>
      </c>
      <c r="AN319" s="217" t="b">
        <v>0</v>
      </c>
      <c r="AO319" s="215" t="s">
        <v>442</v>
      </c>
      <c r="AP319" s="215" t="s">
        <v>531</v>
      </c>
      <c r="AQ319" s="217">
        <v>72.148780000000002</v>
      </c>
      <c r="AR319" s="217" t="b">
        <v>0</v>
      </c>
      <c r="AS319" s="215" t="s">
        <v>534</v>
      </c>
      <c r="AU319" s="222" t="s">
        <v>819</v>
      </c>
    </row>
    <row r="320" spans="1:47" s="218" customFormat="1" x14ac:dyDescent="0.25">
      <c r="A320" s="245">
        <f t="shared" si="40"/>
        <v>415</v>
      </c>
      <c r="B320" s="246" t="str">
        <f t="shared" si="33"/>
        <v>Oil Field - Well</v>
      </c>
      <c r="C320" s="246" t="str">
        <f ca="1">IF(B320="","",VLOOKUP(D320,'Species Data'!B:E,4,FALSE))</f>
        <v>dimetpen3</v>
      </c>
      <c r="D320" s="246">
        <f t="shared" ca="1" si="34"/>
        <v>140</v>
      </c>
      <c r="E320" s="246">
        <f t="shared" ca="1" si="35"/>
        <v>0.19350000000000001</v>
      </c>
      <c r="F320" s="246" t="str">
        <f t="shared" ca="1" si="36"/>
        <v>2,3-dimethylpentane</v>
      </c>
      <c r="G320" s="246">
        <f t="shared" ca="1" si="37"/>
        <v>100.20194000000001</v>
      </c>
      <c r="H320" s="204">
        <f ca="1">IF(G320="","",IF(VLOOKUP(Well_Head!F320,'Species Data'!D:F,3,FALSE)=0,"X",IF(G320&lt;44.1,2,1)))</f>
        <v>1</v>
      </c>
      <c r="I320" s="204">
        <f t="shared" ca="1" si="38"/>
        <v>0.38365602446847435</v>
      </c>
      <c r="J320" s="247">
        <f ca="1">IF(I320="","",IF(COUNTIF($D$12:D320,D320)=1,IF(H320=1,I320*H320,IF(H320="X","X",0)),0))</f>
        <v>0</v>
      </c>
      <c r="K320" s="248">
        <f t="shared" ca="1" si="39"/>
        <v>0</v>
      </c>
      <c r="L320" s="239" t="s">
        <v>626</v>
      </c>
      <c r="M320" s="215" t="s">
        <v>448</v>
      </c>
      <c r="N320" s="215" t="s">
        <v>470</v>
      </c>
      <c r="O320" s="216">
        <v>41419</v>
      </c>
      <c r="P320" s="215" t="s">
        <v>531</v>
      </c>
      <c r="Q320" s="217">
        <v>100</v>
      </c>
      <c r="R320" s="215" t="s">
        <v>445</v>
      </c>
      <c r="S320" s="215" t="s">
        <v>532</v>
      </c>
      <c r="T320" s="215" t="s">
        <v>445</v>
      </c>
      <c r="U320" s="215" t="s">
        <v>446</v>
      </c>
      <c r="V320" s="217" t="b">
        <v>1</v>
      </c>
      <c r="W320" s="217">
        <v>1989</v>
      </c>
      <c r="X320" s="217">
        <v>5</v>
      </c>
      <c r="Y320" s="217">
        <v>2</v>
      </c>
      <c r="Z320" s="217">
        <v>4</v>
      </c>
      <c r="AA320" s="215" t="s">
        <v>447</v>
      </c>
      <c r="AB320" s="215" t="s">
        <v>531</v>
      </c>
      <c r="AC320" s="215" t="s">
        <v>533</v>
      </c>
      <c r="AD320" s="217">
        <v>2.2218420000000001</v>
      </c>
      <c r="AE320" s="217">
        <v>130</v>
      </c>
      <c r="AF320" s="217">
        <v>0.23219999999999999</v>
      </c>
      <c r="AG320" s="217">
        <v>-99</v>
      </c>
      <c r="AH320" s="215" t="s">
        <v>224</v>
      </c>
      <c r="AI320" s="215" t="s">
        <v>449</v>
      </c>
      <c r="AJ320" s="215" t="s">
        <v>404</v>
      </c>
      <c r="AK320" s="215" t="s">
        <v>531</v>
      </c>
      <c r="AL320" s="215" t="s">
        <v>405</v>
      </c>
      <c r="AM320" s="217" t="b">
        <v>1</v>
      </c>
      <c r="AN320" s="217" t="b">
        <v>0</v>
      </c>
      <c r="AO320" s="215" t="s">
        <v>406</v>
      </c>
      <c r="AP320" s="215" t="s">
        <v>407</v>
      </c>
      <c r="AQ320" s="217">
        <v>114.22852</v>
      </c>
      <c r="AR320" s="217" t="b">
        <v>0</v>
      </c>
      <c r="AS320" s="215" t="s">
        <v>534</v>
      </c>
      <c r="AU320" s="222" t="s">
        <v>819</v>
      </c>
    </row>
    <row r="321" spans="1:47" s="218" customFormat="1" x14ac:dyDescent="0.25">
      <c r="A321" s="245">
        <f t="shared" si="40"/>
        <v>416</v>
      </c>
      <c r="B321" s="246" t="str">
        <f t="shared" si="33"/>
        <v>Oil Field - Well</v>
      </c>
      <c r="C321" s="246" t="str">
        <f ca="1">IF(B321="","",VLOOKUP(D321,'Species Data'!B:E,4,FALSE))</f>
        <v>dimethhex24</v>
      </c>
      <c r="D321" s="246">
        <f t="shared" ca="1" si="34"/>
        <v>149</v>
      </c>
      <c r="E321" s="246">
        <f t="shared" ca="1" si="35"/>
        <v>4.6100000000000002E-2</v>
      </c>
      <c r="F321" s="246" t="str">
        <f t="shared" ca="1" si="36"/>
        <v>2,4-dimethylhexane</v>
      </c>
      <c r="G321" s="246">
        <f t="shared" ca="1" si="37"/>
        <v>114.22852</v>
      </c>
      <c r="H321" s="204">
        <f ca="1">IF(G321="","",IF(VLOOKUP(Well_Head!F321,'Species Data'!D:F,3,FALSE)=0,"X",IF(G321&lt;44.1,2,1)))</f>
        <v>1</v>
      </c>
      <c r="I321" s="204">
        <f t="shared" ca="1" si="38"/>
        <v>0.16547798002864228</v>
      </c>
      <c r="J321" s="247">
        <f ca="1">IF(I321="","",IF(COUNTIF($D$12:D321,D321)=1,IF(H321=1,I321*H321,IF(H321="X","X",0)),0))</f>
        <v>0</v>
      </c>
      <c r="K321" s="248">
        <f t="shared" ca="1" si="39"/>
        <v>0</v>
      </c>
      <c r="L321" s="239" t="s">
        <v>626</v>
      </c>
      <c r="M321" s="215" t="s">
        <v>448</v>
      </c>
      <c r="N321" s="215" t="s">
        <v>470</v>
      </c>
      <c r="O321" s="216">
        <v>41419</v>
      </c>
      <c r="P321" s="215" t="s">
        <v>531</v>
      </c>
      <c r="Q321" s="217">
        <v>100</v>
      </c>
      <c r="R321" s="215" t="s">
        <v>445</v>
      </c>
      <c r="S321" s="215" t="s">
        <v>532</v>
      </c>
      <c r="T321" s="215" t="s">
        <v>445</v>
      </c>
      <c r="U321" s="215" t="s">
        <v>446</v>
      </c>
      <c r="V321" s="217" t="b">
        <v>1</v>
      </c>
      <c r="W321" s="217">
        <v>1989</v>
      </c>
      <c r="X321" s="217">
        <v>5</v>
      </c>
      <c r="Y321" s="217">
        <v>2</v>
      </c>
      <c r="Z321" s="217">
        <v>4</v>
      </c>
      <c r="AA321" s="215" t="s">
        <v>447</v>
      </c>
      <c r="AB321" s="215" t="s">
        <v>531</v>
      </c>
      <c r="AC321" s="215" t="s">
        <v>533</v>
      </c>
      <c r="AD321" s="217">
        <v>2.2218420000000001</v>
      </c>
      <c r="AE321" s="217">
        <v>138</v>
      </c>
      <c r="AF321" s="217">
        <v>1.37E-2</v>
      </c>
      <c r="AG321" s="217">
        <v>-99</v>
      </c>
      <c r="AH321" s="215" t="s">
        <v>224</v>
      </c>
      <c r="AI321" s="215" t="s">
        <v>449</v>
      </c>
      <c r="AJ321" s="215" t="s">
        <v>443</v>
      </c>
      <c r="AK321" s="215" t="s">
        <v>531</v>
      </c>
      <c r="AL321" s="215" t="s">
        <v>463</v>
      </c>
      <c r="AM321" s="217" t="b">
        <v>0</v>
      </c>
      <c r="AN321" s="217" t="b">
        <v>0</v>
      </c>
      <c r="AO321" s="215" t="s">
        <v>444</v>
      </c>
      <c r="AP321" s="215" t="s">
        <v>531</v>
      </c>
      <c r="AQ321" s="217">
        <v>114.22852</v>
      </c>
      <c r="AR321" s="217" t="b">
        <v>0</v>
      </c>
      <c r="AS321" s="215" t="s">
        <v>534</v>
      </c>
      <c r="AU321" s="222" t="s">
        <v>819</v>
      </c>
    </row>
    <row r="322" spans="1:47" s="218" customFormat="1" x14ac:dyDescent="0.25">
      <c r="A322" s="245">
        <f t="shared" si="40"/>
        <v>417</v>
      </c>
      <c r="B322" s="246" t="str">
        <f t="shared" si="33"/>
        <v>Oil Field - Well</v>
      </c>
      <c r="C322" s="246" t="str">
        <f ca="1">IF(B322="","",VLOOKUP(D322,'Species Data'!B:E,4,FALSE))</f>
        <v>methep2</v>
      </c>
      <c r="D322" s="246">
        <f t="shared" ca="1" si="34"/>
        <v>193</v>
      </c>
      <c r="E322" s="246">
        <f t="shared" ca="1" si="35"/>
        <v>0.6905</v>
      </c>
      <c r="F322" s="246" t="str">
        <f t="shared" ca="1" si="36"/>
        <v>2-methylheptane</v>
      </c>
      <c r="G322" s="246">
        <f t="shared" ca="1" si="37"/>
        <v>114.22852</v>
      </c>
      <c r="H322" s="204">
        <f ca="1">IF(G322="","",IF(VLOOKUP(Well_Head!F322,'Species Data'!D:F,3,FALSE)=0,"X",IF(G322&lt;44.1,2,1)))</f>
        <v>1</v>
      </c>
      <c r="I322" s="204">
        <f t="shared" ca="1" si="38"/>
        <v>0.21534470764353159</v>
      </c>
      <c r="J322" s="247">
        <f ca="1">IF(I322="","",IF(COUNTIF($D$12:D322,D322)=1,IF(H322=1,I322*H322,IF(H322="X","X",0)),0))</f>
        <v>0</v>
      </c>
      <c r="K322" s="248">
        <f t="shared" ca="1" si="39"/>
        <v>0</v>
      </c>
      <c r="L322" s="239" t="s">
        <v>626</v>
      </c>
      <c r="M322" s="215" t="s">
        <v>448</v>
      </c>
      <c r="N322" s="215" t="s">
        <v>470</v>
      </c>
      <c r="O322" s="216">
        <v>41419</v>
      </c>
      <c r="P322" s="215" t="s">
        <v>531</v>
      </c>
      <c r="Q322" s="217">
        <v>100</v>
      </c>
      <c r="R322" s="215" t="s">
        <v>445</v>
      </c>
      <c r="S322" s="215" t="s">
        <v>532</v>
      </c>
      <c r="T322" s="215" t="s">
        <v>445</v>
      </c>
      <c r="U322" s="215" t="s">
        <v>446</v>
      </c>
      <c r="V322" s="217" t="b">
        <v>1</v>
      </c>
      <c r="W322" s="217">
        <v>1989</v>
      </c>
      <c r="X322" s="217">
        <v>5</v>
      </c>
      <c r="Y322" s="217">
        <v>2</v>
      </c>
      <c r="Z322" s="217">
        <v>4</v>
      </c>
      <c r="AA322" s="215" t="s">
        <v>447</v>
      </c>
      <c r="AB322" s="215" t="s">
        <v>531</v>
      </c>
      <c r="AC322" s="215" t="s">
        <v>533</v>
      </c>
      <c r="AD322" s="217">
        <v>2.2218420000000001</v>
      </c>
      <c r="AE322" s="217">
        <v>140</v>
      </c>
      <c r="AF322" s="217">
        <v>0.20200000000000001</v>
      </c>
      <c r="AG322" s="217">
        <v>-99</v>
      </c>
      <c r="AH322" s="215" t="s">
        <v>224</v>
      </c>
      <c r="AI322" s="215" t="s">
        <v>449</v>
      </c>
      <c r="AJ322" s="215" t="s">
        <v>307</v>
      </c>
      <c r="AK322" s="215" t="s">
        <v>531</v>
      </c>
      <c r="AL322" s="215" t="s">
        <v>385</v>
      </c>
      <c r="AM322" s="217" t="b">
        <v>1</v>
      </c>
      <c r="AN322" s="217" t="b">
        <v>0</v>
      </c>
      <c r="AO322" s="215" t="s">
        <v>308</v>
      </c>
      <c r="AP322" s="215" t="s">
        <v>309</v>
      </c>
      <c r="AQ322" s="217">
        <v>100.20194000000001</v>
      </c>
      <c r="AR322" s="217" t="b">
        <v>0</v>
      </c>
      <c r="AS322" s="215" t="s">
        <v>534</v>
      </c>
      <c r="AU322" s="222" t="s">
        <v>819</v>
      </c>
    </row>
    <row r="323" spans="1:47" s="218" customFormat="1" x14ac:dyDescent="0.25">
      <c r="A323" s="245">
        <f t="shared" si="40"/>
        <v>418</v>
      </c>
      <c r="B323" s="246" t="str">
        <f t="shared" si="33"/>
        <v>Oil Field - Well</v>
      </c>
      <c r="C323" s="246" t="str">
        <f ca="1">IF(B323="","",VLOOKUP(D323,'Species Data'!B:E,4,FALSE))</f>
        <v>twomethex</v>
      </c>
      <c r="D323" s="246">
        <f t="shared" ca="1" si="34"/>
        <v>194</v>
      </c>
      <c r="E323" s="246">
        <f t="shared" ca="1" si="35"/>
        <v>0.2747</v>
      </c>
      <c r="F323" s="246" t="str">
        <f t="shared" ca="1" si="36"/>
        <v>2-methylhexane</v>
      </c>
      <c r="G323" s="246">
        <f t="shared" ca="1" si="37"/>
        <v>100.20194000000001</v>
      </c>
      <c r="H323" s="204">
        <f ca="1">IF(G323="","",IF(VLOOKUP(Well_Head!F323,'Species Data'!D:F,3,FALSE)=0,"X",IF(G323&lt;44.1,2,1)))</f>
        <v>1</v>
      </c>
      <c r="I323" s="204">
        <f t="shared" ca="1" si="38"/>
        <v>0.3337892968535851</v>
      </c>
      <c r="J323" s="247">
        <f ca="1">IF(I323="","",IF(COUNTIF($D$12:D323,D323)=1,IF(H323=1,I323*H323,IF(H323="X","X",0)),0))</f>
        <v>0</v>
      </c>
      <c r="K323" s="248">
        <f t="shared" ca="1" si="39"/>
        <v>0</v>
      </c>
      <c r="L323" s="239" t="s">
        <v>626</v>
      </c>
      <c r="M323" s="215" t="s">
        <v>448</v>
      </c>
      <c r="N323" s="215" t="s">
        <v>470</v>
      </c>
      <c r="O323" s="216">
        <v>41419</v>
      </c>
      <c r="P323" s="215" t="s">
        <v>531</v>
      </c>
      <c r="Q323" s="217">
        <v>100</v>
      </c>
      <c r="R323" s="215" t="s">
        <v>445</v>
      </c>
      <c r="S323" s="215" t="s">
        <v>532</v>
      </c>
      <c r="T323" s="215" t="s">
        <v>445</v>
      </c>
      <c r="U323" s="215" t="s">
        <v>446</v>
      </c>
      <c r="V323" s="217" t="b">
        <v>1</v>
      </c>
      <c r="W323" s="217">
        <v>1989</v>
      </c>
      <c r="X323" s="217">
        <v>5</v>
      </c>
      <c r="Y323" s="217">
        <v>2</v>
      </c>
      <c r="Z323" s="217">
        <v>4</v>
      </c>
      <c r="AA323" s="215" t="s">
        <v>447</v>
      </c>
      <c r="AB323" s="215" t="s">
        <v>531</v>
      </c>
      <c r="AC323" s="215" t="s">
        <v>533</v>
      </c>
      <c r="AD323" s="217">
        <v>2.2218420000000001</v>
      </c>
      <c r="AE323" s="217">
        <v>149</v>
      </c>
      <c r="AF323" s="217">
        <v>0.11210000000000001</v>
      </c>
      <c r="AG323" s="217">
        <v>-99</v>
      </c>
      <c r="AH323" s="215" t="s">
        <v>224</v>
      </c>
      <c r="AI323" s="215" t="s">
        <v>449</v>
      </c>
      <c r="AJ323" s="215" t="s">
        <v>427</v>
      </c>
      <c r="AK323" s="215" t="s">
        <v>531</v>
      </c>
      <c r="AL323" s="215" t="s">
        <v>457</v>
      </c>
      <c r="AM323" s="217" t="b">
        <v>0</v>
      </c>
      <c r="AN323" s="217" t="b">
        <v>0</v>
      </c>
      <c r="AO323" s="215" t="s">
        <v>428</v>
      </c>
      <c r="AP323" s="215" t="s">
        <v>429</v>
      </c>
      <c r="AQ323" s="217">
        <v>114.22852</v>
      </c>
      <c r="AR323" s="217" t="b">
        <v>0</v>
      </c>
      <c r="AS323" s="215" t="s">
        <v>534</v>
      </c>
      <c r="AU323" s="222" t="s">
        <v>819</v>
      </c>
    </row>
    <row r="324" spans="1:47" s="218" customFormat="1" x14ac:dyDescent="0.25">
      <c r="A324" s="245">
        <f t="shared" si="40"/>
        <v>419</v>
      </c>
      <c r="B324" s="246" t="str">
        <f t="shared" si="33"/>
        <v>Oil Field - Well</v>
      </c>
      <c r="C324" s="246" t="str">
        <f ca="1">IF(B324="","",VLOOKUP(D324,'Species Data'!B:E,4,FALSE))</f>
        <v>twometpen</v>
      </c>
      <c r="D324" s="246">
        <f t="shared" ca="1" si="34"/>
        <v>199</v>
      </c>
      <c r="E324" s="246">
        <f t="shared" ca="1" si="35"/>
        <v>0.69199999999999995</v>
      </c>
      <c r="F324" s="246" t="str">
        <f t="shared" ca="1" si="36"/>
        <v>2-methylpentane (isohexane)</v>
      </c>
      <c r="G324" s="246">
        <f t="shared" ca="1" si="37"/>
        <v>86.175359999999998</v>
      </c>
      <c r="H324" s="204">
        <f ca="1">IF(G324="","",IF(VLOOKUP(Well_Head!F324,'Species Data'!D:F,3,FALSE)=0,"X",IF(G324&lt;44.1,2,1)))</f>
        <v>1</v>
      </c>
      <c r="I324" s="204">
        <f t="shared" ca="1" si="38"/>
        <v>0.797867641838229</v>
      </c>
      <c r="J324" s="247">
        <f ca="1">IF(I324="","",IF(COUNTIF($D$12:D324,D324)=1,IF(H324=1,I324*H324,IF(H324="X","X",0)),0))</f>
        <v>0</v>
      </c>
      <c r="K324" s="248">
        <f t="shared" ca="1" si="39"/>
        <v>0</v>
      </c>
      <c r="L324" s="239" t="s">
        <v>626</v>
      </c>
      <c r="M324" s="215" t="s">
        <v>448</v>
      </c>
      <c r="N324" s="215" t="s">
        <v>470</v>
      </c>
      <c r="O324" s="216">
        <v>41419</v>
      </c>
      <c r="P324" s="215" t="s">
        <v>531</v>
      </c>
      <c r="Q324" s="217">
        <v>100</v>
      </c>
      <c r="R324" s="215" t="s">
        <v>445</v>
      </c>
      <c r="S324" s="215" t="s">
        <v>532</v>
      </c>
      <c r="T324" s="215" t="s">
        <v>445</v>
      </c>
      <c r="U324" s="215" t="s">
        <v>446</v>
      </c>
      <c r="V324" s="217" t="b">
        <v>1</v>
      </c>
      <c r="W324" s="217">
        <v>1989</v>
      </c>
      <c r="X324" s="217">
        <v>5</v>
      </c>
      <c r="Y324" s="217">
        <v>2</v>
      </c>
      <c r="Z324" s="217">
        <v>4</v>
      </c>
      <c r="AA324" s="215" t="s">
        <v>447</v>
      </c>
      <c r="AB324" s="215" t="s">
        <v>531</v>
      </c>
      <c r="AC324" s="215" t="s">
        <v>533</v>
      </c>
      <c r="AD324" s="217">
        <v>2.2218420000000001</v>
      </c>
      <c r="AE324" s="217">
        <v>152</v>
      </c>
      <c r="AF324" s="217">
        <v>4.1399999999999999E-2</v>
      </c>
      <c r="AG324" s="217">
        <v>-99</v>
      </c>
      <c r="AH324" s="215" t="s">
        <v>224</v>
      </c>
      <c r="AI324" s="215" t="s">
        <v>449</v>
      </c>
      <c r="AJ324" s="215" t="s">
        <v>310</v>
      </c>
      <c r="AK324" s="215" t="s">
        <v>531</v>
      </c>
      <c r="AL324" s="215" t="s">
        <v>386</v>
      </c>
      <c r="AM324" s="217" t="b">
        <v>1</v>
      </c>
      <c r="AN324" s="217" t="b">
        <v>0</v>
      </c>
      <c r="AO324" s="215" t="s">
        <v>311</v>
      </c>
      <c r="AP324" s="215" t="s">
        <v>312</v>
      </c>
      <c r="AQ324" s="217">
        <v>100.20194000000001</v>
      </c>
      <c r="AR324" s="217" t="b">
        <v>0</v>
      </c>
      <c r="AS324" s="215" t="s">
        <v>534</v>
      </c>
      <c r="AU324" s="222" t="s">
        <v>819</v>
      </c>
    </row>
    <row r="325" spans="1:47" s="218" customFormat="1" x14ac:dyDescent="0.25">
      <c r="A325" s="245">
        <f t="shared" si="40"/>
        <v>420</v>
      </c>
      <c r="B325" s="246" t="str">
        <f t="shared" si="33"/>
        <v>Oil Field - Well</v>
      </c>
      <c r="C325" s="246" t="str">
        <f ca="1">IF(B325="","",VLOOKUP(D325,'Species Data'!B:E,4,FALSE))</f>
        <v>ethylhexane</v>
      </c>
      <c r="D325" s="246">
        <f t="shared" ca="1" si="34"/>
        <v>226</v>
      </c>
      <c r="E325" s="246">
        <f t="shared" ca="1" si="35"/>
        <v>0.30570000000000003</v>
      </c>
      <c r="F325" s="246" t="str">
        <f t="shared" ca="1" si="36"/>
        <v>3-ethylhexane</v>
      </c>
      <c r="G325" s="246">
        <f t="shared" ca="1" si="37"/>
        <v>114.22852</v>
      </c>
      <c r="H325" s="204" t="str">
        <f ca="1">IF(G325="","",IF(VLOOKUP(Well_Head!F325,'Species Data'!D:F,3,FALSE)=0,"X",IF(G325&lt;44.1,2,1)))</f>
        <v>X</v>
      </c>
      <c r="I325" s="204">
        <f t="shared" ca="1" si="38"/>
        <v>0.19565579469041575</v>
      </c>
      <c r="J325" s="247">
        <f ca="1">IF(I325="","",IF(COUNTIF($D$12:D325,D325)=1,IF(H325=1,I325*H325,IF(H325="X","X",0)),0))</f>
        <v>0</v>
      </c>
      <c r="K325" s="248">
        <f t="shared" ca="1" si="39"/>
        <v>0</v>
      </c>
      <c r="L325" s="239" t="s">
        <v>626</v>
      </c>
      <c r="M325" s="215" t="s">
        <v>448</v>
      </c>
      <c r="N325" s="215" t="s">
        <v>470</v>
      </c>
      <c r="O325" s="216">
        <v>41419</v>
      </c>
      <c r="P325" s="215" t="s">
        <v>531</v>
      </c>
      <c r="Q325" s="217">
        <v>100</v>
      </c>
      <c r="R325" s="215" t="s">
        <v>445</v>
      </c>
      <c r="S325" s="215" t="s">
        <v>532</v>
      </c>
      <c r="T325" s="215" t="s">
        <v>445</v>
      </c>
      <c r="U325" s="215" t="s">
        <v>446</v>
      </c>
      <c r="V325" s="217" t="b">
        <v>1</v>
      </c>
      <c r="W325" s="217">
        <v>1989</v>
      </c>
      <c r="X325" s="217">
        <v>5</v>
      </c>
      <c r="Y325" s="217">
        <v>2</v>
      </c>
      <c r="Z325" s="217">
        <v>4</v>
      </c>
      <c r="AA325" s="215" t="s">
        <v>447</v>
      </c>
      <c r="AB325" s="215" t="s">
        <v>531</v>
      </c>
      <c r="AC325" s="215" t="s">
        <v>533</v>
      </c>
      <c r="AD325" s="217">
        <v>2.2218420000000001</v>
      </c>
      <c r="AE325" s="217">
        <v>193</v>
      </c>
      <c r="AF325" s="217">
        <v>1.9699999999999999E-2</v>
      </c>
      <c r="AG325" s="217">
        <v>-99</v>
      </c>
      <c r="AH325" s="215" t="s">
        <v>224</v>
      </c>
      <c r="AI325" s="215" t="s">
        <v>449</v>
      </c>
      <c r="AJ325" s="215" t="s">
        <v>313</v>
      </c>
      <c r="AK325" s="215" t="s">
        <v>531</v>
      </c>
      <c r="AL325" s="215" t="s">
        <v>387</v>
      </c>
      <c r="AM325" s="217" t="b">
        <v>1</v>
      </c>
      <c r="AN325" s="217" t="b">
        <v>0</v>
      </c>
      <c r="AO325" s="215" t="s">
        <v>314</v>
      </c>
      <c r="AP325" s="215" t="s">
        <v>315</v>
      </c>
      <c r="AQ325" s="217">
        <v>114.22852</v>
      </c>
      <c r="AR325" s="217" t="b">
        <v>0</v>
      </c>
      <c r="AS325" s="215" t="s">
        <v>534</v>
      </c>
      <c r="AU325" s="222" t="s">
        <v>819</v>
      </c>
    </row>
    <row r="326" spans="1:47" s="218" customFormat="1" x14ac:dyDescent="0.25">
      <c r="A326" s="245">
        <f t="shared" si="40"/>
        <v>421</v>
      </c>
      <c r="B326" s="246" t="str">
        <f t="shared" si="33"/>
        <v>Oil Field - Well</v>
      </c>
      <c r="C326" s="246" t="str">
        <f ca="1">IF(B326="","",VLOOKUP(D326,'Species Data'!B:E,4,FALSE))</f>
        <v>threemethex</v>
      </c>
      <c r="D326" s="246">
        <f t="shared" ca="1" si="34"/>
        <v>245</v>
      </c>
      <c r="E326" s="246">
        <f t="shared" ca="1" si="35"/>
        <v>0.50480000000000003</v>
      </c>
      <c r="F326" s="246" t="str">
        <f t="shared" ca="1" si="36"/>
        <v>3-methylhexane</v>
      </c>
      <c r="G326" s="246">
        <f t="shared" ca="1" si="37"/>
        <v>100.20194000000001</v>
      </c>
      <c r="H326" s="204">
        <f ca="1">IF(G326="","",IF(VLOOKUP(Well_Head!F326,'Species Data'!D:F,3,FALSE)=0,"X",IF(G326&lt;44.1,2,1)))</f>
        <v>1</v>
      </c>
      <c r="I326" s="204">
        <f t="shared" ca="1" si="38"/>
        <v>0.3128559379350353</v>
      </c>
      <c r="J326" s="247">
        <f ca="1">IF(I326="","",IF(COUNTIF($D$12:D326,D326)=1,IF(H326=1,I326*H326,IF(H326="X","X",0)),0))</f>
        <v>0</v>
      </c>
      <c r="K326" s="248">
        <f t="shared" ca="1" si="39"/>
        <v>0</v>
      </c>
      <c r="L326" s="239" t="s">
        <v>626</v>
      </c>
      <c r="M326" s="215" t="s">
        <v>448</v>
      </c>
      <c r="N326" s="215" t="s">
        <v>470</v>
      </c>
      <c r="O326" s="216">
        <v>41419</v>
      </c>
      <c r="P326" s="215" t="s">
        <v>531</v>
      </c>
      <c r="Q326" s="217">
        <v>100</v>
      </c>
      <c r="R326" s="215" t="s">
        <v>445</v>
      </c>
      <c r="S326" s="215" t="s">
        <v>532</v>
      </c>
      <c r="T326" s="215" t="s">
        <v>445</v>
      </c>
      <c r="U326" s="215" t="s">
        <v>446</v>
      </c>
      <c r="V326" s="217" t="b">
        <v>1</v>
      </c>
      <c r="W326" s="217">
        <v>1989</v>
      </c>
      <c r="X326" s="217">
        <v>5</v>
      </c>
      <c r="Y326" s="217">
        <v>2</v>
      </c>
      <c r="Z326" s="217">
        <v>4</v>
      </c>
      <c r="AA326" s="215" t="s">
        <v>447</v>
      </c>
      <c r="AB326" s="215" t="s">
        <v>531</v>
      </c>
      <c r="AC326" s="215" t="s">
        <v>533</v>
      </c>
      <c r="AD326" s="217">
        <v>2.2218420000000001</v>
      </c>
      <c r="AE326" s="217">
        <v>199</v>
      </c>
      <c r="AF326" s="217">
        <v>1.1674</v>
      </c>
      <c r="AG326" s="217">
        <v>-99</v>
      </c>
      <c r="AH326" s="215" t="s">
        <v>224</v>
      </c>
      <c r="AI326" s="215" t="s">
        <v>449</v>
      </c>
      <c r="AJ326" s="215" t="s">
        <v>319</v>
      </c>
      <c r="AK326" s="215" t="s">
        <v>531</v>
      </c>
      <c r="AL326" s="215" t="s">
        <v>389</v>
      </c>
      <c r="AM326" s="217" t="b">
        <v>1</v>
      </c>
      <c r="AN326" s="217" t="b">
        <v>0</v>
      </c>
      <c r="AO326" s="215" t="s">
        <v>320</v>
      </c>
      <c r="AP326" s="215" t="s">
        <v>321</v>
      </c>
      <c r="AQ326" s="217">
        <v>86.175359999999998</v>
      </c>
      <c r="AR326" s="217" t="b">
        <v>0</v>
      </c>
      <c r="AS326" s="215" t="s">
        <v>534</v>
      </c>
      <c r="AU326" s="222" t="s">
        <v>819</v>
      </c>
    </row>
    <row r="327" spans="1:47" s="218" customFormat="1" x14ac:dyDescent="0.25">
      <c r="A327" s="245">
        <f t="shared" si="40"/>
        <v>422</v>
      </c>
      <c r="B327" s="246" t="str">
        <f t="shared" si="33"/>
        <v>Oil Field - Well</v>
      </c>
      <c r="C327" s="246" t="str">
        <f ca="1">IF(B327="","",VLOOKUP(D327,'Species Data'!B:E,4,FALSE))</f>
        <v>threemetpen</v>
      </c>
      <c r="D327" s="246">
        <f t="shared" ca="1" si="34"/>
        <v>248</v>
      </c>
      <c r="E327" s="246">
        <f t="shared" ca="1" si="35"/>
        <v>0.60219999999999996</v>
      </c>
      <c r="F327" s="246" t="str">
        <f t="shared" ca="1" si="36"/>
        <v>3-methylpentane</v>
      </c>
      <c r="G327" s="246">
        <f t="shared" ca="1" si="37"/>
        <v>86.175359999999998</v>
      </c>
      <c r="H327" s="204">
        <f ca="1">IF(G327="","",IF(VLOOKUP(Well_Head!F327,'Species Data'!D:F,3,FALSE)=0,"X",IF(G327&lt;44.1,2,1)))</f>
        <v>1</v>
      </c>
      <c r="I327" s="204">
        <f t="shared" ca="1" si="38"/>
        <v>0.69705640751338704</v>
      </c>
      <c r="J327" s="247">
        <f ca="1">IF(I327="","",IF(COUNTIF($D$12:D327,D327)=1,IF(H327=1,I327*H327,IF(H327="X","X",0)),0))</f>
        <v>0</v>
      </c>
      <c r="K327" s="248">
        <f t="shared" ca="1" si="39"/>
        <v>0</v>
      </c>
      <c r="L327" s="239" t="s">
        <v>626</v>
      </c>
      <c r="M327" s="215" t="s">
        <v>448</v>
      </c>
      <c r="N327" s="215" t="s">
        <v>470</v>
      </c>
      <c r="O327" s="216">
        <v>41419</v>
      </c>
      <c r="P327" s="215" t="s">
        <v>531</v>
      </c>
      <c r="Q327" s="217">
        <v>100</v>
      </c>
      <c r="R327" s="215" t="s">
        <v>445</v>
      </c>
      <c r="S327" s="215" t="s">
        <v>532</v>
      </c>
      <c r="T327" s="215" t="s">
        <v>445</v>
      </c>
      <c r="U327" s="215" t="s">
        <v>446</v>
      </c>
      <c r="V327" s="217" t="b">
        <v>1</v>
      </c>
      <c r="W327" s="217">
        <v>1989</v>
      </c>
      <c r="X327" s="217">
        <v>5</v>
      </c>
      <c r="Y327" s="217">
        <v>2</v>
      </c>
      <c r="Z327" s="217">
        <v>4</v>
      </c>
      <c r="AA327" s="215" t="s">
        <v>447</v>
      </c>
      <c r="AB327" s="215" t="s">
        <v>531</v>
      </c>
      <c r="AC327" s="215" t="s">
        <v>533</v>
      </c>
      <c r="AD327" s="217">
        <v>2.2218420000000001</v>
      </c>
      <c r="AE327" s="217">
        <v>226</v>
      </c>
      <c r="AF327" s="217">
        <v>4.82E-2</v>
      </c>
      <c r="AG327" s="217">
        <v>-99</v>
      </c>
      <c r="AH327" s="215" t="s">
        <v>224</v>
      </c>
      <c r="AI327" s="215" t="s">
        <v>449</v>
      </c>
      <c r="AJ327" s="215" t="s">
        <v>439</v>
      </c>
      <c r="AK327" s="215" t="s">
        <v>531</v>
      </c>
      <c r="AL327" s="215" t="s">
        <v>461</v>
      </c>
      <c r="AM327" s="217" t="b">
        <v>0</v>
      </c>
      <c r="AN327" s="217" t="b">
        <v>0</v>
      </c>
      <c r="AO327" s="215" t="s">
        <v>440</v>
      </c>
      <c r="AP327" s="215" t="s">
        <v>531</v>
      </c>
      <c r="AQ327" s="217">
        <v>114.22852</v>
      </c>
      <c r="AR327" s="217" t="b">
        <v>0</v>
      </c>
      <c r="AS327" s="215" t="s">
        <v>534</v>
      </c>
      <c r="AU327" s="222" t="s">
        <v>819</v>
      </c>
    </row>
    <row r="328" spans="1:47" s="218" customFormat="1" x14ac:dyDescent="0.25">
      <c r="A328" s="245">
        <f t="shared" si="40"/>
        <v>423</v>
      </c>
      <c r="B328" s="246" t="str">
        <f t="shared" si="33"/>
        <v>Oil Field - Well</v>
      </c>
      <c r="C328" s="246" t="str">
        <f ca="1">IF(B328="","",VLOOKUP(D328,'Species Data'!B:E,4,FALSE))</f>
        <v>benzene</v>
      </c>
      <c r="D328" s="246">
        <f t="shared" ca="1" si="34"/>
        <v>302</v>
      </c>
      <c r="E328" s="246">
        <f t="shared" ca="1" si="35"/>
        <v>1.8187</v>
      </c>
      <c r="F328" s="246" t="str">
        <f t="shared" ca="1" si="36"/>
        <v>Benzene</v>
      </c>
      <c r="G328" s="246">
        <f t="shared" ca="1" si="37"/>
        <v>78.111840000000001</v>
      </c>
      <c r="H328" s="204">
        <f ca="1">IF(G328="","",IF(VLOOKUP(Well_Head!F328,'Species Data'!D:F,3,FALSE)=0,"X",IF(G328&lt;44.1,2,1)))</f>
        <v>1</v>
      </c>
      <c r="I328" s="204">
        <f t="shared" ca="1" si="38"/>
        <v>0.3538559880462076</v>
      </c>
      <c r="J328" s="247">
        <f ca="1">IF(I328="","",IF(COUNTIF($D$12:D328,D328)=1,IF(H328=1,I328*H328,IF(H328="X","X",0)),0))</f>
        <v>0</v>
      </c>
      <c r="K328" s="248">
        <f t="shared" ca="1" si="39"/>
        <v>0</v>
      </c>
      <c r="L328" s="239" t="s">
        <v>626</v>
      </c>
      <c r="M328" s="215" t="s">
        <v>448</v>
      </c>
      <c r="N328" s="215" t="s">
        <v>470</v>
      </c>
      <c r="O328" s="216">
        <v>41419</v>
      </c>
      <c r="P328" s="215" t="s">
        <v>531</v>
      </c>
      <c r="Q328" s="217">
        <v>100</v>
      </c>
      <c r="R328" s="215" t="s">
        <v>445</v>
      </c>
      <c r="S328" s="215" t="s">
        <v>532</v>
      </c>
      <c r="T328" s="215" t="s">
        <v>445</v>
      </c>
      <c r="U328" s="215" t="s">
        <v>446</v>
      </c>
      <c r="V328" s="217" t="b">
        <v>1</v>
      </c>
      <c r="W328" s="217">
        <v>1989</v>
      </c>
      <c r="X328" s="217">
        <v>5</v>
      </c>
      <c r="Y328" s="217">
        <v>2</v>
      </c>
      <c r="Z328" s="217">
        <v>4</v>
      </c>
      <c r="AA328" s="215" t="s">
        <v>447</v>
      </c>
      <c r="AB328" s="215" t="s">
        <v>531</v>
      </c>
      <c r="AC328" s="215" t="s">
        <v>533</v>
      </c>
      <c r="AD328" s="217">
        <v>2.2218420000000001</v>
      </c>
      <c r="AE328" s="217">
        <v>245</v>
      </c>
      <c r="AF328" s="217">
        <v>0.28170000000000001</v>
      </c>
      <c r="AG328" s="217">
        <v>-99</v>
      </c>
      <c r="AH328" s="215" t="s">
        <v>224</v>
      </c>
      <c r="AI328" s="215" t="s">
        <v>449</v>
      </c>
      <c r="AJ328" s="215" t="s">
        <v>325</v>
      </c>
      <c r="AK328" s="215" t="s">
        <v>531</v>
      </c>
      <c r="AL328" s="215" t="s">
        <v>390</v>
      </c>
      <c r="AM328" s="217" t="b">
        <v>1</v>
      </c>
      <c r="AN328" s="217" t="b">
        <v>0</v>
      </c>
      <c r="AO328" s="215" t="s">
        <v>326</v>
      </c>
      <c r="AP328" s="215" t="s">
        <v>327</v>
      </c>
      <c r="AQ328" s="217">
        <v>100.20194000000001</v>
      </c>
      <c r="AR328" s="217" t="b">
        <v>0</v>
      </c>
      <c r="AS328" s="215" t="s">
        <v>534</v>
      </c>
      <c r="AU328" s="222" t="s">
        <v>819</v>
      </c>
    </row>
    <row r="329" spans="1:47" s="218" customFormat="1" x14ac:dyDescent="0.25">
      <c r="A329" s="245">
        <f t="shared" si="40"/>
        <v>424</v>
      </c>
      <c r="B329" s="246" t="str">
        <f t="shared" si="33"/>
        <v>Oil Field - Well</v>
      </c>
      <c r="C329" s="246" t="str">
        <f ca="1">IF(B329="","",VLOOKUP(D329,'Species Data'!B:E,4,FALSE))</f>
        <v>cyclopentane</v>
      </c>
      <c r="D329" s="246">
        <f t="shared" ca="1" si="34"/>
        <v>390</v>
      </c>
      <c r="E329" s="246">
        <f t="shared" ca="1" si="35"/>
        <v>0.1323</v>
      </c>
      <c r="F329" s="246" t="str">
        <f t="shared" ca="1" si="36"/>
        <v>Cyclopentane</v>
      </c>
      <c r="G329" s="246">
        <f t="shared" ca="1" si="37"/>
        <v>70.132900000000006</v>
      </c>
      <c r="H329" s="204">
        <f ca="1">IF(G329="","",IF(VLOOKUP(Well_Head!F329,'Species Data'!D:F,3,FALSE)=0,"X",IF(G329&lt;44.1,2,1)))</f>
        <v>1</v>
      </c>
      <c r="I329" s="204">
        <f t="shared" ca="1" si="38"/>
        <v>0.12218903823104672</v>
      </c>
      <c r="J329" s="247">
        <f ca="1">IF(I329="","",IF(COUNTIF($D$12:D329,D329)=1,IF(H329=1,I329*H329,IF(H329="X","X",0)),0))</f>
        <v>0</v>
      </c>
      <c r="K329" s="248">
        <f t="shared" ca="1" si="39"/>
        <v>0</v>
      </c>
      <c r="L329" s="239" t="s">
        <v>626</v>
      </c>
      <c r="M329" s="215" t="s">
        <v>448</v>
      </c>
      <c r="N329" s="215" t="s">
        <v>470</v>
      </c>
      <c r="O329" s="216">
        <v>41419</v>
      </c>
      <c r="P329" s="215" t="s">
        <v>531</v>
      </c>
      <c r="Q329" s="217">
        <v>100</v>
      </c>
      <c r="R329" s="215" t="s">
        <v>445</v>
      </c>
      <c r="S329" s="215" t="s">
        <v>532</v>
      </c>
      <c r="T329" s="215" t="s">
        <v>445</v>
      </c>
      <c r="U329" s="215" t="s">
        <v>446</v>
      </c>
      <c r="V329" s="217" t="b">
        <v>1</v>
      </c>
      <c r="W329" s="217">
        <v>1989</v>
      </c>
      <c r="X329" s="217">
        <v>5</v>
      </c>
      <c r="Y329" s="217">
        <v>2</v>
      </c>
      <c r="Z329" s="217">
        <v>4</v>
      </c>
      <c r="AA329" s="215" t="s">
        <v>447</v>
      </c>
      <c r="AB329" s="215" t="s">
        <v>531</v>
      </c>
      <c r="AC329" s="215" t="s">
        <v>533</v>
      </c>
      <c r="AD329" s="217">
        <v>2.2218420000000001</v>
      </c>
      <c r="AE329" s="217">
        <v>248</v>
      </c>
      <c r="AF329" s="217">
        <v>0.75380000000000003</v>
      </c>
      <c r="AG329" s="217">
        <v>-99</v>
      </c>
      <c r="AH329" s="215" t="s">
        <v>224</v>
      </c>
      <c r="AI329" s="215" t="s">
        <v>449</v>
      </c>
      <c r="AJ329" s="215" t="s">
        <v>328</v>
      </c>
      <c r="AK329" s="215" t="s">
        <v>531</v>
      </c>
      <c r="AL329" s="215" t="s">
        <v>391</v>
      </c>
      <c r="AM329" s="217" t="b">
        <v>1</v>
      </c>
      <c r="AN329" s="217" t="b">
        <v>0</v>
      </c>
      <c r="AO329" s="215" t="s">
        <v>329</v>
      </c>
      <c r="AP329" s="215" t="s">
        <v>330</v>
      </c>
      <c r="AQ329" s="217">
        <v>86.175359999999998</v>
      </c>
      <c r="AR329" s="217" t="b">
        <v>0</v>
      </c>
      <c r="AS329" s="215" t="s">
        <v>534</v>
      </c>
      <c r="AU329" s="222" t="s">
        <v>819</v>
      </c>
    </row>
    <row r="330" spans="1:47" s="218" customFormat="1" x14ac:dyDescent="0.25">
      <c r="A330" s="245">
        <f t="shared" si="40"/>
        <v>425</v>
      </c>
      <c r="B330" s="246" t="str">
        <f t="shared" si="33"/>
        <v>Oil Field - Well</v>
      </c>
      <c r="C330" s="246" t="str">
        <f ca="1">IF(B330="","",VLOOKUP(D330,'Species Data'!B:E,4,FALSE))</f>
        <v>ethane</v>
      </c>
      <c r="D330" s="246">
        <f t="shared" ca="1" si="34"/>
        <v>438</v>
      </c>
      <c r="E330" s="246">
        <f t="shared" ca="1" si="35"/>
        <v>20.193999999999999</v>
      </c>
      <c r="F330" s="246" t="str">
        <f t="shared" ca="1" si="36"/>
        <v>Ethane</v>
      </c>
      <c r="G330" s="246">
        <f t="shared" ca="1" si="37"/>
        <v>30.069040000000005</v>
      </c>
      <c r="H330" s="204">
        <f ca="1">IF(G330="","",IF(VLOOKUP(Well_Head!F330,'Species Data'!D:F,3,FALSE)=0,"X",IF(G330&lt;44.1,2,1)))</f>
        <v>2</v>
      </c>
      <c r="I330" s="204">
        <f t="shared" ca="1" si="38"/>
        <v>7.2582977601417076</v>
      </c>
      <c r="J330" s="247">
        <f ca="1">IF(I330="","",IF(COUNTIF($D$12:D330,D330)=1,IF(H330=1,I330*H330,IF(H330="X","X",0)),0))</f>
        <v>0</v>
      </c>
      <c r="K330" s="248">
        <f t="shared" ca="1" si="39"/>
        <v>0</v>
      </c>
      <c r="L330" s="239" t="s">
        <v>626</v>
      </c>
      <c r="M330" s="215" t="s">
        <v>448</v>
      </c>
      <c r="N330" s="215" t="s">
        <v>470</v>
      </c>
      <c r="O330" s="216">
        <v>41419</v>
      </c>
      <c r="P330" s="215" t="s">
        <v>531</v>
      </c>
      <c r="Q330" s="217">
        <v>100</v>
      </c>
      <c r="R330" s="215" t="s">
        <v>445</v>
      </c>
      <c r="S330" s="215" t="s">
        <v>532</v>
      </c>
      <c r="T330" s="215" t="s">
        <v>445</v>
      </c>
      <c r="U330" s="215" t="s">
        <v>446</v>
      </c>
      <c r="V330" s="217" t="b">
        <v>1</v>
      </c>
      <c r="W330" s="217">
        <v>1989</v>
      </c>
      <c r="X330" s="217">
        <v>5</v>
      </c>
      <c r="Y330" s="217">
        <v>2</v>
      </c>
      <c r="Z330" s="217">
        <v>4</v>
      </c>
      <c r="AA330" s="215" t="s">
        <v>447</v>
      </c>
      <c r="AB330" s="215" t="s">
        <v>531</v>
      </c>
      <c r="AC330" s="215" t="s">
        <v>533</v>
      </c>
      <c r="AD330" s="217">
        <v>2.2218420000000001</v>
      </c>
      <c r="AE330" s="217">
        <v>302</v>
      </c>
      <c r="AF330" s="217">
        <v>9.1899999999999996E-2</v>
      </c>
      <c r="AG330" s="217">
        <v>-99</v>
      </c>
      <c r="AH330" s="215" t="s">
        <v>224</v>
      </c>
      <c r="AI330" s="215" t="s">
        <v>449</v>
      </c>
      <c r="AJ330" s="215" t="s">
        <v>262</v>
      </c>
      <c r="AK330" s="215" t="s">
        <v>531</v>
      </c>
      <c r="AL330" s="215" t="s">
        <v>373</v>
      </c>
      <c r="AM330" s="217" t="b">
        <v>1</v>
      </c>
      <c r="AN330" s="217" t="b">
        <v>1</v>
      </c>
      <c r="AO330" s="215" t="s">
        <v>263</v>
      </c>
      <c r="AP330" s="215" t="s">
        <v>264</v>
      </c>
      <c r="AQ330" s="217">
        <v>78.111840000000001</v>
      </c>
      <c r="AR330" s="217" t="b">
        <v>0</v>
      </c>
      <c r="AS330" s="215" t="s">
        <v>534</v>
      </c>
      <c r="AU330" s="222" t="s">
        <v>819</v>
      </c>
    </row>
    <row r="331" spans="1:47" s="218" customFormat="1" x14ac:dyDescent="0.25">
      <c r="A331" s="245">
        <f t="shared" si="40"/>
        <v>426</v>
      </c>
      <c r="B331" s="246" t="str">
        <f t="shared" si="33"/>
        <v>Oil Field - Well</v>
      </c>
      <c r="C331" s="246" t="str">
        <f ca="1">IF(B331="","",VLOOKUP(D331,'Species Data'!B:E,4,FALSE))</f>
        <v>ethyl_benz</v>
      </c>
      <c r="D331" s="246">
        <f t="shared" ca="1" si="34"/>
        <v>449</v>
      </c>
      <c r="E331" s="246">
        <f t="shared" ca="1" si="35"/>
        <v>1.2698</v>
      </c>
      <c r="F331" s="246" t="str">
        <f t="shared" ca="1" si="36"/>
        <v>Ethylbenzene</v>
      </c>
      <c r="G331" s="246">
        <f t="shared" ca="1" si="37"/>
        <v>106.16500000000001</v>
      </c>
      <c r="H331" s="204">
        <f ca="1">IF(G331="","",IF(VLOOKUP(Well_Head!F331,'Species Data'!D:F,3,FALSE)=0,"X",IF(G331&lt;44.1,2,1)))</f>
        <v>1</v>
      </c>
      <c r="I331" s="204">
        <f t="shared" ca="1" si="38"/>
        <v>0.43623386650805906</v>
      </c>
      <c r="J331" s="247">
        <f ca="1">IF(I331="","",IF(COUNTIF($D$12:D331,D331)=1,IF(H331=1,I331*H331,IF(H331="X","X",0)),0))</f>
        <v>0</v>
      </c>
      <c r="K331" s="248">
        <f t="shared" ca="1" si="39"/>
        <v>0</v>
      </c>
      <c r="L331" s="239" t="s">
        <v>626</v>
      </c>
      <c r="M331" s="215" t="s">
        <v>448</v>
      </c>
      <c r="N331" s="215" t="s">
        <v>470</v>
      </c>
      <c r="O331" s="216">
        <v>41419</v>
      </c>
      <c r="P331" s="215" t="s">
        <v>531</v>
      </c>
      <c r="Q331" s="217">
        <v>100</v>
      </c>
      <c r="R331" s="215" t="s">
        <v>445</v>
      </c>
      <c r="S331" s="215" t="s">
        <v>532</v>
      </c>
      <c r="T331" s="215" t="s">
        <v>445</v>
      </c>
      <c r="U331" s="215" t="s">
        <v>446</v>
      </c>
      <c r="V331" s="217" t="b">
        <v>1</v>
      </c>
      <c r="W331" s="217">
        <v>1989</v>
      </c>
      <c r="X331" s="217">
        <v>5</v>
      </c>
      <c r="Y331" s="217">
        <v>2</v>
      </c>
      <c r="Z331" s="217">
        <v>4</v>
      </c>
      <c r="AA331" s="215" t="s">
        <v>447</v>
      </c>
      <c r="AB331" s="215" t="s">
        <v>531</v>
      </c>
      <c r="AC331" s="215" t="s">
        <v>533</v>
      </c>
      <c r="AD331" s="217">
        <v>2.2218420000000001</v>
      </c>
      <c r="AE331" s="217">
        <v>385</v>
      </c>
      <c r="AF331" s="217">
        <v>7.4999999999999997E-3</v>
      </c>
      <c r="AG331" s="217">
        <v>-99</v>
      </c>
      <c r="AH331" s="215" t="s">
        <v>224</v>
      </c>
      <c r="AI331" s="215" t="s">
        <v>449</v>
      </c>
      <c r="AJ331" s="215" t="s">
        <v>331</v>
      </c>
      <c r="AK331" s="215" t="s">
        <v>531</v>
      </c>
      <c r="AL331" s="215" t="s">
        <v>392</v>
      </c>
      <c r="AM331" s="217" t="b">
        <v>1</v>
      </c>
      <c r="AN331" s="217" t="b">
        <v>0</v>
      </c>
      <c r="AO331" s="215" t="s">
        <v>332</v>
      </c>
      <c r="AP331" s="215" t="s">
        <v>333</v>
      </c>
      <c r="AQ331" s="217">
        <v>84.159480000000002</v>
      </c>
      <c r="AR331" s="217" t="b">
        <v>0</v>
      </c>
      <c r="AS331" s="215" t="s">
        <v>534</v>
      </c>
      <c r="AU331" s="222" t="s">
        <v>819</v>
      </c>
    </row>
    <row r="332" spans="1:47" s="218" customFormat="1" x14ac:dyDescent="0.25">
      <c r="A332" s="245">
        <f t="shared" si="40"/>
        <v>427</v>
      </c>
      <c r="B332" s="246" t="str">
        <f t="shared" ref="B332:B395" si="41">IF(ROW(A332)-(ROW($A$12))&lt;$B$10,$B$9,"")</f>
        <v>Oil Field - Well</v>
      </c>
      <c r="C332" s="246" t="str">
        <f ca="1">IF(B332="","",VLOOKUP(D332,'Species Data'!B:E,4,FALSE))</f>
        <v>isobut</v>
      </c>
      <c r="D332" s="246">
        <f t="shared" ca="1" si="34"/>
        <v>491</v>
      </c>
      <c r="E332" s="246">
        <f t="shared" ca="1" si="35"/>
        <v>1.5022</v>
      </c>
      <c r="F332" s="246" t="str">
        <f t="shared" ca="1" si="36"/>
        <v>Isobutane</v>
      </c>
      <c r="G332" s="246">
        <f t="shared" ca="1" si="37"/>
        <v>58.122199999999992</v>
      </c>
      <c r="H332" s="204">
        <f ca="1">IF(G332="","",IF(VLOOKUP(Well_Head!F332,'Species Data'!D:F,3,FALSE)=0,"X",IF(G332&lt;44.1,2,1)))</f>
        <v>1</v>
      </c>
      <c r="I332" s="204">
        <f t="shared" ca="1" si="38"/>
        <v>2.9024368807561878</v>
      </c>
      <c r="J332" s="247">
        <f ca="1">IF(I332="","",IF(COUNTIF($D$12:D332,D332)=1,IF(H332=1,I332*H332,IF(H332="X","X",0)),0))</f>
        <v>0</v>
      </c>
      <c r="K332" s="248">
        <f t="shared" ca="1" si="39"/>
        <v>0</v>
      </c>
      <c r="L332" s="239" t="s">
        <v>626</v>
      </c>
      <c r="M332" s="215" t="s">
        <v>448</v>
      </c>
      <c r="N332" s="215" t="s">
        <v>470</v>
      </c>
      <c r="O332" s="216">
        <v>41419</v>
      </c>
      <c r="P332" s="215" t="s">
        <v>531</v>
      </c>
      <c r="Q332" s="217">
        <v>100</v>
      </c>
      <c r="R332" s="215" t="s">
        <v>445</v>
      </c>
      <c r="S332" s="215" t="s">
        <v>532</v>
      </c>
      <c r="T332" s="215" t="s">
        <v>445</v>
      </c>
      <c r="U332" s="215" t="s">
        <v>446</v>
      </c>
      <c r="V332" s="217" t="b">
        <v>1</v>
      </c>
      <c r="W332" s="217">
        <v>1989</v>
      </c>
      <c r="X332" s="217">
        <v>5</v>
      </c>
      <c r="Y332" s="217">
        <v>2</v>
      </c>
      <c r="Z332" s="217">
        <v>4</v>
      </c>
      <c r="AA332" s="215" t="s">
        <v>447</v>
      </c>
      <c r="AB332" s="215" t="s">
        <v>531</v>
      </c>
      <c r="AC332" s="215" t="s">
        <v>533</v>
      </c>
      <c r="AD332" s="217">
        <v>2.2218420000000001</v>
      </c>
      <c r="AE332" s="217">
        <v>390</v>
      </c>
      <c r="AF332" s="217">
        <v>0.1537</v>
      </c>
      <c r="AG332" s="217">
        <v>-99</v>
      </c>
      <c r="AH332" s="215" t="s">
        <v>224</v>
      </c>
      <c r="AI332" s="215" t="s">
        <v>449</v>
      </c>
      <c r="AJ332" s="215" t="s">
        <v>334</v>
      </c>
      <c r="AK332" s="215" t="s">
        <v>531</v>
      </c>
      <c r="AL332" s="215" t="s">
        <v>393</v>
      </c>
      <c r="AM332" s="217" t="b">
        <v>1</v>
      </c>
      <c r="AN332" s="217" t="b">
        <v>0</v>
      </c>
      <c r="AO332" s="215" t="s">
        <v>335</v>
      </c>
      <c r="AP332" s="215" t="s">
        <v>336</v>
      </c>
      <c r="AQ332" s="217">
        <v>70.132900000000006</v>
      </c>
      <c r="AR332" s="217" t="b">
        <v>0</v>
      </c>
      <c r="AS332" s="215" t="s">
        <v>534</v>
      </c>
      <c r="AU332" s="222" t="s">
        <v>819</v>
      </c>
    </row>
    <row r="333" spans="1:47" s="218" customFormat="1" x14ac:dyDescent="0.25">
      <c r="A333" s="245">
        <f t="shared" si="40"/>
        <v>428</v>
      </c>
      <c r="B333" s="246" t="str">
        <f t="shared" si="41"/>
        <v>Oil Field - Well</v>
      </c>
      <c r="C333" s="246" t="str">
        <f ca="1">IF(B333="","",VLOOKUP(D333,'Species Data'!B:E,4,FALSE))</f>
        <v>i_but</v>
      </c>
      <c r="D333" s="246">
        <f t="shared" ref="D333:D396" ca="1" si="42">IF(B333="","",INDIRECT("AE"&amp;$A333))</f>
        <v>499</v>
      </c>
      <c r="E333" s="246">
        <f t="shared" ref="E333:E396" ca="1" si="43">IF(D333="","",INDIRECT("AF"&amp;$A333))</f>
        <v>0.22170000000000001</v>
      </c>
      <c r="F333" s="246" t="str">
        <f t="shared" ref="F333:F396" ca="1" si="44">IF(E333="","",INDIRECT("AO"&amp;$A333))</f>
        <v>Isomers of butylbenzene</v>
      </c>
      <c r="G333" s="246">
        <f t="shared" ref="G333:G396" ca="1" si="45">IF(F333="","",INDIRECT("AQ"&amp;$A333))</f>
        <v>134.21816000000001</v>
      </c>
      <c r="H333" s="204">
        <f ca="1">IF(G333="","",IF(VLOOKUP(Well_Head!F333,'Species Data'!D:F,3,FALSE)=0,"X",IF(G333&lt;44.1,2,1)))</f>
        <v>1</v>
      </c>
      <c r="I333" s="204">
        <f t="shared" ref="I333:I396" ca="1" si="46">IF(H333="","",SUMIF(D:D,D333,E:E)/($E$9/100))</f>
        <v>0.12713348871870844</v>
      </c>
      <c r="J333" s="247">
        <f ca="1">IF(I333="","",IF(COUNTIF($D$12:D333,D333)=1,IF(H333=1,I333*H333,IF(H333="X","X",0)),0))</f>
        <v>0</v>
      </c>
      <c r="K333" s="248">
        <f t="shared" ref="K333:K396" ca="1" si="47">IF(J333="","",IF(J333="X",0,J333/$J$9*100))</f>
        <v>0</v>
      </c>
      <c r="L333" s="239" t="s">
        <v>626</v>
      </c>
      <c r="M333" s="215" t="s">
        <v>448</v>
      </c>
      <c r="N333" s="215" t="s">
        <v>470</v>
      </c>
      <c r="O333" s="216">
        <v>41419</v>
      </c>
      <c r="P333" s="215" t="s">
        <v>531</v>
      </c>
      <c r="Q333" s="217">
        <v>100</v>
      </c>
      <c r="R333" s="215" t="s">
        <v>445</v>
      </c>
      <c r="S333" s="215" t="s">
        <v>532</v>
      </c>
      <c r="T333" s="215" t="s">
        <v>445</v>
      </c>
      <c r="U333" s="215" t="s">
        <v>446</v>
      </c>
      <c r="V333" s="217" t="b">
        <v>1</v>
      </c>
      <c r="W333" s="217">
        <v>1989</v>
      </c>
      <c r="X333" s="217">
        <v>5</v>
      </c>
      <c r="Y333" s="217">
        <v>2</v>
      </c>
      <c r="Z333" s="217">
        <v>4</v>
      </c>
      <c r="AA333" s="215" t="s">
        <v>447</v>
      </c>
      <c r="AB333" s="215" t="s">
        <v>531</v>
      </c>
      <c r="AC333" s="215" t="s">
        <v>533</v>
      </c>
      <c r="AD333" s="217">
        <v>2.2218420000000001</v>
      </c>
      <c r="AE333" s="217">
        <v>438</v>
      </c>
      <c r="AF333" s="217">
        <v>9.2589000000000006</v>
      </c>
      <c r="AG333" s="217">
        <v>-99</v>
      </c>
      <c r="AH333" s="215" t="s">
        <v>224</v>
      </c>
      <c r="AI333" s="215" t="s">
        <v>449</v>
      </c>
      <c r="AJ333" s="215" t="s">
        <v>265</v>
      </c>
      <c r="AK333" s="215" t="s">
        <v>531</v>
      </c>
      <c r="AL333" s="215" t="s">
        <v>374</v>
      </c>
      <c r="AM333" s="217" t="b">
        <v>1</v>
      </c>
      <c r="AN333" s="217" t="b">
        <v>0</v>
      </c>
      <c r="AO333" s="215" t="s">
        <v>266</v>
      </c>
      <c r="AP333" s="215" t="s">
        <v>267</v>
      </c>
      <c r="AQ333" s="217">
        <v>30.069040000000005</v>
      </c>
      <c r="AR333" s="217" t="b">
        <v>1</v>
      </c>
      <c r="AS333" s="215" t="s">
        <v>534</v>
      </c>
      <c r="AU333" s="222" t="s">
        <v>819</v>
      </c>
    </row>
    <row r="334" spans="1:47" s="218" customFormat="1" x14ac:dyDescent="0.25">
      <c r="A334" s="245">
        <f t="shared" si="40"/>
        <v>429</v>
      </c>
      <c r="B334" s="246" t="str">
        <f t="shared" si="41"/>
        <v>Oil Field - Well</v>
      </c>
      <c r="C334" s="246" t="str">
        <f ca="1">IF(B334="","",VLOOKUP(D334,'Species Data'!B:E,4,FALSE))</f>
        <v>isopentane</v>
      </c>
      <c r="D334" s="246">
        <f t="shared" ca="1" si="42"/>
        <v>508</v>
      </c>
      <c r="E334" s="246">
        <f t="shared" ca="1" si="43"/>
        <v>1.6489</v>
      </c>
      <c r="F334" s="246" t="str">
        <f t="shared" ca="1" si="44"/>
        <v>Isopentane (2-Methylbutane)</v>
      </c>
      <c r="G334" s="246">
        <f t="shared" ca="1" si="45"/>
        <v>72.148780000000002</v>
      </c>
      <c r="H334" s="204">
        <f ca="1">IF(G334="","",IF(VLOOKUP(Well_Head!F334,'Species Data'!D:F,3,FALSE)=0,"X",IF(G334&lt;44.1,2,1)))</f>
        <v>1</v>
      </c>
      <c r="I334" s="204">
        <f t="shared" ca="1" si="46"/>
        <v>2.9334258075204316</v>
      </c>
      <c r="J334" s="247">
        <f ca="1">IF(I334="","",IF(COUNTIF($D$12:D334,D334)=1,IF(H334=1,I334*H334,IF(H334="X","X",0)),0))</f>
        <v>0</v>
      </c>
      <c r="K334" s="248">
        <f t="shared" ca="1" si="47"/>
        <v>0</v>
      </c>
      <c r="L334" s="239" t="s">
        <v>626</v>
      </c>
      <c r="M334" s="215" t="s">
        <v>448</v>
      </c>
      <c r="N334" s="215" t="s">
        <v>470</v>
      </c>
      <c r="O334" s="216">
        <v>41419</v>
      </c>
      <c r="P334" s="215" t="s">
        <v>531</v>
      </c>
      <c r="Q334" s="217">
        <v>100</v>
      </c>
      <c r="R334" s="215" t="s">
        <v>445</v>
      </c>
      <c r="S334" s="215" t="s">
        <v>532</v>
      </c>
      <c r="T334" s="215" t="s">
        <v>445</v>
      </c>
      <c r="U334" s="215" t="s">
        <v>446</v>
      </c>
      <c r="V334" s="217" t="b">
        <v>1</v>
      </c>
      <c r="W334" s="217">
        <v>1989</v>
      </c>
      <c r="X334" s="217">
        <v>5</v>
      </c>
      <c r="Y334" s="217">
        <v>2</v>
      </c>
      <c r="Z334" s="217">
        <v>4</v>
      </c>
      <c r="AA334" s="215" t="s">
        <v>447</v>
      </c>
      <c r="AB334" s="215" t="s">
        <v>531</v>
      </c>
      <c r="AC334" s="215" t="s">
        <v>533</v>
      </c>
      <c r="AD334" s="217">
        <v>2.2218420000000001</v>
      </c>
      <c r="AE334" s="217">
        <v>449</v>
      </c>
      <c r="AF334" s="217">
        <v>4.7199999999999999E-2</v>
      </c>
      <c r="AG334" s="217">
        <v>-99</v>
      </c>
      <c r="AH334" s="215" t="s">
        <v>224</v>
      </c>
      <c r="AI334" s="215" t="s">
        <v>449</v>
      </c>
      <c r="AJ334" s="215" t="s">
        <v>337</v>
      </c>
      <c r="AK334" s="215" t="s">
        <v>531</v>
      </c>
      <c r="AL334" s="215" t="s">
        <v>394</v>
      </c>
      <c r="AM334" s="217" t="b">
        <v>1</v>
      </c>
      <c r="AN334" s="217" t="b">
        <v>1</v>
      </c>
      <c r="AO334" s="215" t="s">
        <v>338</v>
      </c>
      <c r="AP334" s="215" t="s">
        <v>339</v>
      </c>
      <c r="AQ334" s="217">
        <v>106.16500000000001</v>
      </c>
      <c r="AR334" s="217" t="b">
        <v>0</v>
      </c>
      <c r="AS334" s="215" t="s">
        <v>534</v>
      </c>
      <c r="AU334" s="222" t="s">
        <v>819</v>
      </c>
    </row>
    <row r="335" spans="1:47" s="218" customFormat="1" x14ac:dyDescent="0.25">
      <c r="A335" s="245">
        <f t="shared" si="40"/>
        <v>430</v>
      </c>
      <c r="B335" s="246" t="str">
        <f t="shared" si="41"/>
        <v>Oil Field - Well</v>
      </c>
      <c r="C335" s="246" t="str">
        <f ca="1">IF(B335="","",VLOOKUP(D335,'Species Data'!B:E,4,FALSE))</f>
        <v>isopben</v>
      </c>
      <c r="D335" s="246">
        <f t="shared" ca="1" si="42"/>
        <v>514</v>
      </c>
      <c r="E335" s="246">
        <f t="shared" ca="1" si="43"/>
        <v>0.16439999999999999</v>
      </c>
      <c r="F335" s="246" t="str">
        <f t="shared" ca="1" si="44"/>
        <v>Isopropylbenzene (cumene)</v>
      </c>
      <c r="G335" s="246">
        <f t="shared" ca="1" si="45"/>
        <v>120.19158</v>
      </c>
      <c r="H335" s="204">
        <f ca="1">IF(G335="","",IF(VLOOKUP(Well_Head!F335,'Species Data'!D:F,3,FALSE)=0,"X",IF(G335&lt;44.1,2,1)))</f>
        <v>1</v>
      </c>
      <c r="I335" s="204">
        <f t="shared" ca="1" si="46"/>
        <v>7.8922318682833947E-2</v>
      </c>
      <c r="J335" s="247">
        <f ca="1">IF(I335="","",IF(COUNTIF($D$12:D335,D335)=1,IF(H335=1,I335*H335,IF(H335="X","X",0)),0))</f>
        <v>0</v>
      </c>
      <c r="K335" s="248">
        <f t="shared" ca="1" si="47"/>
        <v>0</v>
      </c>
      <c r="L335" s="239" t="s">
        <v>626</v>
      </c>
      <c r="M335" s="215" t="s">
        <v>448</v>
      </c>
      <c r="N335" s="215" t="s">
        <v>470</v>
      </c>
      <c r="O335" s="216">
        <v>41419</v>
      </c>
      <c r="P335" s="215" t="s">
        <v>531</v>
      </c>
      <c r="Q335" s="217">
        <v>100</v>
      </c>
      <c r="R335" s="215" t="s">
        <v>445</v>
      </c>
      <c r="S335" s="215" t="s">
        <v>532</v>
      </c>
      <c r="T335" s="215" t="s">
        <v>445</v>
      </c>
      <c r="U335" s="215" t="s">
        <v>446</v>
      </c>
      <c r="V335" s="217" t="b">
        <v>1</v>
      </c>
      <c r="W335" s="217">
        <v>1989</v>
      </c>
      <c r="X335" s="217">
        <v>5</v>
      </c>
      <c r="Y335" s="217">
        <v>2</v>
      </c>
      <c r="Z335" s="217">
        <v>4</v>
      </c>
      <c r="AA335" s="215" t="s">
        <v>447</v>
      </c>
      <c r="AB335" s="215" t="s">
        <v>531</v>
      </c>
      <c r="AC335" s="215" t="s">
        <v>533</v>
      </c>
      <c r="AD335" s="217">
        <v>2.2218420000000001</v>
      </c>
      <c r="AE335" s="217">
        <v>491</v>
      </c>
      <c r="AF335" s="217">
        <v>3.0754999999999999</v>
      </c>
      <c r="AG335" s="217">
        <v>-99</v>
      </c>
      <c r="AH335" s="215" t="s">
        <v>224</v>
      </c>
      <c r="AI335" s="215" t="s">
        <v>449</v>
      </c>
      <c r="AJ335" s="215" t="s">
        <v>268</v>
      </c>
      <c r="AK335" s="215" t="s">
        <v>531</v>
      </c>
      <c r="AL335" s="215" t="s">
        <v>375</v>
      </c>
      <c r="AM335" s="217" t="b">
        <v>1</v>
      </c>
      <c r="AN335" s="217" t="b">
        <v>0</v>
      </c>
      <c r="AO335" s="215" t="s">
        <v>269</v>
      </c>
      <c r="AP335" s="215" t="s">
        <v>270</v>
      </c>
      <c r="AQ335" s="217">
        <v>58.122199999999992</v>
      </c>
      <c r="AR335" s="217" t="b">
        <v>0</v>
      </c>
      <c r="AS335" s="215" t="s">
        <v>534</v>
      </c>
      <c r="AU335" s="222" t="s">
        <v>819</v>
      </c>
    </row>
    <row r="336" spans="1:47" s="218" customFormat="1" x14ac:dyDescent="0.25">
      <c r="A336" s="245">
        <f t="shared" si="40"/>
        <v>431</v>
      </c>
      <c r="B336" s="246" t="str">
        <f t="shared" si="41"/>
        <v>Oil Field - Well</v>
      </c>
      <c r="C336" s="246" t="str">
        <f ca="1">IF(B336="","",VLOOKUP(D336,'Species Data'!B:E,4,FALSE))</f>
        <v>M_xylene</v>
      </c>
      <c r="D336" s="246">
        <f t="shared" ca="1" si="42"/>
        <v>524</v>
      </c>
      <c r="E336" s="246">
        <f t="shared" ca="1" si="43"/>
        <v>1.0710999999999999</v>
      </c>
      <c r="F336" s="246" t="str">
        <f t="shared" ca="1" si="44"/>
        <v>M-xylene</v>
      </c>
      <c r="G336" s="246">
        <f t="shared" ca="1" si="45"/>
        <v>106.16500000000001</v>
      </c>
      <c r="H336" s="204">
        <f ca="1">IF(G336="","",IF(VLOOKUP(Well_Head!F336,'Species Data'!D:F,3,FALSE)=0,"X",IF(G336&lt;44.1,2,1)))</f>
        <v>1</v>
      </c>
      <c r="I336" s="204">
        <f t="shared" ca="1" si="46"/>
        <v>0.21376692793735641</v>
      </c>
      <c r="J336" s="247">
        <f ca="1">IF(I336="","",IF(COUNTIF($D$12:D336,D336)=1,IF(H336=1,I336*H336,IF(H336="X","X",0)),0))</f>
        <v>0</v>
      </c>
      <c r="K336" s="248">
        <f t="shared" ca="1" si="47"/>
        <v>0</v>
      </c>
      <c r="L336" s="239" t="s">
        <v>626</v>
      </c>
      <c r="M336" s="215" t="s">
        <v>448</v>
      </c>
      <c r="N336" s="215" t="s">
        <v>470</v>
      </c>
      <c r="O336" s="216">
        <v>41419</v>
      </c>
      <c r="P336" s="215" t="s">
        <v>531</v>
      </c>
      <c r="Q336" s="217">
        <v>100</v>
      </c>
      <c r="R336" s="215" t="s">
        <v>445</v>
      </c>
      <c r="S336" s="215" t="s">
        <v>532</v>
      </c>
      <c r="T336" s="215" t="s">
        <v>445</v>
      </c>
      <c r="U336" s="215" t="s">
        <v>446</v>
      </c>
      <c r="V336" s="217" t="b">
        <v>1</v>
      </c>
      <c r="W336" s="217">
        <v>1989</v>
      </c>
      <c r="X336" s="217">
        <v>5</v>
      </c>
      <c r="Y336" s="217">
        <v>2</v>
      </c>
      <c r="Z336" s="217">
        <v>4</v>
      </c>
      <c r="AA336" s="215" t="s">
        <v>447</v>
      </c>
      <c r="AB336" s="215" t="s">
        <v>531</v>
      </c>
      <c r="AC336" s="215" t="s">
        <v>533</v>
      </c>
      <c r="AD336" s="217">
        <v>2.2218420000000001</v>
      </c>
      <c r="AE336" s="217">
        <v>508</v>
      </c>
      <c r="AF336" s="217">
        <v>3.7319</v>
      </c>
      <c r="AG336" s="217">
        <v>-99</v>
      </c>
      <c r="AH336" s="215" t="s">
        <v>224</v>
      </c>
      <c r="AI336" s="215" t="s">
        <v>449</v>
      </c>
      <c r="AJ336" s="215" t="s">
        <v>342</v>
      </c>
      <c r="AK336" s="215" t="s">
        <v>531</v>
      </c>
      <c r="AL336" s="215" t="s">
        <v>395</v>
      </c>
      <c r="AM336" s="217" t="b">
        <v>1</v>
      </c>
      <c r="AN336" s="217" t="b">
        <v>0</v>
      </c>
      <c r="AO336" s="215" t="s">
        <v>343</v>
      </c>
      <c r="AP336" s="215" t="s">
        <v>344</v>
      </c>
      <c r="AQ336" s="217">
        <v>72.148780000000002</v>
      </c>
      <c r="AR336" s="217" t="b">
        <v>0</v>
      </c>
      <c r="AS336" s="215" t="s">
        <v>534</v>
      </c>
      <c r="AU336" s="222" t="s">
        <v>819</v>
      </c>
    </row>
    <row r="337" spans="1:47" s="218" customFormat="1" x14ac:dyDescent="0.25">
      <c r="A337" s="245">
        <f t="shared" si="40"/>
        <v>432</v>
      </c>
      <c r="B337" s="246" t="str">
        <f t="shared" si="41"/>
        <v>Oil Field - Well</v>
      </c>
      <c r="C337" s="246" t="str">
        <f ca="1">IF(B337="","",VLOOKUP(D337,'Species Data'!B:E,4,FALSE))</f>
        <v>methane</v>
      </c>
      <c r="D337" s="246">
        <f t="shared" ca="1" si="42"/>
        <v>529</v>
      </c>
      <c r="E337" s="246">
        <f t="shared" ca="1" si="43"/>
        <v>10.0741</v>
      </c>
      <c r="F337" s="246" t="str">
        <f t="shared" ca="1" si="44"/>
        <v>Methane</v>
      </c>
      <c r="G337" s="246">
        <f t="shared" ca="1" si="45"/>
        <v>16.042459999999998</v>
      </c>
      <c r="H337" s="204">
        <f ca="1">IF(G337="","",IF(VLOOKUP(Well_Head!F337,'Species Data'!D:F,3,FALSE)=0,"X",IF(G337&lt;44.1,2,1)))</f>
        <v>2</v>
      </c>
      <c r="I337" s="204">
        <f t="shared" ca="1" si="46"/>
        <v>36.272299888366533</v>
      </c>
      <c r="J337" s="247">
        <f ca="1">IF(I337="","",IF(COUNTIF($D$12:D337,D337)=1,IF(H337=1,I337*H337,IF(H337="X","X",0)),0))</f>
        <v>0</v>
      </c>
      <c r="K337" s="248">
        <f t="shared" ca="1" si="47"/>
        <v>0</v>
      </c>
      <c r="L337" s="239" t="s">
        <v>626</v>
      </c>
      <c r="M337" s="215" t="s">
        <v>448</v>
      </c>
      <c r="N337" s="215" t="s">
        <v>470</v>
      </c>
      <c r="O337" s="216">
        <v>41419</v>
      </c>
      <c r="P337" s="215" t="s">
        <v>531</v>
      </c>
      <c r="Q337" s="217">
        <v>100</v>
      </c>
      <c r="R337" s="215" t="s">
        <v>445</v>
      </c>
      <c r="S337" s="215" t="s">
        <v>532</v>
      </c>
      <c r="T337" s="215" t="s">
        <v>445</v>
      </c>
      <c r="U337" s="215" t="s">
        <v>446</v>
      </c>
      <c r="V337" s="217" t="b">
        <v>1</v>
      </c>
      <c r="W337" s="217">
        <v>1989</v>
      </c>
      <c r="X337" s="217">
        <v>5</v>
      </c>
      <c r="Y337" s="217">
        <v>2</v>
      </c>
      <c r="Z337" s="217">
        <v>4</v>
      </c>
      <c r="AA337" s="215" t="s">
        <v>447</v>
      </c>
      <c r="AB337" s="215" t="s">
        <v>531</v>
      </c>
      <c r="AC337" s="215" t="s">
        <v>533</v>
      </c>
      <c r="AD337" s="217">
        <v>2.2218420000000001</v>
      </c>
      <c r="AE337" s="217">
        <v>514</v>
      </c>
      <c r="AF337" s="217">
        <v>2.5000000000000001E-3</v>
      </c>
      <c r="AG337" s="217">
        <v>-99</v>
      </c>
      <c r="AH337" s="215" t="s">
        <v>224</v>
      </c>
      <c r="AI337" s="215" t="s">
        <v>449</v>
      </c>
      <c r="AJ337" s="215" t="s">
        <v>362</v>
      </c>
      <c r="AK337" s="215" t="s">
        <v>531</v>
      </c>
      <c r="AL337" s="215" t="s">
        <v>399</v>
      </c>
      <c r="AM337" s="217" t="b">
        <v>1</v>
      </c>
      <c r="AN337" s="217" t="b">
        <v>1</v>
      </c>
      <c r="AO337" s="215" t="s">
        <v>363</v>
      </c>
      <c r="AP337" s="215" t="s">
        <v>364</v>
      </c>
      <c r="AQ337" s="217">
        <v>120.19158</v>
      </c>
      <c r="AR337" s="217" t="b">
        <v>0</v>
      </c>
      <c r="AS337" s="215" t="s">
        <v>534</v>
      </c>
      <c r="AU337" s="222" t="s">
        <v>819</v>
      </c>
    </row>
    <row r="338" spans="1:47" s="218" customFormat="1" x14ac:dyDescent="0.25">
      <c r="A338" s="245">
        <f t="shared" si="40"/>
        <v>433</v>
      </c>
      <c r="B338" s="246" t="str">
        <f t="shared" si="41"/>
        <v>Oil Field - Well</v>
      </c>
      <c r="C338" s="246" t="str">
        <f ca="1">IF(B338="","",VLOOKUP(D338,'Species Data'!B:E,4,FALSE))</f>
        <v>methcychex</v>
      </c>
      <c r="D338" s="246">
        <f t="shared" ca="1" si="42"/>
        <v>550</v>
      </c>
      <c r="E338" s="246">
        <f t="shared" ca="1" si="43"/>
        <v>1.0305</v>
      </c>
      <c r="F338" s="246" t="str">
        <f t="shared" ca="1" si="44"/>
        <v>Methylcyclohexane</v>
      </c>
      <c r="G338" s="246">
        <f t="shared" ca="1" si="45"/>
        <v>98.186059999999998</v>
      </c>
      <c r="H338" s="204">
        <f ca="1">IF(G338="","",IF(VLOOKUP(Well_Head!F338,'Species Data'!D:F,3,FALSE)=0,"X",IF(G338&lt;44.1,2,1)))</f>
        <v>1</v>
      </c>
      <c r="I338" s="204">
        <f t="shared" ca="1" si="46"/>
        <v>0.46704501527724096</v>
      </c>
      <c r="J338" s="247">
        <f ca="1">IF(I338="","",IF(COUNTIF($D$12:D338,D338)=1,IF(H338=1,I338*H338,IF(H338="X","X",0)),0))</f>
        <v>0</v>
      </c>
      <c r="K338" s="248">
        <f t="shared" ca="1" si="47"/>
        <v>0</v>
      </c>
      <c r="L338" s="239" t="s">
        <v>626</v>
      </c>
      <c r="M338" s="215" t="s">
        <v>448</v>
      </c>
      <c r="N338" s="215" t="s">
        <v>470</v>
      </c>
      <c r="O338" s="216">
        <v>41419</v>
      </c>
      <c r="P338" s="215" t="s">
        <v>531</v>
      </c>
      <c r="Q338" s="217">
        <v>100</v>
      </c>
      <c r="R338" s="215" t="s">
        <v>445</v>
      </c>
      <c r="S338" s="215" t="s">
        <v>532</v>
      </c>
      <c r="T338" s="215" t="s">
        <v>445</v>
      </c>
      <c r="U338" s="215" t="s">
        <v>446</v>
      </c>
      <c r="V338" s="217" t="b">
        <v>1</v>
      </c>
      <c r="W338" s="217">
        <v>1989</v>
      </c>
      <c r="X338" s="217">
        <v>5</v>
      </c>
      <c r="Y338" s="217">
        <v>2</v>
      </c>
      <c r="Z338" s="217">
        <v>4</v>
      </c>
      <c r="AA338" s="215" t="s">
        <v>447</v>
      </c>
      <c r="AB338" s="215" t="s">
        <v>531</v>
      </c>
      <c r="AC338" s="215" t="s">
        <v>533</v>
      </c>
      <c r="AD338" s="217">
        <v>2.2218420000000001</v>
      </c>
      <c r="AE338" s="217">
        <v>524</v>
      </c>
      <c r="AF338" s="217">
        <v>2.5000000000000001E-2</v>
      </c>
      <c r="AG338" s="217">
        <v>-99</v>
      </c>
      <c r="AH338" s="215" t="s">
        <v>224</v>
      </c>
      <c r="AI338" s="215" t="s">
        <v>449</v>
      </c>
      <c r="AJ338" s="215" t="s">
        <v>436</v>
      </c>
      <c r="AK338" s="215" t="s">
        <v>531</v>
      </c>
      <c r="AL338" s="215" t="s">
        <v>460</v>
      </c>
      <c r="AM338" s="217" t="b">
        <v>0</v>
      </c>
      <c r="AN338" s="217" t="b">
        <v>1</v>
      </c>
      <c r="AO338" s="215" t="s">
        <v>437</v>
      </c>
      <c r="AP338" s="215" t="s">
        <v>438</v>
      </c>
      <c r="AQ338" s="217">
        <v>106.16500000000001</v>
      </c>
      <c r="AR338" s="217" t="b">
        <v>0</v>
      </c>
      <c r="AS338" s="215" t="s">
        <v>534</v>
      </c>
      <c r="AU338" s="222" t="s">
        <v>819</v>
      </c>
    </row>
    <row r="339" spans="1:47" s="218" customFormat="1" x14ac:dyDescent="0.25">
      <c r="A339" s="245">
        <f t="shared" si="40"/>
        <v>434</v>
      </c>
      <c r="B339" s="246" t="str">
        <f t="shared" si="41"/>
        <v>Oil Field - Well</v>
      </c>
      <c r="C339" s="246" t="str">
        <f ca="1">IF(B339="","",VLOOKUP(D339,'Species Data'!B:E,4,FALSE))</f>
        <v>methcycpen</v>
      </c>
      <c r="D339" s="246">
        <f t="shared" ca="1" si="42"/>
        <v>551</v>
      </c>
      <c r="E339" s="246">
        <f t="shared" ca="1" si="43"/>
        <v>1.2395</v>
      </c>
      <c r="F339" s="246" t="str">
        <f t="shared" ca="1" si="44"/>
        <v>Methylcyclopentane</v>
      </c>
      <c r="G339" s="246">
        <f t="shared" ca="1" si="45"/>
        <v>84.159480000000002</v>
      </c>
      <c r="H339" s="204">
        <f ca="1">IF(G339="","",IF(VLOOKUP(Well_Head!F339,'Species Data'!D:F,3,FALSE)=0,"X",IF(G339&lt;44.1,2,1)))</f>
        <v>1</v>
      </c>
      <c r="I339" s="204">
        <f t="shared" ca="1" si="46"/>
        <v>0.80952321163948093</v>
      </c>
      <c r="J339" s="247">
        <f ca="1">IF(I339="","",IF(COUNTIF($D$12:D339,D339)=1,IF(H339=1,I339*H339,IF(H339="X","X",0)),0))</f>
        <v>0</v>
      </c>
      <c r="K339" s="248">
        <f t="shared" ca="1" si="47"/>
        <v>0</v>
      </c>
      <c r="L339" s="239" t="s">
        <v>626</v>
      </c>
      <c r="M339" s="215" t="s">
        <v>448</v>
      </c>
      <c r="N339" s="215" t="s">
        <v>470</v>
      </c>
      <c r="O339" s="216">
        <v>41419</v>
      </c>
      <c r="P339" s="215" t="s">
        <v>531</v>
      </c>
      <c r="Q339" s="217">
        <v>100</v>
      </c>
      <c r="R339" s="215" t="s">
        <v>445</v>
      </c>
      <c r="S339" s="215" t="s">
        <v>532</v>
      </c>
      <c r="T339" s="215" t="s">
        <v>445</v>
      </c>
      <c r="U339" s="215" t="s">
        <v>446</v>
      </c>
      <c r="V339" s="217" t="b">
        <v>1</v>
      </c>
      <c r="W339" s="217">
        <v>1989</v>
      </c>
      <c r="X339" s="217">
        <v>5</v>
      </c>
      <c r="Y339" s="217">
        <v>2</v>
      </c>
      <c r="Z339" s="217">
        <v>4</v>
      </c>
      <c r="AA339" s="215" t="s">
        <v>447</v>
      </c>
      <c r="AB339" s="215" t="s">
        <v>531</v>
      </c>
      <c r="AC339" s="215" t="s">
        <v>533</v>
      </c>
      <c r="AD339" s="217">
        <v>2.2218420000000001</v>
      </c>
      <c r="AE339" s="217">
        <v>529</v>
      </c>
      <c r="AF339" s="217">
        <v>45.733400000000003</v>
      </c>
      <c r="AG339" s="217">
        <v>-99</v>
      </c>
      <c r="AH339" s="215" t="s">
        <v>224</v>
      </c>
      <c r="AI339" s="215" t="s">
        <v>449</v>
      </c>
      <c r="AJ339" s="215" t="s">
        <v>271</v>
      </c>
      <c r="AK339" s="215" t="s">
        <v>531</v>
      </c>
      <c r="AL339" s="215" t="s">
        <v>376</v>
      </c>
      <c r="AM339" s="217" t="b">
        <v>0</v>
      </c>
      <c r="AN339" s="217" t="b">
        <v>0</v>
      </c>
      <c r="AO339" s="215" t="s">
        <v>272</v>
      </c>
      <c r="AP339" s="215" t="s">
        <v>531</v>
      </c>
      <c r="AQ339" s="217">
        <v>16.042459999999998</v>
      </c>
      <c r="AR339" s="217" t="b">
        <v>1</v>
      </c>
      <c r="AS339" s="215" t="s">
        <v>534</v>
      </c>
      <c r="AU339" s="222" t="s">
        <v>819</v>
      </c>
    </row>
    <row r="340" spans="1:47" s="218" customFormat="1" x14ac:dyDescent="0.25">
      <c r="A340" s="245">
        <f t="shared" si="40"/>
        <v>435</v>
      </c>
      <c r="B340" s="246" t="str">
        <f t="shared" si="41"/>
        <v>Oil Field - Well</v>
      </c>
      <c r="C340" s="246" t="str">
        <f ca="1">IF(B340="","",VLOOKUP(D340,'Species Data'!B:E,4,FALSE))</f>
        <v>N_but</v>
      </c>
      <c r="D340" s="246">
        <f t="shared" ca="1" si="42"/>
        <v>592</v>
      </c>
      <c r="E340" s="246">
        <f t="shared" ca="1" si="43"/>
        <v>4.444</v>
      </c>
      <c r="F340" s="246" t="str">
        <f t="shared" ca="1" si="44"/>
        <v>N-butane</v>
      </c>
      <c r="G340" s="246">
        <f t="shared" ca="1" si="45"/>
        <v>58.122199999999992</v>
      </c>
      <c r="H340" s="204">
        <f ca="1">IF(G340="","",IF(VLOOKUP(Well_Head!F340,'Species Data'!D:F,3,FALSE)=0,"X",IF(G340&lt;44.1,2,1)))</f>
        <v>1</v>
      </c>
      <c r="I340" s="204">
        <f t="shared" ca="1" si="46"/>
        <v>6.782997179218774</v>
      </c>
      <c r="J340" s="247">
        <f ca="1">IF(I340="","",IF(COUNTIF($D$12:D340,D340)=1,IF(H340=1,I340*H340,IF(H340="X","X",0)),0))</f>
        <v>0</v>
      </c>
      <c r="K340" s="248">
        <f t="shared" ca="1" si="47"/>
        <v>0</v>
      </c>
      <c r="L340" s="239" t="s">
        <v>626</v>
      </c>
      <c r="M340" s="215" t="s">
        <v>448</v>
      </c>
      <c r="N340" s="215" t="s">
        <v>470</v>
      </c>
      <c r="O340" s="216">
        <v>41419</v>
      </c>
      <c r="P340" s="215" t="s">
        <v>531</v>
      </c>
      <c r="Q340" s="217">
        <v>100</v>
      </c>
      <c r="R340" s="215" t="s">
        <v>445</v>
      </c>
      <c r="S340" s="215" t="s">
        <v>532</v>
      </c>
      <c r="T340" s="215" t="s">
        <v>445</v>
      </c>
      <c r="U340" s="215" t="s">
        <v>446</v>
      </c>
      <c r="V340" s="217" t="b">
        <v>1</v>
      </c>
      <c r="W340" s="217">
        <v>1989</v>
      </c>
      <c r="X340" s="217">
        <v>5</v>
      </c>
      <c r="Y340" s="217">
        <v>2</v>
      </c>
      <c r="Z340" s="217">
        <v>4</v>
      </c>
      <c r="AA340" s="215" t="s">
        <v>447</v>
      </c>
      <c r="AB340" s="215" t="s">
        <v>531</v>
      </c>
      <c r="AC340" s="215" t="s">
        <v>533</v>
      </c>
      <c r="AD340" s="217">
        <v>2.2218420000000001</v>
      </c>
      <c r="AE340" s="217">
        <v>550</v>
      </c>
      <c r="AF340" s="217">
        <v>8.4000000000000005E-2</v>
      </c>
      <c r="AG340" s="217">
        <v>-99</v>
      </c>
      <c r="AH340" s="215" t="s">
        <v>224</v>
      </c>
      <c r="AI340" s="215" t="s">
        <v>449</v>
      </c>
      <c r="AJ340" s="215" t="s">
        <v>348</v>
      </c>
      <c r="AK340" s="215" t="s">
        <v>531</v>
      </c>
      <c r="AL340" s="215" t="s">
        <v>396</v>
      </c>
      <c r="AM340" s="217" t="b">
        <v>1</v>
      </c>
      <c r="AN340" s="217" t="b">
        <v>0</v>
      </c>
      <c r="AO340" s="215" t="s">
        <v>349</v>
      </c>
      <c r="AP340" s="215" t="s">
        <v>350</v>
      </c>
      <c r="AQ340" s="217">
        <v>98.186059999999998</v>
      </c>
      <c r="AR340" s="217" t="b">
        <v>0</v>
      </c>
      <c r="AS340" s="215" t="s">
        <v>534</v>
      </c>
      <c r="AU340" s="222" t="s">
        <v>819</v>
      </c>
    </row>
    <row r="341" spans="1:47" s="218" customFormat="1" x14ac:dyDescent="0.25">
      <c r="A341" s="245">
        <f t="shared" si="40"/>
        <v>436</v>
      </c>
      <c r="B341" s="246" t="str">
        <f t="shared" si="41"/>
        <v>Oil Field - Well</v>
      </c>
      <c r="C341" s="246" t="str">
        <f ca="1">IF(B341="","",VLOOKUP(D341,'Species Data'!B:E,4,FALSE))</f>
        <v>N_dec</v>
      </c>
      <c r="D341" s="246">
        <f t="shared" ca="1" si="42"/>
        <v>598</v>
      </c>
      <c r="E341" s="246">
        <f t="shared" ca="1" si="43"/>
        <v>6.9400000000000003E-2</v>
      </c>
      <c r="F341" s="246" t="str">
        <f t="shared" ca="1" si="44"/>
        <v>N-decane</v>
      </c>
      <c r="G341" s="246">
        <f t="shared" ca="1" si="45"/>
        <v>142.28167999999999</v>
      </c>
      <c r="H341" s="204">
        <f ca="1">IF(G341="","",IF(VLOOKUP(Well_Head!F341,'Species Data'!D:F,3,FALSE)=0,"X",IF(G341&lt;44.1,2,1)))</f>
        <v>1</v>
      </c>
      <c r="I341" s="204">
        <f t="shared" ca="1" si="46"/>
        <v>7.7733428340856864E-2</v>
      </c>
      <c r="J341" s="247">
        <f ca="1">IF(I341="","",IF(COUNTIF($D$12:D341,D341)=1,IF(H341=1,I341*H341,IF(H341="X","X",0)),0))</f>
        <v>0</v>
      </c>
      <c r="K341" s="248">
        <f t="shared" ca="1" si="47"/>
        <v>0</v>
      </c>
      <c r="L341" s="239" t="s">
        <v>626</v>
      </c>
      <c r="M341" s="215" t="s">
        <v>448</v>
      </c>
      <c r="N341" s="215" t="s">
        <v>470</v>
      </c>
      <c r="O341" s="216">
        <v>41419</v>
      </c>
      <c r="P341" s="215" t="s">
        <v>531</v>
      </c>
      <c r="Q341" s="217">
        <v>100</v>
      </c>
      <c r="R341" s="215" t="s">
        <v>445</v>
      </c>
      <c r="S341" s="215" t="s">
        <v>532</v>
      </c>
      <c r="T341" s="215" t="s">
        <v>445</v>
      </c>
      <c r="U341" s="215" t="s">
        <v>446</v>
      </c>
      <c r="V341" s="217" t="b">
        <v>1</v>
      </c>
      <c r="W341" s="217">
        <v>1989</v>
      </c>
      <c r="X341" s="217">
        <v>5</v>
      </c>
      <c r="Y341" s="217">
        <v>2</v>
      </c>
      <c r="Z341" s="217">
        <v>4</v>
      </c>
      <c r="AA341" s="215" t="s">
        <v>447</v>
      </c>
      <c r="AB341" s="215" t="s">
        <v>531</v>
      </c>
      <c r="AC341" s="215" t="s">
        <v>533</v>
      </c>
      <c r="AD341" s="217">
        <v>2.2218420000000001</v>
      </c>
      <c r="AE341" s="217">
        <v>551</v>
      </c>
      <c r="AF341" s="217">
        <v>1.37E-2</v>
      </c>
      <c r="AG341" s="217">
        <v>-99</v>
      </c>
      <c r="AH341" s="215" t="s">
        <v>224</v>
      </c>
      <c r="AI341" s="215" t="s">
        <v>449</v>
      </c>
      <c r="AJ341" s="215" t="s">
        <v>351</v>
      </c>
      <c r="AK341" s="215" t="s">
        <v>531</v>
      </c>
      <c r="AL341" s="215" t="s">
        <v>397</v>
      </c>
      <c r="AM341" s="217" t="b">
        <v>1</v>
      </c>
      <c r="AN341" s="217" t="b">
        <v>0</v>
      </c>
      <c r="AO341" s="215" t="s">
        <v>352</v>
      </c>
      <c r="AP341" s="215" t="s">
        <v>353</v>
      </c>
      <c r="AQ341" s="217">
        <v>84.159480000000002</v>
      </c>
      <c r="AR341" s="217" t="b">
        <v>0</v>
      </c>
      <c r="AS341" s="215" t="s">
        <v>534</v>
      </c>
      <c r="AU341" s="222" t="s">
        <v>819</v>
      </c>
    </row>
    <row r="342" spans="1:47" s="218" customFormat="1" x14ac:dyDescent="0.25">
      <c r="A342" s="245">
        <f t="shared" si="40"/>
        <v>437</v>
      </c>
      <c r="B342" s="246" t="str">
        <f t="shared" si="41"/>
        <v>Oil Field - Well</v>
      </c>
      <c r="C342" s="246" t="str">
        <f ca="1">IF(B342="","",VLOOKUP(D342,'Species Data'!B:E,4,FALSE))</f>
        <v>N_hep</v>
      </c>
      <c r="D342" s="246">
        <f t="shared" ca="1" si="42"/>
        <v>600</v>
      </c>
      <c r="E342" s="246">
        <f t="shared" ca="1" si="43"/>
        <v>0.92400000000000004</v>
      </c>
      <c r="F342" s="246" t="str">
        <f t="shared" ca="1" si="44"/>
        <v>N-heptane</v>
      </c>
      <c r="G342" s="246">
        <f t="shared" ca="1" si="45"/>
        <v>100.20194000000001</v>
      </c>
      <c r="H342" s="204">
        <f ca="1">IF(G342="","",IF(VLOOKUP(Well_Head!F342,'Species Data'!D:F,3,FALSE)=0,"X",IF(G342&lt;44.1,2,1)))</f>
        <v>1</v>
      </c>
      <c r="I342" s="204">
        <f t="shared" ca="1" si="46"/>
        <v>0.42536718655989475</v>
      </c>
      <c r="J342" s="247">
        <f ca="1">IF(I342="","",IF(COUNTIF($D$12:D342,D342)=1,IF(H342=1,I342*H342,IF(H342="X","X",0)),0))</f>
        <v>0</v>
      </c>
      <c r="K342" s="248">
        <f t="shared" ca="1" si="47"/>
        <v>0</v>
      </c>
      <c r="L342" s="239" t="s">
        <v>626</v>
      </c>
      <c r="M342" s="215" t="s">
        <v>448</v>
      </c>
      <c r="N342" s="215" t="s">
        <v>470</v>
      </c>
      <c r="O342" s="216">
        <v>41419</v>
      </c>
      <c r="P342" s="215" t="s">
        <v>531</v>
      </c>
      <c r="Q342" s="217">
        <v>100</v>
      </c>
      <c r="R342" s="215" t="s">
        <v>445</v>
      </c>
      <c r="S342" s="215" t="s">
        <v>532</v>
      </c>
      <c r="T342" s="215" t="s">
        <v>445</v>
      </c>
      <c r="U342" s="215" t="s">
        <v>446</v>
      </c>
      <c r="V342" s="217" t="b">
        <v>1</v>
      </c>
      <c r="W342" s="217">
        <v>1989</v>
      </c>
      <c r="X342" s="217">
        <v>5</v>
      </c>
      <c r="Y342" s="217">
        <v>2</v>
      </c>
      <c r="Z342" s="217">
        <v>4</v>
      </c>
      <c r="AA342" s="215" t="s">
        <v>447</v>
      </c>
      <c r="AB342" s="215" t="s">
        <v>531</v>
      </c>
      <c r="AC342" s="215" t="s">
        <v>533</v>
      </c>
      <c r="AD342" s="217">
        <v>2.2218420000000001</v>
      </c>
      <c r="AE342" s="217">
        <v>592</v>
      </c>
      <c r="AF342" s="217">
        <v>9.7693999999999992</v>
      </c>
      <c r="AG342" s="217">
        <v>-99</v>
      </c>
      <c r="AH342" s="215" t="s">
        <v>224</v>
      </c>
      <c r="AI342" s="215" t="s">
        <v>449</v>
      </c>
      <c r="AJ342" s="215" t="s">
        <v>273</v>
      </c>
      <c r="AK342" s="215" t="s">
        <v>531</v>
      </c>
      <c r="AL342" s="215" t="s">
        <v>377</v>
      </c>
      <c r="AM342" s="217" t="b">
        <v>1</v>
      </c>
      <c r="AN342" s="217" t="b">
        <v>0</v>
      </c>
      <c r="AO342" s="215" t="s">
        <v>274</v>
      </c>
      <c r="AP342" s="215" t="s">
        <v>275</v>
      </c>
      <c r="AQ342" s="217">
        <v>58.122199999999992</v>
      </c>
      <c r="AR342" s="217" t="b">
        <v>0</v>
      </c>
      <c r="AS342" s="215" t="s">
        <v>534</v>
      </c>
      <c r="AU342" s="222" t="s">
        <v>819</v>
      </c>
    </row>
    <row r="343" spans="1:47" s="218" customFormat="1" x14ac:dyDescent="0.25">
      <c r="A343" s="245">
        <f t="shared" si="40"/>
        <v>438</v>
      </c>
      <c r="B343" s="246" t="str">
        <f t="shared" si="41"/>
        <v>Oil Field - Well</v>
      </c>
      <c r="C343" s="246" t="str">
        <f ca="1">IF(B343="","",VLOOKUP(D343,'Species Data'!B:E,4,FALSE))</f>
        <v>N_hex</v>
      </c>
      <c r="D343" s="246">
        <f t="shared" ca="1" si="42"/>
        <v>601</v>
      </c>
      <c r="E343" s="246">
        <f t="shared" ca="1" si="43"/>
        <v>0.90600000000000003</v>
      </c>
      <c r="F343" s="246" t="str">
        <f t="shared" ca="1" si="44"/>
        <v>N-hexane</v>
      </c>
      <c r="G343" s="246">
        <f t="shared" ca="1" si="45"/>
        <v>86.175359999999998</v>
      </c>
      <c r="H343" s="204">
        <f ca="1">IF(G343="","",IF(VLOOKUP(Well_Head!F343,'Species Data'!D:F,3,FALSE)=0,"X",IF(G343&lt;44.1,2,1)))</f>
        <v>1</v>
      </c>
      <c r="I343" s="204">
        <f t="shared" ca="1" si="46"/>
        <v>0.89334553631121094</v>
      </c>
      <c r="J343" s="247">
        <f ca="1">IF(I343="","",IF(COUNTIF($D$12:D343,D343)=1,IF(H343=1,I343*H343,IF(H343="X","X",0)),0))</f>
        <v>0</v>
      </c>
      <c r="K343" s="248">
        <f t="shared" ca="1" si="47"/>
        <v>0</v>
      </c>
      <c r="L343" s="239" t="s">
        <v>626</v>
      </c>
      <c r="M343" s="215" t="s">
        <v>448</v>
      </c>
      <c r="N343" s="215" t="s">
        <v>470</v>
      </c>
      <c r="O343" s="216">
        <v>41419</v>
      </c>
      <c r="P343" s="215" t="s">
        <v>531</v>
      </c>
      <c r="Q343" s="217">
        <v>100</v>
      </c>
      <c r="R343" s="215" t="s">
        <v>445</v>
      </c>
      <c r="S343" s="215" t="s">
        <v>532</v>
      </c>
      <c r="T343" s="215" t="s">
        <v>445</v>
      </c>
      <c r="U343" s="215" t="s">
        <v>446</v>
      </c>
      <c r="V343" s="217" t="b">
        <v>1</v>
      </c>
      <c r="W343" s="217">
        <v>1989</v>
      </c>
      <c r="X343" s="217">
        <v>5</v>
      </c>
      <c r="Y343" s="217">
        <v>2</v>
      </c>
      <c r="Z343" s="217">
        <v>4</v>
      </c>
      <c r="AA343" s="215" t="s">
        <v>447</v>
      </c>
      <c r="AB343" s="215" t="s">
        <v>531</v>
      </c>
      <c r="AC343" s="215" t="s">
        <v>533</v>
      </c>
      <c r="AD343" s="217">
        <v>2.2218420000000001</v>
      </c>
      <c r="AE343" s="217">
        <v>598</v>
      </c>
      <c r="AF343" s="217">
        <v>1.12E-2</v>
      </c>
      <c r="AG343" s="217">
        <v>-99</v>
      </c>
      <c r="AH343" s="215" t="s">
        <v>224</v>
      </c>
      <c r="AI343" s="215" t="s">
        <v>449</v>
      </c>
      <c r="AJ343" s="215" t="s">
        <v>414</v>
      </c>
      <c r="AK343" s="215" t="s">
        <v>531</v>
      </c>
      <c r="AL343" s="215" t="s">
        <v>452</v>
      </c>
      <c r="AM343" s="217" t="b">
        <v>1</v>
      </c>
      <c r="AN343" s="217" t="b">
        <v>0</v>
      </c>
      <c r="AO343" s="215" t="s">
        <v>415</v>
      </c>
      <c r="AP343" s="215" t="s">
        <v>416</v>
      </c>
      <c r="AQ343" s="217">
        <v>142.28167999999999</v>
      </c>
      <c r="AR343" s="217" t="b">
        <v>0</v>
      </c>
      <c r="AS343" s="215" t="s">
        <v>534</v>
      </c>
      <c r="AU343" s="222" t="s">
        <v>819</v>
      </c>
    </row>
    <row r="344" spans="1:47" s="218" customFormat="1" x14ac:dyDescent="0.25">
      <c r="A344" s="245">
        <f t="shared" si="40"/>
        <v>439</v>
      </c>
      <c r="B344" s="246" t="str">
        <f t="shared" si="41"/>
        <v>Oil Field - Well</v>
      </c>
      <c r="C344" s="246" t="str">
        <f ca="1">IF(B344="","",VLOOKUP(D344,'Species Data'!B:E,4,FALSE))</f>
        <v>N_nonane</v>
      </c>
      <c r="D344" s="246">
        <f t="shared" ca="1" si="42"/>
        <v>603</v>
      </c>
      <c r="E344" s="246">
        <f t="shared" ca="1" si="43"/>
        <v>1.5824</v>
      </c>
      <c r="F344" s="246" t="str">
        <f t="shared" ca="1" si="44"/>
        <v>N-nonane</v>
      </c>
      <c r="G344" s="246">
        <f t="shared" ca="1" si="45"/>
        <v>128.2551</v>
      </c>
      <c r="H344" s="204">
        <f ca="1">IF(G344="","",IF(VLOOKUP(Well_Head!F344,'Species Data'!D:F,3,FALSE)=0,"X",IF(G344&lt;44.1,2,1)))</f>
        <v>1</v>
      </c>
      <c r="I344" s="204">
        <f t="shared" ca="1" si="46"/>
        <v>0.35487821151781407</v>
      </c>
      <c r="J344" s="247">
        <f ca="1">IF(I344="","",IF(COUNTIF($D$12:D344,D344)=1,IF(H344=1,I344*H344,IF(H344="X","X",0)),0))</f>
        <v>0</v>
      </c>
      <c r="K344" s="248">
        <f t="shared" ca="1" si="47"/>
        <v>0</v>
      </c>
      <c r="L344" s="239" t="s">
        <v>626</v>
      </c>
      <c r="M344" s="215" t="s">
        <v>448</v>
      </c>
      <c r="N344" s="215" t="s">
        <v>470</v>
      </c>
      <c r="O344" s="216">
        <v>41419</v>
      </c>
      <c r="P344" s="215" t="s">
        <v>531</v>
      </c>
      <c r="Q344" s="217">
        <v>100</v>
      </c>
      <c r="R344" s="215" t="s">
        <v>445</v>
      </c>
      <c r="S344" s="215" t="s">
        <v>532</v>
      </c>
      <c r="T344" s="215" t="s">
        <v>445</v>
      </c>
      <c r="U344" s="215" t="s">
        <v>446</v>
      </c>
      <c r="V344" s="217" t="b">
        <v>1</v>
      </c>
      <c r="W344" s="217">
        <v>1989</v>
      </c>
      <c r="X344" s="217">
        <v>5</v>
      </c>
      <c r="Y344" s="217">
        <v>2</v>
      </c>
      <c r="Z344" s="217">
        <v>4</v>
      </c>
      <c r="AA344" s="215" t="s">
        <v>447</v>
      </c>
      <c r="AB344" s="215" t="s">
        <v>531</v>
      </c>
      <c r="AC344" s="215" t="s">
        <v>533</v>
      </c>
      <c r="AD344" s="217">
        <v>2.2218420000000001</v>
      </c>
      <c r="AE344" s="217">
        <v>600</v>
      </c>
      <c r="AF344" s="217">
        <v>0.3518</v>
      </c>
      <c r="AG344" s="217">
        <v>-99</v>
      </c>
      <c r="AH344" s="215" t="s">
        <v>224</v>
      </c>
      <c r="AI344" s="215" t="s">
        <v>449</v>
      </c>
      <c r="AJ344" s="215" t="s">
        <v>276</v>
      </c>
      <c r="AK344" s="215" t="s">
        <v>531</v>
      </c>
      <c r="AL344" s="215" t="s">
        <v>378</v>
      </c>
      <c r="AM344" s="217" t="b">
        <v>1</v>
      </c>
      <c r="AN344" s="217" t="b">
        <v>0</v>
      </c>
      <c r="AO344" s="215" t="s">
        <v>277</v>
      </c>
      <c r="AP344" s="215" t="s">
        <v>278</v>
      </c>
      <c r="AQ344" s="217">
        <v>100.20194000000001</v>
      </c>
      <c r="AR344" s="217" t="b">
        <v>0</v>
      </c>
      <c r="AS344" s="215" t="s">
        <v>534</v>
      </c>
      <c r="AU344" s="222" t="s">
        <v>819</v>
      </c>
    </row>
    <row r="345" spans="1:47" s="218" customFormat="1" x14ac:dyDescent="0.25">
      <c r="A345" s="245">
        <f t="shared" si="40"/>
        <v>440</v>
      </c>
      <c r="B345" s="246" t="str">
        <f t="shared" si="41"/>
        <v>Oil Field - Well</v>
      </c>
      <c r="C345" s="246" t="str">
        <f ca="1">IF(B345="","",VLOOKUP(D345,'Species Data'!B:E,4,FALSE))</f>
        <v>N_octane</v>
      </c>
      <c r="D345" s="246">
        <f t="shared" ca="1" si="42"/>
        <v>604</v>
      </c>
      <c r="E345" s="246">
        <f t="shared" ca="1" si="43"/>
        <v>1.1482000000000001</v>
      </c>
      <c r="F345" s="246" t="str">
        <f t="shared" ca="1" si="44"/>
        <v>N-octane</v>
      </c>
      <c r="G345" s="246">
        <f t="shared" ca="1" si="45"/>
        <v>114.22852</v>
      </c>
      <c r="H345" s="204">
        <f ca="1">IF(G345="","",IF(VLOOKUP(Well_Head!F345,'Species Data'!D:F,3,FALSE)=0,"X",IF(G345&lt;44.1,2,1)))</f>
        <v>1</v>
      </c>
      <c r="I345" s="204">
        <f t="shared" ca="1" si="46"/>
        <v>0.67063415299729812</v>
      </c>
      <c r="J345" s="247">
        <f ca="1">IF(I345="","",IF(COUNTIF($D$12:D345,D345)=1,IF(H345=1,I345*H345,IF(H345="X","X",0)),0))</f>
        <v>0</v>
      </c>
      <c r="K345" s="248">
        <f t="shared" ca="1" si="47"/>
        <v>0</v>
      </c>
      <c r="L345" s="239" t="s">
        <v>626</v>
      </c>
      <c r="M345" s="215" t="s">
        <v>448</v>
      </c>
      <c r="N345" s="215" t="s">
        <v>470</v>
      </c>
      <c r="O345" s="216">
        <v>41419</v>
      </c>
      <c r="P345" s="215" t="s">
        <v>531</v>
      </c>
      <c r="Q345" s="217">
        <v>100</v>
      </c>
      <c r="R345" s="215" t="s">
        <v>445</v>
      </c>
      <c r="S345" s="215" t="s">
        <v>532</v>
      </c>
      <c r="T345" s="215" t="s">
        <v>445</v>
      </c>
      <c r="U345" s="215" t="s">
        <v>446</v>
      </c>
      <c r="V345" s="217" t="b">
        <v>1</v>
      </c>
      <c r="W345" s="217">
        <v>1989</v>
      </c>
      <c r="X345" s="217">
        <v>5</v>
      </c>
      <c r="Y345" s="217">
        <v>2</v>
      </c>
      <c r="Z345" s="217">
        <v>4</v>
      </c>
      <c r="AA345" s="215" t="s">
        <v>447</v>
      </c>
      <c r="AB345" s="215" t="s">
        <v>531</v>
      </c>
      <c r="AC345" s="215" t="s">
        <v>533</v>
      </c>
      <c r="AD345" s="217">
        <v>2.2218420000000001</v>
      </c>
      <c r="AE345" s="217">
        <v>601</v>
      </c>
      <c r="AF345" s="217">
        <v>1.1753</v>
      </c>
      <c r="AG345" s="217">
        <v>-99</v>
      </c>
      <c r="AH345" s="215" t="s">
        <v>224</v>
      </c>
      <c r="AI345" s="215" t="s">
        <v>449</v>
      </c>
      <c r="AJ345" s="215" t="s">
        <v>279</v>
      </c>
      <c r="AK345" s="215" t="s">
        <v>531</v>
      </c>
      <c r="AL345" s="215" t="s">
        <v>379</v>
      </c>
      <c r="AM345" s="217" t="b">
        <v>1</v>
      </c>
      <c r="AN345" s="217" t="b">
        <v>1</v>
      </c>
      <c r="AO345" s="215" t="s">
        <v>280</v>
      </c>
      <c r="AP345" s="215" t="s">
        <v>281</v>
      </c>
      <c r="AQ345" s="217">
        <v>86.175359999999998</v>
      </c>
      <c r="AR345" s="217" t="b">
        <v>0</v>
      </c>
      <c r="AS345" s="215" t="s">
        <v>534</v>
      </c>
      <c r="AU345" s="222" t="s">
        <v>819</v>
      </c>
    </row>
    <row r="346" spans="1:47" s="218" customFormat="1" x14ac:dyDescent="0.25">
      <c r="A346" s="245">
        <f t="shared" si="40"/>
        <v>441</v>
      </c>
      <c r="B346" s="246" t="str">
        <f t="shared" si="41"/>
        <v>Oil Field - Well</v>
      </c>
      <c r="C346" s="246" t="str">
        <f ca="1">IF(B346="","",VLOOKUP(D346,'Species Data'!B:E,4,FALSE))</f>
        <v>N_pentane</v>
      </c>
      <c r="D346" s="246">
        <f t="shared" ca="1" si="42"/>
        <v>605</v>
      </c>
      <c r="E346" s="246">
        <f t="shared" ca="1" si="43"/>
        <v>1.6241000000000001</v>
      </c>
      <c r="F346" s="246" t="str">
        <f t="shared" ca="1" si="44"/>
        <v>N-pentane</v>
      </c>
      <c r="G346" s="246">
        <f t="shared" ca="1" si="45"/>
        <v>72.148780000000002</v>
      </c>
      <c r="H346" s="204">
        <f ca="1">IF(G346="","",IF(VLOOKUP(Well_Head!F346,'Species Data'!D:F,3,FALSE)=0,"X",IF(G346&lt;44.1,2,1)))</f>
        <v>1</v>
      </c>
      <c r="I346" s="204">
        <f t="shared" ca="1" si="46"/>
        <v>2.2200360467107241</v>
      </c>
      <c r="J346" s="247">
        <f ca="1">IF(I346="","",IF(COUNTIF($D$12:D346,D346)=1,IF(H346=1,I346*H346,IF(H346="X","X",0)),0))</f>
        <v>0</v>
      </c>
      <c r="K346" s="248">
        <f t="shared" ca="1" si="47"/>
        <v>0</v>
      </c>
      <c r="L346" s="239" t="s">
        <v>626</v>
      </c>
      <c r="M346" s="215" t="s">
        <v>448</v>
      </c>
      <c r="N346" s="215" t="s">
        <v>470</v>
      </c>
      <c r="O346" s="216">
        <v>41419</v>
      </c>
      <c r="P346" s="215" t="s">
        <v>531</v>
      </c>
      <c r="Q346" s="217">
        <v>100</v>
      </c>
      <c r="R346" s="215" t="s">
        <v>445</v>
      </c>
      <c r="S346" s="215" t="s">
        <v>532</v>
      </c>
      <c r="T346" s="215" t="s">
        <v>445</v>
      </c>
      <c r="U346" s="215" t="s">
        <v>446</v>
      </c>
      <c r="V346" s="217" t="b">
        <v>1</v>
      </c>
      <c r="W346" s="217">
        <v>1989</v>
      </c>
      <c r="X346" s="217">
        <v>5</v>
      </c>
      <c r="Y346" s="217">
        <v>2</v>
      </c>
      <c r="Z346" s="217">
        <v>4</v>
      </c>
      <c r="AA346" s="215" t="s">
        <v>447</v>
      </c>
      <c r="AB346" s="215" t="s">
        <v>531</v>
      </c>
      <c r="AC346" s="215" t="s">
        <v>533</v>
      </c>
      <c r="AD346" s="217">
        <v>2.2218420000000001</v>
      </c>
      <c r="AE346" s="217">
        <v>603</v>
      </c>
      <c r="AF346" s="217">
        <v>3.6999999999999998E-2</v>
      </c>
      <c r="AG346" s="217">
        <v>-99</v>
      </c>
      <c r="AH346" s="215" t="s">
        <v>224</v>
      </c>
      <c r="AI346" s="215" t="s">
        <v>449</v>
      </c>
      <c r="AJ346" s="215" t="s">
        <v>417</v>
      </c>
      <c r="AK346" s="215" t="s">
        <v>531</v>
      </c>
      <c r="AL346" s="215" t="s">
        <v>453</v>
      </c>
      <c r="AM346" s="217" t="b">
        <v>1</v>
      </c>
      <c r="AN346" s="217" t="b">
        <v>0</v>
      </c>
      <c r="AO346" s="215" t="s">
        <v>418</v>
      </c>
      <c r="AP346" s="215" t="s">
        <v>419</v>
      </c>
      <c r="AQ346" s="217">
        <v>128.2551</v>
      </c>
      <c r="AR346" s="217" t="b">
        <v>0</v>
      </c>
      <c r="AS346" s="215" t="s">
        <v>534</v>
      </c>
      <c r="AU346" s="222" t="s">
        <v>819</v>
      </c>
    </row>
    <row r="347" spans="1:47" s="218" customFormat="1" x14ac:dyDescent="0.25">
      <c r="A347" s="245">
        <f t="shared" si="40"/>
        <v>442</v>
      </c>
      <c r="B347" s="246" t="str">
        <f t="shared" si="41"/>
        <v>Oil Field - Well</v>
      </c>
      <c r="C347" s="246" t="str">
        <f ca="1">IF(B347="","",VLOOKUP(D347,'Species Data'!B:E,4,FALSE))</f>
        <v>N_proben</v>
      </c>
      <c r="D347" s="246">
        <f t="shared" ca="1" si="42"/>
        <v>608</v>
      </c>
      <c r="E347" s="246">
        <f t="shared" ca="1" si="43"/>
        <v>0.50080000000000002</v>
      </c>
      <c r="F347" s="246" t="str">
        <f t="shared" ca="1" si="44"/>
        <v>N-propylbenzene</v>
      </c>
      <c r="G347" s="246">
        <f t="shared" ca="1" si="45"/>
        <v>120.19158</v>
      </c>
      <c r="H347" s="204">
        <f ca="1">IF(G347="","",IF(VLOOKUP(Well_Head!F347,'Species Data'!D:F,3,FALSE)=0,"X",IF(G347&lt;44.1,2,1)))</f>
        <v>1</v>
      </c>
      <c r="I347" s="204">
        <f t="shared" ca="1" si="46"/>
        <v>0.16350019983357761</v>
      </c>
      <c r="J347" s="247">
        <f ca="1">IF(I347="","",IF(COUNTIF($D$12:D347,D347)=1,IF(H347=1,I347*H347,IF(H347="X","X",0)),0))</f>
        <v>0</v>
      </c>
      <c r="K347" s="248">
        <f t="shared" ca="1" si="47"/>
        <v>0</v>
      </c>
      <c r="L347" s="239" t="s">
        <v>626</v>
      </c>
      <c r="M347" s="215" t="s">
        <v>448</v>
      </c>
      <c r="N347" s="215" t="s">
        <v>470</v>
      </c>
      <c r="O347" s="216">
        <v>41419</v>
      </c>
      <c r="P347" s="215" t="s">
        <v>531</v>
      </c>
      <c r="Q347" s="217">
        <v>100</v>
      </c>
      <c r="R347" s="215" t="s">
        <v>445</v>
      </c>
      <c r="S347" s="215" t="s">
        <v>532</v>
      </c>
      <c r="T347" s="215" t="s">
        <v>445</v>
      </c>
      <c r="U347" s="215" t="s">
        <v>446</v>
      </c>
      <c r="V347" s="217" t="b">
        <v>1</v>
      </c>
      <c r="W347" s="217">
        <v>1989</v>
      </c>
      <c r="X347" s="217">
        <v>5</v>
      </c>
      <c r="Y347" s="217">
        <v>2</v>
      </c>
      <c r="Z347" s="217">
        <v>4</v>
      </c>
      <c r="AA347" s="215" t="s">
        <v>447</v>
      </c>
      <c r="AB347" s="215" t="s">
        <v>531</v>
      </c>
      <c r="AC347" s="215" t="s">
        <v>533</v>
      </c>
      <c r="AD347" s="217">
        <v>2.2218420000000001</v>
      </c>
      <c r="AE347" s="217">
        <v>604</v>
      </c>
      <c r="AF347" s="217">
        <v>3.5099999999999999E-2</v>
      </c>
      <c r="AG347" s="217">
        <v>-99</v>
      </c>
      <c r="AH347" s="215" t="s">
        <v>224</v>
      </c>
      <c r="AI347" s="215" t="s">
        <v>449</v>
      </c>
      <c r="AJ347" s="215" t="s">
        <v>282</v>
      </c>
      <c r="AK347" s="215" t="s">
        <v>531</v>
      </c>
      <c r="AL347" s="215" t="s">
        <v>380</v>
      </c>
      <c r="AM347" s="217" t="b">
        <v>1</v>
      </c>
      <c r="AN347" s="217" t="b">
        <v>0</v>
      </c>
      <c r="AO347" s="215" t="s">
        <v>283</v>
      </c>
      <c r="AP347" s="215" t="s">
        <v>284</v>
      </c>
      <c r="AQ347" s="217">
        <v>114.22852</v>
      </c>
      <c r="AR347" s="217" t="b">
        <v>0</v>
      </c>
      <c r="AS347" s="215" t="s">
        <v>534</v>
      </c>
      <c r="AU347" s="222" t="s">
        <v>819</v>
      </c>
    </row>
    <row r="348" spans="1:47" s="218" customFormat="1" x14ac:dyDescent="0.25">
      <c r="A348" s="245">
        <f t="shared" si="40"/>
        <v>443</v>
      </c>
      <c r="B348" s="246" t="str">
        <f t="shared" si="41"/>
        <v>Oil Field - Well</v>
      </c>
      <c r="C348" s="246" t="str">
        <f ca="1">IF(B348="","",VLOOKUP(D348,'Species Data'!B:E,4,FALSE))</f>
        <v>N_und</v>
      </c>
      <c r="D348" s="246">
        <f t="shared" ca="1" si="42"/>
        <v>610</v>
      </c>
      <c r="E348" s="246">
        <f t="shared" ca="1" si="43"/>
        <v>1.2176</v>
      </c>
      <c r="F348" s="246" t="str">
        <f t="shared" ca="1" si="44"/>
        <v>N-undecane</v>
      </c>
      <c r="G348" s="246">
        <f t="shared" ca="1" si="45"/>
        <v>156.30826000000002</v>
      </c>
      <c r="H348" s="204">
        <f ca="1">IF(G348="","",IF(VLOOKUP(Well_Head!F348,'Species Data'!D:F,3,FALSE)=0,"X",IF(G348&lt;44.1,2,1)))</f>
        <v>1</v>
      </c>
      <c r="I348" s="204">
        <f t="shared" ca="1" si="46"/>
        <v>0.14906684885948196</v>
      </c>
      <c r="J348" s="247">
        <f ca="1">IF(I348="","",IF(COUNTIF($D$12:D348,D348)=1,IF(H348=1,I348*H348,IF(H348="X","X",0)),0))</f>
        <v>0</v>
      </c>
      <c r="K348" s="248">
        <f t="shared" ca="1" si="47"/>
        <v>0</v>
      </c>
      <c r="L348" s="239" t="s">
        <v>626</v>
      </c>
      <c r="M348" s="215" t="s">
        <v>448</v>
      </c>
      <c r="N348" s="215" t="s">
        <v>470</v>
      </c>
      <c r="O348" s="216">
        <v>41419</v>
      </c>
      <c r="P348" s="215" t="s">
        <v>531</v>
      </c>
      <c r="Q348" s="217">
        <v>100</v>
      </c>
      <c r="R348" s="215" t="s">
        <v>445</v>
      </c>
      <c r="S348" s="215" t="s">
        <v>532</v>
      </c>
      <c r="T348" s="215" t="s">
        <v>445</v>
      </c>
      <c r="U348" s="215" t="s">
        <v>446</v>
      </c>
      <c r="V348" s="217" t="b">
        <v>1</v>
      </c>
      <c r="W348" s="217">
        <v>1989</v>
      </c>
      <c r="X348" s="217">
        <v>5</v>
      </c>
      <c r="Y348" s="217">
        <v>2</v>
      </c>
      <c r="Z348" s="217">
        <v>4</v>
      </c>
      <c r="AA348" s="215" t="s">
        <v>447</v>
      </c>
      <c r="AB348" s="215" t="s">
        <v>531</v>
      </c>
      <c r="AC348" s="215" t="s">
        <v>533</v>
      </c>
      <c r="AD348" s="217">
        <v>2.2218420000000001</v>
      </c>
      <c r="AE348" s="217">
        <v>605</v>
      </c>
      <c r="AF348" s="217">
        <v>3.851</v>
      </c>
      <c r="AG348" s="217">
        <v>-99</v>
      </c>
      <c r="AH348" s="215" t="s">
        <v>224</v>
      </c>
      <c r="AI348" s="215" t="s">
        <v>449</v>
      </c>
      <c r="AJ348" s="215" t="s">
        <v>285</v>
      </c>
      <c r="AK348" s="215" t="s">
        <v>531</v>
      </c>
      <c r="AL348" s="215" t="s">
        <v>381</v>
      </c>
      <c r="AM348" s="217" t="b">
        <v>1</v>
      </c>
      <c r="AN348" s="217" t="b">
        <v>0</v>
      </c>
      <c r="AO348" s="215" t="s">
        <v>286</v>
      </c>
      <c r="AP348" s="215" t="s">
        <v>287</v>
      </c>
      <c r="AQ348" s="217">
        <v>72.148780000000002</v>
      </c>
      <c r="AR348" s="217" t="b">
        <v>0</v>
      </c>
      <c r="AS348" s="215" t="s">
        <v>534</v>
      </c>
      <c r="AU348" s="222" t="s">
        <v>819</v>
      </c>
    </row>
    <row r="349" spans="1:47" s="218" customFormat="1" x14ac:dyDescent="0.25">
      <c r="A349" s="245">
        <f t="shared" si="40"/>
        <v>444</v>
      </c>
      <c r="B349" s="246" t="str">
        <f t="shared" si="41"/>
        <v>Oil Field - Well</v>
      </c>
      <c r="C349" s="246" t="str">
        <f ca="1">IF(B349="","",VLOOKUP(D349,'Species Data'!B:E,4,FALSE))</f>
        <v>O_xylene</v>
      </c>
      <c r="D349" s="246">
        <f t="shared" ca="1" si="42"/>
        <v>620</v>
      </c>
      <c r="E349" s="246">
        <f t="shared" ca="1" si="43"/>
        <v>0.70889999999999997</v>
      </c>
      <c r="F349" s="246" t="str">
        <f t="shared" ca="1" si="44"/>
        <v>O-xylene</v>
      </c>
      <c r="G349" s="246">
        <f t="shared" ca="1" si="45"/>
        <v>106.16500000000001</v>
      </c>
      <c r="H349" s="204">
        <f ca="1">IF(G349="","",IF(VLOOKUP(Well_Head!F349,'Species Data'!D:F,3,FALSE)=0,"X",IF(G349&lt;44.1,2,1)))</f>
        <v>1</v>
      </c>
      <c r="I349" s="204">
        <f t="shared" ca="1" si="46"/>
        <v>0.25780031508927398</v>
      </c>
      <c r="J349" s="247">
        <f ca="1">IF(I349="","",IF(COUNTIF($D$12:D349,D349)=1,IF(H349=1,I349*H349,IF(H349="X","X",0)),0))</f>
        <v>0</v>
      </c>
      <c r="K349" s="248">
        <f t="shared" ca="1" si="47"/>
        <v>0</v>
      </c>
      <c r="L349" s="239" t="s">
        <v>626</v>
      </c>
      <c r="M349" s="215" t="s">
        <v>448</v>
      </c>
      <c r="N349" s="215" t="s">
        <v>470</v>
      </c>
      <c r="O349" s="216">
        <v>41419</v>
      </c>
      <c r="P349" s="215" t="s">
        <v>531</v>
      </c>
      <c r="Q349" s="217">
        <v>100</v>
      </c>
      <c r="R349" s="215" t="s">
        <v>445</v>
      </c>
      <c r="S349" s="215" t="s">
        <v>532</v>
      </c>
      <c r="T349" s="215" t="s">
        <v>445</v>
      </c>
      <c r="U349" s="215" t="s">
        <v>446</v>
      </c>
      <c r="V349" s="217" t="b">
        <v>1</v>
      </c>
      <c r="W349" s="217">
        <v>1989</v>
      </c>
      <c r="X349" s="217">
        <v>5</v>
      </c>
      <c r="Y349" s="217">
        <v>2</v>
      </c>
      <c r="Z349" s="217">
        <v>4</v>
      </c>
      <c r="AA349" s="215" t="s">
        <v>447</v>
      </c>
      <c r="AB349" s="215" t="s">
        <v>531</v>
      </c>
      <c r="AC349" s="215" t="s">
        <v>533</v>
      </c>
      <c r="AD349" s="217">
        <v>2.2218420000000001</v>
      </c>
      <c r="AE349" s="217">
        <v>608</v>
      </c>
      <c r="AF349" s="217">
        <v>6.1000000000000004E-3</v>
      </c>
      <c r="AG349" s="217">
        <v>-99</v>
      </c>
      <c r="AH349" s="215" t="s">
        <v>224</v>
      </c>
      <c r="AI349" s="215" t="s">
        <v>449</v>
      </c>
      <c r="AJ349" s="215" t="s">
        <v>420</v>
      </c>
      <c r="AK349" s="215" t="s">
        <v>531</v>
      </c>
      <c r="AL349" s="215" t="s">
        <v>454</v>
      </c>
      <c r="AM349" s="217" t="b">
        <v>1</v>
      </c>
      <c r="AN349" s="217" t="b">
        <v>0</v>
      </c>
      <c r="AO349" s="215" t="s">
        <v>421</v>
      </c>
      <c r="AP349" s="215" t="s">
        <v>422</v>
      </c>
      <c r="AQ349" s="217">
        <v>120.19158</v>
      </c>
      <c r="AR349" s="217" t="b">
        <v>0</v>
      </c>
      <c r="AS349" s="215" t="s">
        <v>534</v>
      </c>
      <c r="AU349" s="222" t="s">
        <v>819</v>
      </c>
    </row>
    <row r="350" spans="1:47" s="218" customFormat="1" x14ac:dyDescent="0.25">
      <c r="A350" s="245">
        <f t="shared" si="40"/>
        <v>445</v>
      </c>
      <c r="B350" s="246" t="str">
        <f t="shared" si="41"/>
        <v>Oil Field - Well</v>
      </c>
      <c r="C350" s="246" t="str">
        <f ca="1">IF(B350="","",VLOOKUP(D350,'Species Data'!B:E,4,FALSE))</f>
        <v>P_xylene</v>
      </c>
      <c r="D350" s="246">
        <f t="shared" ca="1" si="42"/>
        <v>648</v>
      </c>
      <c r="E350" s="246">
        <f t="shared" ca="1" si="43"/>
        <v>0.35620000000000002</v>
      </c>
      <c r="F350" s="246" t="str">
        <f t="shared" ca="1" si="44"/>
        <v>P-xylene</v>
      </c>
      <c r="G350" s="246">
        <f t="shared" ca="1" si="45"/>
        <v>106.16500000000001</v>
      </c>
      <c r="H350" s="204">
        <f ca="1">IF(G350="","",IF(VLOOKUP(Well_Head!F350,'Species Data'!D:F,3,FALSE)=0,"X",IF(G350&lt;44.1,2,1)))</f>
        <v>1</v>
      </c>
      <c r="I350" s="204">
        <f t="shared" ca="1" si="46"/>
        <v>8.6622328093956577E-2</v>
      </c>
      <c r="J350" s="247">
        <f ca="1">IF(I350="","",IF(COUNTIF($D$12:D350,D350)=1,IF(H350=1,I350*H350,IF(H350="X","X",0)),0))</f>
        <v>0</v>
      </c>
      <c r="K350" s="248">
        <f t="shared" ca="1" si="47"/>
        <v>0</v>
      </c>
      <c r="L350" s="239" t="s">
        <v>626</v>
      </c>
      <c r="M350" s="215" t="s">
        <v>448</v>
      </c>
      <c r="N350" s="215" t="s">
        <v>470</v>
      </c>
      <c r="O350" s="216">
        <v>41419</v>
      </c>
      <c r="P350" s="215" t="s">
        <v>531</v>
      </c>
      <c r="Q350" s="217">
        <v>100</v>
      </c>
      <c r="R350" s="215" t="s">
        <v>445</v>
      </c>
      <c r="S350" s="215" t="s">
        <v>532</v>
      </c>
      <c r="T350" s="215" t="s">
        <v>445</v>
      </c>
      <c r="U350" s="215" t="s">
        <v>446</v>
      </c>
      <c r="V350" s="217" t="b">
        <v>1</v>
      </c>
      <c r="W350" s="217">
        <v>1989</v>
      </c>
      <c r="X350" s="217">
        <v>5</v>
      </c>
      <c r="Y350" s="217">
        <v>2</v>
      </c>
      <c r="Z350" s="217">
        <v>4</v>
      </c>
      <c r="AA350" s="215" t="s">
        <v>447</v>
      </c>
      <c r="AB350" s="215" t="s">
        <v>531</v>
      </c>
      <c r="AC350" s="215" t="s">
        <v>533</v>
      </c>
      <c r="AD350" s="217">
        <v>2.2218420000000001</v>
      </c>
      <c r="AE350" s="217">
        <v>620</v>
      </c>
      <c r="AF350" s="217">
        <v>2.1999999999999999E-2</v>
      </c>
      <c r="AG350" s="217">
        <v>-99</v>
      </c>
      <c r="AH350" s="215" t="s">
        <v>224</v>
      </c>
      <c r="AI350" s="215" t="s">
        <v>449</v>
      </c>
      <c r="AJ350" s="215" t="s">
        <v>354</v>
      </c>
      <c r="AK350" s="215" t="s">
        <v>531</v>
      </c>
      <c r="AL350" s="215" t="s">
        <v>398</v>
      </c>
      <c r="AM350" s="217" t="b">
        <v>1</v>
      </c>
      <c r="AN350" s="217" t="b">
        <v>1</v>
      </c>
      <c r="AO350" s="215" t="s">
        <v>355</v>
      </c>
      <c r="AP350" s="215" t="s">
        <v>356</v>
      </c>
      <c r="AQ350" s="217">
        <v>106.16500000000001</v>
      </c>
      <c r="AR350" s="217" t="b">
        <v>0</v>
      </c>
      <c r="AS350" s="215" t="s">
        <v>534</v>
      </c>
      <c r="AU350" s="222" t="s">
        <v>819</v>
      </c>
    </row>
    <row r="351" spans="1:47" s="218" customFormat="1" x14ac:dyDescent="0.25">
      <c r="A351" s="245">
        <f t="shared" si="40"/>
        <v>446</v>
      </c>
      <c r="B351" s="246" t="str">
        <f t="shared" si="41"/>
        <v>Oil Field - Well</v>
      </c>
      <c r="C351" s="246" t="str">
        <f ca="1">IF(B351="","",VLOOKUP(D351,'Species Data'!B:E,4,FALSE))</f>
        <v>propane</v>
      </c>
      <c r="D351" s="246">
        <f t="shared" ca="1" si="42"/>
        <v>671</v>
      </c>
      <c r="E351" s="246">
        <f t="shared" ca="1" si="43"/>
        <v>11.3004</v>
      </c>
      <c r="F351" s="246" t="str">
        <f t="shared" ca="1" si="44"/>
        <v>Propane</v>
      </c>
      <c r="G351" s="246">
        <f t="shared" ca="1" si="45"/>
        <v>44.095619999999997</v>
      </c>
      <c r="H351" s="204">
        <f ca="1">IF(G351="","",IF(VLOOKUP(Well_Head!F351,'Species Data'!D:F,3,FALSE)=0,"X",IF(G351&lt;44.1,2,1)))</f>
        <v>2</v>
      </c>
      <c r="I351" s="204">
        <f t="shared" ca="1" si="46"/>
        <v>8.8717997321996727</v>
      </c>
      <c r="J351" s="247">
        <f ca="1">IF(I351="","",IF(COUNTIF($D$12:D351,D351)=1,IF(H351=1,I351*H351,IF(H351="X","X",0)),0))</f>
        <v>0</v>
      </c>
      <c r="K351" s="248">
        <f t="shared" ca="1" si="47"/>
        <v>0</v>
      </c>
      <c r="L351" s="239" t="s">
        <v>626</v>
      </c>
      <c r="M351" s="215" t="s">
        <v>448</v>
      </c>
      <c r="N351" s="215" t="s">
        <v>470</v>
      </c>
      <c r="O351" s="216">
        <v>41419</v>
      </c>
      <c r="P351" s="215" t="s">
        <v>531</v>
      </c>
      <c r="Q351" s="217">
        <v>100</v>
      </c>
      <c r="R351" s="215" t="s">
        <v>445</v>
      </c>
      <c r="S351" s="215" t="s">
        <v>532</v>
      </c>
      <c r="T351" s="215" t="s">
        <v>445</v>
      </c>
      <c r="U351" s="215" t="s">
        <v>446</v>
      </c>
      <c r="V351" s="217" t="b">
        <v>1</v>
      </c>
      <c r="W351" s="217">
        <v>1989</v>
      </c>
      <c r="X351" s="217">
        <v>5</v>
      </c>
      <c r="Y351" s="217">
        <v>2</v>
      </c>
      <c r="Z351" s="217">
        <v>4</v>
      </c>
      <c r="AA351" s="215" t="s">
        <v>447</v>
      </c>
      <c r="AB351" s="215" t="s">
        <v>531</v>
      </c>
      <c r="AC351" s="215" t="s">
        <v>533</v>
      </c>
      <c r="AD351" s="217">
        <v>2.2218420000000001</v>
      </c>
      <c r="AE351" s="217">
        <v>648</v>
      </c>
      <c r="AF351" s="217">
        <v>5.9200000000000003E-2</v>
      </c>
      <c r="AG351" s="217">
        <v>-99</v>
      </c>
      <c r="AH351" s="215" t="s">
        <v>224</v>
      </c>
      <c r="AI351" s="215" t="s">
        <v>449</v>
      </c>
      <c r="AJ351" s="215" t="s">
        <v>433</v>
      </c>
      <c r="AK351" s="215" t="s">
        <v>531</v>
      </c>
      <c r="AL351" s="215" t="s">
        <v>459</v>
      </c>
      <c r="AM351" s="217" t="b">
        <v>0</v>
      </c>
      <c r="AN351" s="217" t="b">
        <v>1</v>
      </c>
      <c r="AO351" s="215" t="s">
        <v>434</v>
      </c>
      <c r="AP351" s="215" t="s">
        <v>435</v>
      </c>
      <c r="AQ351" s="217">
        <v>106.16500000000001</v>
      </c>
      <c r="AR351" s="217" t="b">
        <v>0</v>
      </c>
      <c r="AS351" s="215" t="s">
        <v>534</v>
      </c>
      <c r="AU351" s="222" t="s">
        <v>819</v>
      </c>
    </row>
    <row r="352" spans="1:47" s="218" customFormat="1" x14ac:dyDescent="0.25">
      <c r="A352" s="245">
        <f t="shared" si="40"/>
        <v>447</v>
      </c>
      <c r="B352" s="246" t="str">
        <f t="shared" si="41"/>
        <v>Oil Field - Well</v>
      </c>
      <c r="C352" s="246" t="str">
        <f ca="1">IF(B352="","",VLOOKUP(D352,'Species Data'!B:E,4,FALSE))</f>
        <v>T_butben</v>
      </c>
      <c r="D352" s="246">
        <f t="shared" ca="1" si="42"/>
        <v>703</v>
      </c>
      <c r="E352" s="246">
        <f t="shared" ca="1" si="43"/>
        <v>0.25219999999999998</v>
      </c>
      <c r="F352" s="246" t="str">
        <f t="shared" ca="1" si="44"/>
        <v>T-butylbenzene</v>
      </c>
      <c r="G352" s="246">
        <f t="shared" ca="1" si="45"/>
        <v>134.21816000000001</v>
      </c>
      <c r="H352" s="204" t="str">
        <f ca="1">IF(G352="","",IF(VLOOKUP(Well_Head!F352,'Species Data'!D:F,3,FALSE)=0,"X",IF(G352&lt;44.1,2,1)))</f>
        <v>X</v>
      </c>
      <c r="I352" s="204">
        <f t="shared" ca="1" si="46"/>
        <v>0.15110018467800349</v>
      </c>
      <c r="J352" s="247">
        <f ca="1">IF(I352="","",IF(COUNTIF($D$12:D352,D352)=1,IF(H352=1,I352*H352,IF(H352="X","X",0)),0))</f>
        <v>0</v>
      </c>
      <c r="K352" s="248">
        <f t="shared" ca="1" si="47"/>
        <v>0</v>
      </c>
      <c r="L352" s="239" t="s">
        <v>626</v>
      </c>
      <c r="M352" s="215" t="s">
        <v>448</v>
      </c>
      <c r="N352" s="215" t="s">
        <v>470</v>
      </c>
      <c r="O352" s="216">
        <v>41419</v>
      </c>
      <c r="P352" s="215" t="s">
        <v>531</v>
      </c>
      <c r="Q352" s="217">
        <v>100</v>
      </c>
      <c r="R352" s="215" t="s">
        <v>445</v>
      </c>
      <c r="S352" s="215" t="s">
        <v>532</v>
      </c>
      <c r="T352" s="215" t="s">
        <v>445</v>
      </c>
      <c r="U352" s="215" t="s">
        <v>446</v>
      </c>
      <c r="V352" s="217" t="b">
        <v>1</v>
      </c>
      <c r="W352" s="217">
        <v>1989</v>
      </c>
      <c r="X352" s="217">
        <v>5</v>
      </c>
      <c r="Y352" s="217">
        <v>2</v>
      </c>
      <c r="Z352" s="217">
        <v>4</v>
      </c>
      <c r="AA352" s="215" t="s">
        <v>447</v>
      </c>
      <c r="AB352" s="215" t="s">
        <v>531</v>
      </c>
      <c r="AC352" s="215" t="s">
        <v>533</v>
      </c>
      <c r="AD352" s="217">
        <v>2.2218420000000001</v>
      </c>
      <c r="AE352" s="217">
        <v>671</v>
      </c>
      <c r="AF352" s="217">
        <v>13.3879</v>
      </c>
      <c r="AG352" s="217">
        <v>-99</v>
      </c>
      <c r="AH352" s="215" t="s">
        <v>224</v>
      </c>
      <c r="AI352" s="215" t="s">
        <v>449</v>
      </c>
      <c r="AJ352" s="215" t="s">
        <v>288</v>
      </c>
      <c r="AK352" s="215" t="s">
        <v>531</v>
      </c>
      <c r="AL352" s="215" t="s">
        <v>382</v>
      </c>
      <c r="AM352" s="217" t="b">
        <v>1</v>
      </c>
      <c r="AN352" s="217" t="b">
        <v>0</v>
      </c>
      <c r="AO352" s="215" t="s">
        <v>289</v>
      </c>
      <c r="AP352" s="215" t="s">
        <v>290</v>
      </c>
      <c r="AQ352" s="217">
        <v>44.095619999999997</v>
      </c>
      <c r="AR352" s="217" t="b">
        <v>0</v>
      </c>
      <c r="AS352" s="215" t="s">
        <v>534</v>
      </c>
      <c r="AU352" s="222" t="s">
        <v>819</v>
      </c>
    </row>
    <row r="353" spans="1:47" s="218" customFormat="1" x14ac:dyDescent="0.25">
      <c r="A353" s="245">
        <f t="shared" si="40"/>
        <v>448</v>
      </c>
      <c r="B353" s="246" t="str">
        <f t="shared" si="41"/>
        <v>Oil Field - Well</v>
      </c>
      <c r="C353" s="246" t="str">
        <f ca="1">IF(B353="","",VLOOKUP(D353,'Species Data'!B:E,4,FALSE))</f>
        <v>toluene</v>
      </c>
      <c r="D353" s="246">
        <f t="shared" ca="1" si="42"/>
        <v>717</v>
      </c>
      <c r="E353" s="246">
        <f t="shared" ca="1" si="43"/>
        <v>2.8142999999999998</v>
      </c>
      <c r="F353" s="246" t="str">
        <f t="shared" ca="1" si="44"/>
        <v>Toluene</v>
      </c>
      <c r="G353" s="246">
        <f t="shared" ca="1" si="45"/>
        <v>92.138419999999996</v>
      </c>
      <c r="H353" s="204">
        <f ca="1">IF(G353="","",IF(VLOOKUP(Well_Head!F353,'Species Data'!D:F,3,FALSE)=0,"X",IF(G353&lt;44.1,2,1)))</f>
        <v>1</v>
      </c>
      <c r="I353" s="204">
        <f t="shared" ca="1" si="46"/>
        <v>0.47057835292909805</v>
      </c>
      <c r="J353" s="247">
        <f ca="1">IF(I353="","",IF(COUNTIF($D$12:D353,D353)=1,IF(H353=1,I353*H353,IF(H353="X","X",0)),0))</f>
        <v>0</v>
      </c>
      <c r="K353" s="248">
        <f t="shared" ca="1" si="47"/>
        <v>0</v>
      </c>
      <c r="L353" s="239" t="s">
        <v>626</v>
      </c>
      <c r="M353" s="215" t="s">
        <v>448</v>
      </c>
      <c r="N353" s="215" t="s">
        <v>470</v>
      </c>
      <c r="O353" s="216">
        <v>41419</v>
      </c>
      <c r="P353" s="215" t="s">
        <v>531</v>
      </c>
      <c r="Q353" s="217">
        <v>100</v>
      </c>
      <c r="R353" s="215" t="s">
        <v>445</v>
      </c>
      <c r="S353" s="215" t="s">
        <v>532</v>
      </c>
      <c r="T353" s="215" t="s">
        <v>445</v>
      </c>
      <c r="U353" s="215" t="s">
        <v>446</v>
      </c>
      <c r="V353" s="217" t="b">
        <v>1</v>
      </c>
      <c r="W353" s="217">
        <v>1989</v>
      </c>
      <c r="X353" s="217">
        <v>5</v>
      </c>
      <c r="Y353" s="217">
        <v>2</v>
      </c>
      <c r="Z353" s="217">
        <v>4</v>
      </c>
      <c r="AA353" s="215" t="s">
        <v>447</v>
      </c>
      <c r="AB353" s="215" t="s">
        <v>531</v>
      </c>
      <c r="AC353" s="215" t="s">
        <v>533</v>
      </c>
      <c r="AD353" s="217">
        <v>2.2218420000000001</v>
      </c>
      <c r="AE353" s="217">
        <v>717</v>
      </c>
      <c r="AF353" s="217">
        <v>0.13700000000000001</v>
      </c>
      <c r="AG353" s="217">
        <v>-99</v>
      </c>
      <c r="AH353" s="215" t="s">
        <v>224</v>
      </c>
      <c r="AI353" s="215" t="s">
        <v>449</v>
      </c>
      <c r="AJ353" s="215" t="s">
        <v>294</v>
      </c>
      <c r="AK353" s="215" t="s">
        <v>531</v>
      </c>
      <c r="AL353" s="215" t="s">
        <v>383</v>
      </c>
      <c r="AM353" s="217" t="b">
        <v>1</v>
      </c>
      <c r="AN353" s="217" t="b">
        <v>1</v>
      </c>
      <c r="AO353" s="215" t="s">
        <v>295</v>
      </c>
      <c r="AP353" s="215" t="s">
        <v>296</v>
      </c>
      <c r="AQ353" s="217">
        <v>92.138419999999996</v>
      </c>
      <c r="AR353" s="217" t="b">
        <v>0</v>
      </c>
      <c r="AS353" s="215" t="s">
        <v>534</v>
      </c>
      <c r="AU353" s="222" t="s">
        <v>819</v>
      </c>
    </row>
    <row r="354" spans="1:47" s="218" customFormat="1" x14ac:dyDescent="0.25">
      <c r="A354" s="245">
        <f t="shared" si="40"/>
        <v>449</v>
      </c>
      <c r="B354" s="246" t="str">
        <f t="shared" si="41"/>
        <v>Oil Field - Well</v>
      </c>
      <c r="C354" s="246" t="str">
        <f ca="1">IF(B354="","",VLOOKUP(D354,'Species Data'!B:E,4,FALSE))</f>
        <v>betben</v>
      </c>
      <c r="D354" s="246">
        <f t="shared" ca="1" si="42"/>
        <v>981</v>
      </c>
      <c r="E354" s="246">
        <f t="shared" ca="1" si="43"/>
        <v>0.17519999999999999</v>
      </c>
      <c r="F354" s="246" t="str">
        <f t="shared" ca="1" si="44"/>
        <v>Butylbenzene</v>
      </c>
      <c r="G354" s="246">
        <f t="shared" ca="1" si="45"/>
        <v>134.21816000000001</v>
      </c>
      <c r="H354" s="204">
        <f ca="1">IF(G354="","",IF(VLOOKUP(Well_Head!F354,'Species Data'!D:F,3,FALSE)=0,"X",IF(G354&lt;44.1,2,1)))</f>
        <v>1</v>
      </c>
      <c r="I354" s="204">
        <f t="shared" ca="1" si="46"/>
        <v>6.3200077244538855E-2</v>
      </c>
      <c r="J354" s="247">
        <f ca="1">IF(I354="","",IF(COUNTIF($D$12:D354,D354)=1,IF(H354=1,I354*H354,IF(H354="X","X",0)),0))</f>
        <v>0</v>
      </c>
      <c r="K354" s="248">
        <f t="shared" ca="1" si="47"/>
        <v>0</v>
      </c>
      <c r="L354" s="239" t="s">
        <v>626</v>
      </c>
      <c r="M354" s="215" t="s">
        <v>448</v>
      </c>
      <c r="N354" s="215" t="s">
        <v>470</v>
      </c>
      <c r="O354" s="216">
        <v>41419</v>
      </c>
      <c r="P354" s="215" t="s">
        <v>531</v>
      </c>
      <c r="Q354" s="217">
        <v>100</v>
      </c>
      <c r="R354" s="215" t="s">
        <v>445</v>
      </c>
      <c r="S354" s="215" t="s">
        <v>532</v>
      </c>
      <c r="T354" s="215" t="s">
        <v>445</v>
      </c>
      <c r="U354" s="215" t="s">
        <v>446</v>
      </c>
      <c r="V354" s="217" t="b">
        <v>1</v>
      </c>
      <c r="W354" s="217">
        <v>1989</v>
      </c>
      <c r="X354" s="217">
        <v>5</v>
      </c>
      <c r="Y354" s="217">
        <v>2</v>
      </c>
      <c r="Z354" s="217">
        <v>4</v>
      </c>
      <c r="AA354" s="215" t="s">
        <v>447</v>
      </c>
      <c r="AB354" s="215" t="s">
        <v>531</v>
      </c>
      <c r="AC354" s="215" t="s">
        <v>533</v>
      </c>
      <c r="AD354" s="217">
        <v>2.2218420000000001</v>
      </c>
      <c r="AE354" s="217">
        <v>981</v>
      </c>
      <c r="AF354" s="217">
        <v>2E-3</v>
      </c>
      <c r="AG354" s="217">
        <v>-99</v>
      </c>
      <c r="AH354" s="215" t="s">
        <v>224</v>
      </c>
      <c r="AI354" s="215" t="s">
        <v>449</v>
      </c>
      <c r="AJ354" s="215" t="s">
        <v>645</v>
      </c>
      <c r="AK354" s="215" t="s">
        <v>531</v>
      </c>
      <c r="AL354" s="215" t="s">
        <v>531</v>
      </c>
      <c r="AM354" s="217" t="b">
        <v>0</v>
      </c>
      <c r="AN354" s="217" t="b">
        <v>0</v>
      </c>
      <c r="AO354" s="215" t="s">
        <v>646</v>
      </c>
      <c r="AP354" s="215" t="s">
        <v>647</v>
      </c>
      <c r="AQ354" s="217">
        <v>134.21816000000001</v>
      </c>
      <c r="AR354" s="217" t="b">
        <v>0</v>
      </c>
      <c r="AS354" s="215" t="s">
        <v>534</v>
      </c>
      <c r="AU354" s="222" t="s">
        <v>819</v>
      </c>
    </row>
    <row r="355" spans="1:47" s="218" customFormat="1" x14ac:dyDescent="0.25">
      <c r="A355" s="245">
        <f t="shared" si="40"/>
        <v>450</v>
      </c>
      <c r="B355" s="246" t="str">
        <f t="shared" si="41"/>
        <v>Oil Field - Well</v>
      </c>
      <c r="C355" s="246" t="str">
        <f ca="1">IF(B355="","",VLOOKUP(D355,'Species Data'!B:E,4,FALSE))</f>
        <v>c10_comp</v>
      </c>
      <c r="D355" s="246">
        <f t="shared" ca="1" si="42"/>
        <v>1924</v>
      </c>
      <c r="E355" s="246">
        <f t="shared" ca="1" si="43"/>
        <v>5.1143999999999998</v>
      </c>
      <c r="F355" s="246" t="str">
        <f t="shared" ca="1" si="44"/>
        <v>C-10 Compounds</v>
      </c>
      <c r="G355" s="246">
        <f t="shared" ca="1" si="45"/>
        <v>142.28167999999999</v>
      </c>
      <c r="H355" s="204" t="str">
        <f ca="1">IF(G355="","",IF(VLOOKUP(Well_Head!F355,'Species Data'!D:F,3,FALSE)=0,"X",IF(G355&lt;44.1,2,1)))</f>
        <v>X</v>
      </c>
      <c r="I355" s="204">
        <f t="shared" ca="1" si="46"/>
        <v>2.3240139515726077</v>
      </c>
      <c r="J355" s="247">
        <f ca="1">IF(I355="","",IF(COUNTIF($D$12:D355,D355)=1,IF(H355=1,I355*H355,IF(H355="X","X",0)),0))</f>
        <v>0</v>
      </c>
      <c r="K355" s="248">
        <f t="shared" ca="1" si="47"/>
        <v>0</v>
      </c>
      <c r="L355" s="239" t="s">
        <v>626</v>
      </c>
      <c r="M355" s="215" t="s">
        <v>448</v>
      </c>
      <c r="N355" s="215" t="s">
        <v>470</v>
      </c>
      <c r="O355" s="216">
        <v>41419</v>
      </c>
      <c r="P355" s="215" t="s">
        <v>531</v>
      </c>
      <c r="Q355" s="217">
        <v>100</v>
      </c>
      <c r="R355" s="215" t="s">
        <v>445</v>
      </c>
      <c r="S355" s="215" t="s">
        <v>532</v>
      </c>
      <c r="T355" s="215" t="s">
        <v>445</v>
      </c>
      <c r="U355" s="215" t="s">
        <v>446</v>
      </c>
      <c r="V355" s="217" t="b">
        <v>1</v>
      </c>
      <c r="W355" s="217">
        <v>1989</v>
      </c>
      <c r="X355" s="217">
        <v>5</v>
      </c>
      <c r="Y355" s="217">
        <v>2</v>
      </c>
      <c r="Z355" s="217">
        <v>4</v>
      </c>
      <c r="AA355" s="215" t="s">
        <v>447</v>
      </c>
      <c r="AB355" s="215" t="s">
        <v>531</v>
      </c>
      <c r="AC355" s="215" t="s">
        <v>533</v>
      </c>
      <c r="AD355" s="217">
        <v>2.2218420000000001</v>
      </c>
      <c r="AE355" s="217">
        <v>1924</v>
      </c>
      <c r="AF355" s="217">
        <v>3.0200000000000001E-2</v>
      </c>
      <c r="AG355" s="217">
        <v>-99</v>
      </c>
      <c r="AH355" s="215" t="s">
        <v>224</v>
      </c>
      <c r="AI355" s="215" t="s">
        <v>449</v>
      </c>
      <c r="AJ355" s="215" t="s">
        <v>224</v>
      </c>
      <c r="AK355" s="215" t="s">
        <v>531</v>
      </c>
      <c r="AL355" s="215" t="s">
        <v>466</v>
      </c>
      <c r="AM355" s="217" t="b">
        <v>0</v>
      </c>
      <c r="AN355" s="217" t="b">
        <v>0</v>
      </c>
      <c r="AO355" s="215" t="s">
        <v>535</v>
      </c>
      <c r="AP355" s="215" t="s">
        <v>536</v>
      </c>
      <c r="AQ355" s="217">
        <v>142.28167999999999</v>
      </c>
      <c r="AR355" s="217" t="b">
        <v>0</v>
      </c>
      <c r="AS355" s="215" t="s">
        <v>534</v>
      </c>
      <c r="AU355" s="222" t="s">
        <v>819</v>
      </c>
    </row>
    <row r="356" spans="1:47" s="218" customFormat="1" x14ac:dyDescent="0.25">
      <c r="A356" s="245">
        <f t="shared" si="40"/>
        <v>451</v>
      </c>
      <c r="B356" s="246" t="str">
        <f t="shared" si="41"/>
        <v>Oil Field - Well</v>
      </c>
      <c r="C356" s="246" t="str">
        <f ca="1">IF(B356="","",VLOOKUP(D356,'Species Data'!B:E,4,FALSE))</f>
        <v>c11_comp</v>
      </c>
      <c r="D356" s="246">
        <f t="shared" ca="1" si="42"/>
        <v>1929</v>
      </c>
      <c r="E356" s="246">
        <f t="shared" ca="1" si="43"/>
        <v>1.7402</v>
      </c>
      <c r="F356" s="246" t="str">
        <f t="shared" ca="1" si="44"/>
        <v>C-11 Compounds</v>
      </c>
      <c r="G356" s="246">
        <f t="shared" ca="1" si="45"/>
        <v>156.30826000000002</v>
      </c>
      <c r="H356" s="204" t="str">
        <f ca="1">IF(G356="","",IF(VLOOKUP(Well_Head!F356,'Species Data'!D:F,3,FALSE)=0,"X",IF(G356&lt;44.1,2,1)))</f>
        <v>X</v>
      </c>
      <c r="I356" s="204">
        <f t="shared" ca="1" si="46"/>
        <v>0.83128990490988375</v>
      </c>
      <c r="J356" s="247">
        <f ca="1">IF(I356="","",IF(COUNTIF($D$12:D356,D356)=1,IF(H356=1,I356*H356,IF(H356="X","X",0)),0))</f>
        <v>0</v>
      </c>
      <c r="K356" s="248">
        <f t="shared" ca="1" si="47"/>
        <v>0</v>
      </c>
      <c r="L356" s="239" t="s">
        <v>626</v>
      </c>
      <c r="M356" s="215" t="s">
        <v>448</v>
      </c>
      <c r="N356" s="215" t="s">
        <v>470</v>
      </c>
      <c r="O356" s="216">
        <v>41419</v>
      </c>
      <c r="P356" s="215" t="s">
        <v>531</v>
      </c>
      <c r="Q356" s="217">
        <v>100</v>
      </c>
      <c r="R356" s="215" t="s">
        <v>445</v>
      </c>
      <c r="S356" s="215" t="s">
        <v>532</v>
      </c>
      <c r="T356" s="215" t="s">
        <v>445</v>
      </c>
      <c r="U356" s="215" t="s">
        <v>446</v>
      </c>
      <c r="V356" s="217" t="b">
        <v>1</v>
      </c>
      <c r="W356" s="217">
        <v>1989</v>
      </c>
      <c r="X356" s="217">
        <v>5</v>
      </c>
      <c r="Y356" s="217">
        <v>2</v>
      </c>
      <c r="Z356" s="217">
        <v>4</v>
      </c>
      <c r="AA356" s="215" t="s">
        <v>447</v>
      </c>
      <c r="AB356" s="215" t="s">
        <v>531</v>
      </c>
      <c r="AC356" s="215" t="s">
        <v>533</v>
      </c>
      <c r="AD356" s="217">
        <v>2.2218420000000001</v>
      </c>
      <c r="AE356" s="217">
        <v>1929</v>
      </c>
      <c r="AF356" s="217">
        <v>5.5999999999999999E-3</v>
      </c>
      <c r="AG356" s="217">
        <v>-99</v>
      </c>
      <c r="AH356" s="215" t="s">
        <v>224</v>
      </c>
      <c r="AI356" s="215" t="s">
        <v>449</v>
      </c>
      <c r="AJ356" s="215" t="s">
        <v>224</v>
      </c>
      <c r="AK356" s="215" t="s">
        <v>531</v>
      </c>
      <c r="AL356" s="215" t="s">
        <v>467</v>
      </c>
      <c r="AM356" s="217" t="b">
        <v>0</v>
      </c>
      <c r="AN356" s="217" t="b">
        <v>0</v>
      </c>
      <c r="AO356" s="215" t="s">
        <v>468</v>
      </c>
      <c r="AP356" s="215" t="s">
        <v>469</v>
      </c>
      <c r="AQ356" s="217">
        <v>156.30826000000002</v>
      </c>
      <c r="AR356" s="217" t="b">
        <v>0</v>
      </c>
      <c r="AS356" s="215" t="s">
        <v>534</v>
      </c>
      <c r="AU356" s="222" t="s">
        <v>819</v>
      </c>
    </row>
    <row r="357" spans="1:47" s="218" customFormat="1" x14ac:dyDescent="0.25">
      <c r="A357" s="245">
        <f t="shared" si="40"/>
        <v>452</v>
      </c>
      <c r="B357" s="246" t="str">
        <f t="shared" si="41"/>
        <v>Oil Field - Well</v>
      </c>
      <c r="C357" s="246" t="str">
        <f ca="1">IF(B357="","",VLOOKUP(D357,'Species Data'!B:E,4,FALSE))</f>
        <v>c5_comp</v>
      </c>
      <c r="D357" s="246">
        <f t="shared" ca="1" si="42"/>
        <v>1986</v>
      </c>
      <c r="E357" s="246">
        <f t="shared" ca="1" si="43"/>
        <v>0.60619999999999996</v>
      </c>
      <c r="F357" s="246" t="str">
        <f t="shared" ca="1" si="44"/>
        <v>C-5 Compounds</v>
      </c>
      <c r="G357" s="246">
        <f t="shared" ca="1" si="45"/>
        <v>72.148780000000002</v>
      </c>
      <c r="H357" s="204" t="str">
        <f ca="1">IF(G357="","",IF(VLOOKUP(Well_Head!F357,'Species Data'!D:F,3,FALSE)=0,"X",IF(G357&lt;44.1,2,1)))</f>
        <v>X</v>
      </c>
      <c r="I357" s="204">
        <f t="shared" ca="1" si="46"/>
        <v>0.76984538536658209</v>
      </c>
      <c r="J357" s="247">
        <f ca="1">IF(I357="","",IF(COUNTIF($D$12:D357,D357)=1,IF(H357=1,I357*H357,IF(H357="X","X",0)),0))</f>
        <v>0</v>
      </c>
      <c r="K357" s="248">
        <f t="shared" ca="1" si="47"/>
        <v>0</v>
      </c>
      <c r="L357" s="239" t="s">
        <v>626</v>
      </c>
      <c r="M357" s="215" t="s">
        <v>448</v>
      </c>
      <c r="N357" s="215" t="s">
        <v>470</v>
      </c>
      <c r="O357" s="216">
        <v>41419</v>
      </c>
      <c r="P357" s="215" t="s">
        <v>531</v>
      </c>
      <c r="Q357" s="217">
        <v>100</v>
      </c>
      <c r="R357" s="215" t="s">
        <v>445</v>
      </c>
      <c r="S357" s="215" t="s">
        <v>532</v>
      </c>
      <c r="T357" s="215" t="s">
        <v>445</v>
      </c>
      <c r="U357" s="215" t="s">
        <v>446</v>
      </c>
      <c r="V357" s="217" t="b">
        <v>1</v>
      </c>
      <c r="W357" s="217">
        <v>1989</v>
      </c>
      <c r="X357" s="217">
        <v>5</v>
      </c>
      <c r="Y357" s="217">
        <v>2</v>
      </c>
      <c r="Z357" s="217">
        <v>4</v>
      </c>
      <c r="AA357" s="215" t="s">
        <v>447</v>
      </c>
      <c r="AB357" s="215" t="s">
        <v>531</v>
      </c>
      <c r="AC357" s="215" t="s">
        <v>533</v>
      </c>
      <c r="AD357" s="217">
        <v>2.2218420000000001</v>
      </c>
      <c r="AE357" s="217">
        <v>1986</v>
      </c>
      <c r="AF357" s="217">
        <v>0.5484</v>
      </c>
      <c r="AG357" s="217">
        <v>-99</v>
      </c>
      <c r="AH357" s="215" t="s">
        <v>224</v>
      </c>
      <c r="AI357" s="215" t="s">
        <v>449</v>
      </c>
      <c r="AJ357" s="215" t="s">
        <v>224</v>
      </c>
      <c r="AK357" s="215" t="s">
        <v>531</v>
      </c>
      <c r="AL357" s="215" t="s">
        <v>537</v>
      </c>
      <c r="AM357" s="217" t="b">
        <v>0</v>
      </c>
      <c r="AN357" s="217" t="b">
        <v>0</v>
      </c>
      <c r="AO357" s="215" t="s">
        <v>538</v>
      </c>
      <c r="AP357" s="215" t="s">
        <v>539</v>
      </c>
      <c r="AQ357" s="217">
        <v>72.148780000000002</v>
      </c>
      <c r="AR357" s="217" t="b">
        <v>0</v>
      </c>
      <c r="AS357" s="215" t="s">
        <v>534</v>
      </c>
      <c r="AU357" s="222" t="s">
        <v>819</v>
      </c>
    </row>
    <row r="358" spans="1:47" s="218" customFormat="1" x14ac:dyDescent="0.25">
      <c r="A358" s="245">
        <f t="shared" si="40"/>
        <v>453</v>
      </c>
      <c r="B358" s="246" t="str">
        <f t="shared" si="41"/>
        <v>Oil Field - Well</v>
      </c>
      <c r="C358" s="246" t="str">
        <f ca="1">IF(B358="","",VLOOKUP(D358,'Species Data'!B:E,4,FALSE))</f>
        <v>c6_comp</v>
      </c>
      <c r="D358" s="246">
        <f t="shared" ca="1" si="42"/>
        <v>1999</v>
      </c>
      <c r="E358" s="246">
        <f t="shared" ca="1" si="43"/>
        <v>2.0726</v>
      </c>
      <c r="F358" s="246" t="str">
        <f t="shared" ca="1" si="44"/>
        <v>C-6 Compounds</v>
      </c>
      <c r="G358" s="246">
        <f t="shared" ca="1" si="45"/>
        <v>86.175359999999998</v>
      </c>
      <c r="H358" s="204" t="str">
        <f ca="1">IF(G358="","",IF(VLOOKUP(Well_Head!F358,'Species Data'!D:F,3,FALSE)=0,"X",IF(G358&lt;44.1,2,1)))</f>
        <v>X</v>
      </c>
      <c r="I358" s="204">
        <f t="shared" ca="1" si="46"/>
        <v>2.1343803864649171</v>
      </c>
      <c r="J358" s="247">
        <f ca="1">IF(I358="","",IF(COUNTIF($D$12:D358,D358)=1,IF(H358=1,I358*H358,IF(H358="X","X",0)),0))</f>
        <v>0</v>
      </c>
      <c r="K358" s="248">
        <f t="shared" ca="1" si="47"/>
        <v>0</v>
      </c>
      <c r="L358" s="239" t="s">
        <v>626</v>
      </c>
      <c r="M358" s="215" t="s">
        <v>448</v>
      </c>
      <c r="N358" s="215" t="s">
        <v>470</v>
      </c>
      <c r="O358" s="216">
        <v>41419</v>
      </c>
      <c r="P358" s="215" t="s">
        <v>531</v>
      </c>
      <c r="Q358" s="217">
        <v>100</v>
      </c>
      <c r="R358" s="215" t="s">
        <v>445</v>
      </c>
      <c r="S358" s="215" t="s">
        <v>532</v>
      </c>
      <c r="T358" s="215" t="s">
        <v>445</v>
      </c>
      <c r="U358" s="215" t="s">
        <v>446</v>
      </c>
      <c r="V358" s="217" t="b">
        <v>1</v>
      </c>
      <c r="W358" s="217">
        <v>1989</v>
      </c>
      <c r="X358" s="217">
        <v>5</v>
      </c>
      <c r="Y358" s="217">
        <v>2</v>
      </c>
      <c r="Z358" s="217">
        <v>4</v>
      </c>
      <c r="AA358" s="215" t="s">
        <v>447</v>
      </c>
      <c r="AB358" s="215" t="s">
        <v>531</v>
      </c>
      <c r="AC358" s="215" t="s">
        <v>533</v>
      </c>
      <c r="AD358" s="217">
        <v>2.2218420000000001</v>
      </c>
      <c r="AE358" s="217">
        <v>1999</v>
      </c>
      <c r="AF358" s="217">
        <v>3.7219000000000002</v>
      </c>
      <c r="AG358" s="217">
        <v>-99</v>
      </c>
      <c r="AH358" s="215" t="s">
        <v>224</v>
      </c>
      <c r="AI358" s="215" t="s">
        <v>449</v>
      </c>
      <c r="AJ358" s="215" t="s">
        <v>224</v>
      </c>
      <c r="AK358" s="215" t="s">
        <v>531</v>
      </c>
      <c r="AL358" s="215" t="s">
        <v>540</v>
      </c>
      <c r="AM358" s="217" t="b">
        <v>0</v>
      </c>
      <c r="AN358" s="217" t="b">
        <v>0</v>
      </c>
      <c r="AO358" s="215" t="s">
        <v>541</v>
      </c>
      <c r="AP358" s="215" t="s">
        <v>542</v>
      </c>
      <c r="AQ358" s="217">
        <v>86.175359999999998</v>
      </c>
      <c r="AR358" s="217" t="b">
        <v>0</v>
      </c>
      <c r="AS358" s="215" t="s">
        <v>534</v>
      </c>
      <c r="AU358" s="222" t="s">
        <v>819</v>
      </c>
    </row>
    <row r="359" spans="1:47" s="218" customFormat="1" x14ac:dyDescent="0.25">
      <c r="A359" s="245">
        <f t="shared" ref="A359:A422" si="48">IF(B359="","",A358+1)</f>
        <v>454</v>
      </c>
      <c r="B359" s="246" t="str">
        <f t="shared" si="41"/>
        <v>Oil Field - Well</v>
      </c>
      <c r="C359" s="246" t="str">
        <f ca="1">IF(B359="","",VLOOKUP(D359,'Species Data'!B:E,4,FALSE))</f>
        <v>c7_comp</v>
      </c>
      <c r="D359" s="246">
        <f t="shared" ca="1" si="42"/>
        <v>2005</v>
      </c>
      <c r="E359" s="246">
        <f t="shared" ca="1" si="43"/>
        <v>2.4994999999999998</v>
      </c>
      <c r="F359" s="246" t="str">
        <f t="shared" ca="1" si="44"/>
        <v>C-7 Compounds</v>
      </c>
      <c r="G359" s="246">
        <f t="shared" ca="1" si="45"/>
        <v>100.20194000000001</v>
      </c>
      <c r="H359" s="204" t="str">
        <f ca="1">IF(G359="","",IF(VLOOKUP(Well_Head!F359,'Species Data'!D:F,3,FALSE)=0,"X",IF(G359&lt;44.1,2,1)))</f>
        <v>X</v>
      </c>
      <c r="I359" s="204">
        <f t="shared" ca="1" si="46"/>
        <v>4.8450170327985953</v>
      </c>
      <c r="J359" s="247">
        <f ca="1">IF(I359="","",IF(COUNTIF($D$12:D359,D359)=1,IF(H359=1,I359*H359,IF(H359="X","X",0)),0))</f>
        <v>0</v>
      </c>
      <c r="K359" s="248">
        <f t="shared" ca="1" si="47"/>
        <v>0</v>
      </c>
      <c r="L359" s="239" t="s">
        <v>626</v>
      </c>
      <c r="M359" s="215" t="s">
        <v>448</v>
      </c>
      <c r="N359" s="215" t="s">
        <v>470</v>
      </c>
      <c r="O359" s="216">
        <v>41419</v>
      </c>
      <c r="P359" s="215" t="s">
        <v>531</v>
      </c>
      <c r="Q359" s="217">
        <v>100</v>
      </c>
      <c r="R359" s="215" t="s">
        <v>445</v>
      </c>
      <c r="S359" s="215" t="s">
        <v>532</v>
      </c>
      <c r="T359" s="215" t="s">
        <v>445</v>
      </c>
      <c r="U359" s="215" t="s">
        <v>446</v>
      </c>
      <c r="V359" s="217" t="b">
        <v>1</v>
      </c>
      <c r="W359" s="217">
        <v>1989</v>
      </c>
      <c r="X359" s="217">
        <v>5</v>
      </c>
      <c r="Y359" s="217">
        <v>2</v>
      </c>
      <c r="Z359" s="217">
        <v>4</v>
      </c>
      <c r="AA359" s="215" t="s">
        <v>447</v>
      </c>
      <c r="AB359" s="215" t="s">
        <v>531</v>
      </c>
      <c r="AC359" s="215" t="s">
        <v>533</v>
      </c>
      <c r="AD359" s="217">
        <v>2.2218420000000001</v>
      </c>
      <c r="AE359" s="217">
        <v>2005</v>
      </c>
      <c r="AF359" s="217">
        <v>1.0915999999999999</v>
      </c>
      <c r="AG359" s="217">
        <v>-99</v>
      </c>
      <c r="AH359" s="215" t="s">
        <v>224</v>
      </c>
      <c r="AI359" s="215" t="s">
        <v>449</v>
      </c>
      <c r="AJ359" s="215" t="s">
        <v>224</v>
      </c>
      <c r="AK359" s="215" t="s">
        <v>531</v>
      </c>
      <c r="AL359" s="215" t="s">
        <v>543</v>
      </c>
      <c r="AM359" s="217" t="b">
        <v>0</v>
      </c>
      <c r="AN359" s="217" t="b">
        <v>0</v>
      </c>
      <c r="AO359" s="215" t="s">
        <v>544</v>
      </c>
      <c r="AP359" s="215" t="s">
        <v>545</v>
      </c>
      <c r="AQ359" s="217">
        <v>100.20194000000001</v>
      </c>
      <c r="AR359" s="217" t="b">
        <v>0</v>
      </c>
      <c r="AS359" s="215" t="s">
        <v>534</v>
      </c>
      <c r="AU359" s="222" t="s">
        <v>819</v>
      </c>
    </row>
    <row r="360" spans="1:47" s="218" customFormat="1" x14ac:dyDescent="0.25">
      <c r="A360" s="245">
        <f t="shared" si="48"/>
        <v>455</v>
      </c>
      <c r="B360" s="246" t="str">
        <f t="shared" si="41"/>
        <v>Oil Field - Well</v>
      </c>
      <c r="C360" s="246" t="str">
        <f ca="1">IF(B360="","",VLOOKUP(D360,'Species Data'!B:E,4,FALSE))</f>
        <v>c8_comp</v>
      </c>
      <c r="D360" s="246">
        <f t="shared" ca="1" si="42"/>
        <v>2011</v>
      </c>
      <c r="E360" s="246">
        <f t="shared" ca="1" si="43"/>
        <v>5.4748000000000001</v>
      </c>
      <c r="F360" s="246" t="str">
        <f t="shared" ca="1" si="44"/>
        <v>C-8 Compounds</v>
      </c>
      <c r="G360" s="246">
        <f t="shared" ca="1" si="45"/>
        <v>113.21160686946486</v>
      </c>
      <c r="H360" s="204" t="str">
        <f ca="1">IF(G360="","",IF(VLOOKUP(Well_Head!F360,'Species Data'!D:F,3,FALSE)=0,"X",IF(G360&lt;44.1,2,1)))</f>
        <v>X</v>
      </c>
      <c r="I360" s="204">
        <f t="shared" ca="1" si="46"/>
        <v>5.0392950480272818</v>
      </c>
      <c r="J360" s="247">
        <f ca="1">IF(I360="","",IF(COUNTIF($D$12:D360,D360)=1,IF(H360=1,I360*H360,IF(H360="X","X",0)),0))</f>
        <v>0</v>
      </c>
      <c r="K360" s="248">
        <f t="shared" ca="1" si="47"/>
        <v>0</v>
      </c>
      <c r="L360" s="239" t="s">
        <v>626</v>
      </c>
      <c r="M360" s="215" t="s">
        <v>448</v>
      </c>
      <c r="N360" s="215" t="s">
        <v>470</v>
      </c>
      <c r="O360" s="216">
        <v>41419</v>
      </c>
      <c r="P360" s="215" t="s">
        <v>531</v>
      </c>
      <c r="Q360" s="217">
        <v>100</v>
      </c>
      <c r="R360" s="215" t="s">
        <v>445</v>
      </c>
      <c r="S360" s="215" t="s">
        <v>532</v>
      </c>
      <c r="T360" s="215" t="s">
        <v>445</v>
      </c>
      <c r="U360" s="215" t="s">
        <v>446</v>
      </c>
      <c r="V360" s="217" t="b">
        <v>1</v>
      </c>
      <c r="W360" s="217">
        <v>1989</v>
      </c>
      <c r="X360" s="217">
        <v>5</v>
      </c>
      <c r="Y360" s="217">
        <v>2</v>
      </c>
      <c r="Z360" s="217">
        <v>4</v>
      </c>
      <c r="AA360" s="215" t="s">
        <v>447</v>
      </c>
      <c r="AB360" s="215" t="s">
        <v>531</v>
      </c>
      <c r="AC360" s="215" t="s">
        <v>533</v>
      </c>
      <c r="AD360" s="217">
        <v>2.2218420000000001</v>
      </c>
      <c r="AE360" s="217">
        <v>2011</v>
      </c>
      <c r="AF360" s="217">
        <v>0.47520000000000001</v>
      </c>
      <c r="AG360" s="217">
        <v>-99</v>
      </c>
      <c r="AH360" s="215" t="s">
        <v>224</v>
      </c>
      <c r="AI360" s="215" t="s">
        <v>449</v>
      </c>
      <c r="AJ360" s="215" t="s">
        <v>224</v>
      </c>
      <c r="AK360" s="215" t="s">
        <v>531</v>
      </c>
      <c r="AL360" s="215" t="s">
        <v>546</v>
      </c>
      <c r="AM360" s="217" t="b">
        <v>0</v>
      </c>
      <c r="AN360" s="217" t="b">
        <v>0</v>
      </c>
      <c r="AO360" s="215" t="s">
        <v>547</v>
      </c>
      <c r="AP360" s="215" t="s">
        <v>548</v>
      </c>
      <c r="AQ360" s="217">
        <v>113.21160686946486</v>
      </c>
      <c r="AR360" s="217" t="b">
        <v>0</v>
      </c>
      <c r="AS360" s="215" t="s">
        <v>534</v>
      </c>
      <c r="AU360" s="222" t="s">
        <v>819</v>
      </c>
    </row>
    <row r="361" spans="1:47" s="218" customFormat="1" x14ac:dyDescent="0.25">
      <c r="A361" s="245">
        <f t="shared" si="48"/>
        <v>456</v>
      </c>
      <c r="B361" s="246" t="str">
        <f t="shared" si="41"/>
        <v>Oil Field - Well</v>
      </c>
      <c r="C361" s="246" t="str">
        <f ca="1">IF(B361="","",VLOOKUP(D361,'Species Data'!B:E,4,FALSE))</f>
        <v>c9_comp</v>
      </c>
      <c r="D361" s="246">
        <f t="shared" ca="1" si="42"/>
        <v>2018</v>
      </c>
      <c r="E361" s="246">
        <f t="shared" ca="1" si="43"/>
        <v>8.4376999999999995</v>
      </c>
      <c r="F361" s="246" t="str">
        <f t="shared" ca="1" si="44"/>
        <v>C-9 Compounds</v>
      </c>
      <c r="G361" s="246">
        <f t="shared" ca="1" si="45"/>
        <v>127.23917598649743</v>
      </c>
      <c r="H361" s="204" t="str">
        <f ca="1">IF(G361="","",IF(VLOOKUP(Well_Head!F361,'Species Data'!D:F,3,FALSE)=0,"X",IF(G361&lt;44.1,2,1)))</f>
        <v>X</v>
      </c>
      <c r="I361" s="204">
        <f t="shared" ca="1" si="46"/>
        <v>4.5871944954599391</v>
      </c>
      <c r="J361" s="247">
        <f ca="1">IF(I361="","",IF(COUNTIF($D$12:D361,D361)=1,IF(H361=1,I361*H361,IF(H361="X","X",0)),0))</f>
        <v>0</v>
      </c>
      <c r="K361" s="248">
        <f t="shared" ca="1" si="47"/>
        <v>0</v>
      </c>
      <c r="L361" s="239" t="s">
        <v>626</v>
      </c>
      <c r="M361" s="215" t="s">
        <v>448</v>
      </c>
      <c r="N361" s="215" t="s">
        <v>470</v>
      </c>
      <c r="O361" s="216">
        <v>41419</v>
      </c>
      <c r="P361" s="215" t="s">
        <v>531</v>
      </c>
      <c r="Q361" s="217">
        <v>100</v>
      </c>
      <c r="R361" s="215" t="s">
        <v>445</v>
      </c>
      <c r="S361" s="215" t="s">
        <v>532</v>
      </c>
      <c r="T361" s="215" t="s">
        <v>445</v>
      </c>
      <c r="U361" s="215" t="s">
        <v>446</v>
      </c>
      <c r="V361" s="217" t="b">
        <v>1</v>
      </c>
      <c r="W361" s="217">
        <v>1989</v>
      </c>
      <c r="X361" s="217">
        <v>5</v>
      </c>
      <c r="Y361" s="217">
        <v>2</v>
      </c>
      <c r="Z361" s="217">
        <v>4</v>
      </c>
      <c r="AA361" s="215" t="s">
        <v>447</v>
      </c>
      <c r="AB361" s="215" t="s">
        <v>531</v>
      </c>
      <c r="AC361" s="215" t="s">
        <v>533</v>
      </c>
      <c r="AD361" s="217">
        <v>2.2218420000000001</v>
      </c>
      <c r="AE361" s="217">
        <v>2018</v>
      </c>
      <c r="AF361" s="217">
        <v>9.4299999999999995E-2</v>
      </c>
      <c r="AG361" s="217">
        <v>-99</v>
      </c>
      <c r="AH361" s="215" t="s">
        <v>224</v>
      </c>
      <c r="AI361" s="215" t="s">
        <v>449</v>
      </c>
      <c r="AJ361" s="215" t="s">
        <v>224</v>
      </c>
      <c r="AK361" s="215" t="s">
        <v>531</v>
      </c>
      <c r="AL361" s="215" t="s">
        <v>464</v>
      </c>
      <c r="AM361" s="217" t="b">
        <v>0</v>
      </c>
      <c r="AN361" s="217" t="b">
        <v>0</v>
      </c>
      <c r="AO361" s="215" t="s">
        <v>549</v>
      </c>
      <c r="AP361" s="215" t="s">
        <v>550</v>
      </c>
      <c r="AQ361" s="217">
        <v>127.23917598649743</v>
      </c>
      <c r="AR361" s="217" t="b">
        <v>0</v>
      </c>
      <c r="AS361" s="215" t="s">
        <v>534</v>
      </c>
      <c r="AU361" s="222" t="s">
        <v>819</v>
      </c>
    </row>
    <row r="362" spans="1:47" s="218" customFormat="1" x14ac:dyDescent="0.25">
      <c r="A362" s="245">
        <f t="shared" si="48"/>
        <v>457</v>
      </c>
      <c r="B362" s="246" t="str">
        <f t="shared" si="41"/>
        <v>Oil Field - Well</v>
      </c>
      <c r="C362" s="246" t="str">
        <f ca="1">IF(B362="","",VLOOKUP(D362,'Species Data'!B:E,4,FALSE))</f>
        <v>dimetbut22</v>
      </c>
      <c r="D362" s="246">
        <f t="shared" ca="1" si="42"/>
        <v>122</v>
      </c>
      <c r="E362" s="246">
        <f t="shared" ca="1" si="43"/>
        <v>5.1999999999999998E-2</v>
      </c>
      <c r="F362" s="246" t="str">
        <f t="shared" ca="1" si="44"/>
        <v>2,2-dimethylbutane</v>
      </c>
      <c r="G362" s="246">
        <f t="shared" ca="1" si="45"/>
        <v>86.175359999999998</v>
      </c>
      <c r="H362" s="204">
        <f ca="1">IF(G362="","",IF(VLOOKUP(Well_Head!F362,'Species Data'!D:F,3,FALSE)=0,"X",IF(G362&lt;44.1,2,1)))</f>
        <v>1</v>
      </c>
      <c r="I362" s="204">
        <f t="shared" ca="1" si="46"/>
        <v>0.21534470764353159</v>
      </c>
      <c r="J362" s="247">
        <f ca="1">IF(I362="","",IF(COUNTIF($D$12:D362,D362)=1,IF(H362=1,I362*H362,IF(H362="X","X",0)),0))</f>
        <v>0</v>
      </c>
      <c r="K362" s="248">
        <f t="shared" ca="1" si="47"/>
        <v>0</v>
      </c>
      <c r="L362" s="239" t="s">
        <v>626</v>
      </c>
      <c r="M362" s="215" t="s">
        <v>448</v>
      </c>
      <c r="N362" s="215" t="s">
        <v>470</v>
      </c>
      <c r="O362" s="216">
        <v>41419</v>
      </c>
      <c r="P362" s="215" t="s">
        <v>531</v>
      </c>
      <c r="Q362" s="217">
        <v>100</v>
      </c>
      <c r="R362" s="215" t="s">
        <v>445</v>
      </c>
      <c r="S362" s="215" t="s">
        <v>532</v>
      </c>
      <c r="T362" s="215" t="s">
        <v>445</v>
      </c>
      <c r="U362" s="215" t="s">
        <v>446</v>
      </c>
      <c r="V362" s="217" t="b">
        <v>1</v>
      </c>
      <c r="W362" s="217">
        <v>1989</v>
      </c>
      <c r="X362" s="217">
        <v>5</v>
      </c>
      <c r="Y362" s="217">
        <v>2</v>
      </c>
      <c r="Z362" s="217">
        <v>4</v>
      </c>
      <c r="AA362" s="215" t="s">
        <v>447</v>
      </c>
      <c r="AB362" s="215" t="s">
        <v>531</v>
      </c>
      <c r="AC362" s="215" t="s">
        <v>533</v>
      </c>
      <c r="AD362" s="217">
        <v>1.983214</v>
      </c>
      <c r="AE362" s="217">
        <v>25</v>
      </c>
      <c r="AF362" s="217">
        <v>2.9899999999999999E-2</v>
      </c>
      <c r="AG362" s="217">
        <v>-99</v>
      </c>
      <c r="AH362" s="215" t="s">
        <v>224</v>
      </c>
      <c r="AI362" s="215" t="s">
        <v>449</v>
      </c>
      <c r="AJ362" s="215" t="s">
        <v>627</v>
      </c>
      <c r="AK362" s="215" t="s">
        <v>531</v>
      </c>
      <c r="AL362" s="215" t="s">
        <v>628</v>
      </c>
      <c r="AM362" s="217" t="b">
        <v>1</v>
      </c>
      <c r="AN362" s="217" t="b">
        <v>0</v>
      </c>
      <c r="AO362" s="215" t="s">
        <v>629</v>
      </c>
      <c r="AP362" s="215" t="s">
        <v>630</v>
      </c>
      <c r="AQ362" s="217">
        <v>120.19158</v>
      </c>
      <c r="AR362" s="217" t="b">
        <v>0</v>
      </c>
      <c r="AS362" s="215" t="s">
        <v>534</v>
      </c>
      <c r="AU362" s="222" t="s">
        <v>819</v>
      </c>
    </row>
    <row r="363" spans="1:47" s="218" customFormat="1" x14ac:dyDescent="0.25">
      <c r="A363" s="245">
        <f t="shared" si="48"/>
        <v>458</v>
      </c>
      <c r="B363" s="246" t="str">
        <f t="shared" si="41"/>
        <v>Oil Field - Well</v>
      </c>
      <c r="C363" s="246" t="str">
        <f ca="1">IF(B363="","",VLOOKUP(D363,'Species Data'!B:E,4,FALSE))</f>
        <v>dimethpro</v>
      </c>
      <c r="D363" s="246">
        <f t="shared" ca="1" si="42"/>
        <v>127</v>
      </c>
      <c r="E363" s="246">
        <f t="shared" ca="1" si="43"/>
        <v>1.6199999999999999E-2</v>
      </c>
      <c r="F363" s="246" t="str">
        <f t="shared" ca="1" si="44"/>
        <v>2,2-dimethylpropane</v>
      </c>
      <c r="G363" s="246">
        <f t="shared" ca="1" si="45"/>
        <v>72.148780000000002</v>
      </c>
      <c r="H363" s="204">
        <f ca="1">IF(G363="","",IF(VLOOKUP(Well_Head!F363,'Species Data'!D:F,3,FALSE)=0,"X",IF(G363&lt;44.1,2,1)))</f>
        <v>1</v>
      </c>
      <c r="I363" s="204">
        <f t="shared" ca="1" si="46"/>
        <v>0.12532237539401436</v>
      </c>
      <c r="J363" s="247">
        <f ca="1">IF(I363="","",IF(COUNTIF($D$12:D363,D363)=1,IF(H363=1,I363*H363,IF(H363="X","X",0)),0))</f>
        <v>0</v>
      </c>
      <c r="K363" s="248">
        <f t="shared" ca="1" si="47"/>
        <v>0</v>
      </c>
      <c r="L363" s="239" t="s">
        <v>626</v>
      </c>
      <c r="M363" s="215" t="s">
        <v>448</v>
      </c>
      <c r="N363" s="215" t="s">
        <v>470</v>
      </c>
      <c r="O363" s="216">
        <v>41419</v>
      </c>
      <c r="P363" s="215" t="s">
        <v>531</v>
      </c>
      <c r="Q363" s="217">
        <v>100</v>
      </c>
      <c r="R363" s="215" t="s">
        <v>445</v>
      </c>
      <c r="S363" s="215" t="s">
        <v>532</v>
      </c>
      <c r="T363" s="215" t="s">
        <v>445</v>
      </c>
      <c r="U363" s="215" t="s">
        <v>446</v>
      </c>
      <c r="V363" s="217" t="b">
        <v>1</v>
      </c>
      <c r="W363" s="217">
        <v>1989</v>
      </c>
      <c r="X363" s="217">
        <v>5</v>
      </c>
      <c r="Y363" s="217">
        <v>2</v>
      </c>
      <c r="Z363" s="217">
        <v>4</v>
      </c>
      <c r="AA363" s="215" t="s">
        <v>447</v>
      </c>
      <c r="AB363" s="215" t="s">
        <v>531</v>
      </c>
      <c r="AC363" s="215" t="s">
        <v>533</v>
      </c>
      <c r="AD363" s="217">
        <v>1.983214</v>
      </c>
      <c r="AE363" s="217">
        <v>30</v>
      </c>
      <c r="AF363" s="217">
        <v>4.7300000000000002E-2</v>
      </c>
      <c r="AG363" s="217">
        <v>-99</v>
      </c>
      <c r="AH363" s="215" t="s">
        <v>224</v>
      </c>
      <c r="AI363" s="215" t="s">
        <v>449</v>
      </c>
      <c r="AJ363" s="215" t="s">
        <v>359</v>
      </c>
      <c r="AK363" s="215" t="s">
        <v>531</v>
      </c>
      <c r="AL363" s="215" t="s">
        <v>531</v>
      </c>
      <c r="AM363" s="217" t="b">
        <v>1</v>
      </c>
      <c r="AN363" s="217" t="b">
        <v>0</v>
      </c>
      <c r="AO363" s="215" t="s">
        <v>360</v>
      </c>
      <c r="AP363" s="215" t="s">
        <v>361</v>
      </c>
      <c r="AQ363" s="217">
        <v>120.19158</v>
      </c>
      <c r="AR363" s="217" t="b">
        <v>0</v>
      </c>
      <c r="AS363" s="215" t="s">
        <v>534</v>
      </c>
      <c r="AU363" s="222" t="s">
        <v>819</v>
      </c>
    </row>
    <row r="364" spans="1:47" s="218" customFormat="1" x14ac:dyDescent="0.25">
      <c r="A364" s="245">
        <f t="shared" si="48"/>
        <v>459</v>
      </c>
      <c r="B364" s="246" t="str">
        <f t="shared" si="41"/>
        <v>Oil Field - Well</v>
      </c>
      <c r="C364" s="246" t="str">
        <f ca="1">IF(B364="","",VLOOKUP(D364,'Species Data'!B:E,4,FALSE))</f>
        <v>dimetbut</v>
      </c>
      <c r="D364" s="246">
        <f t="shared" ca="1" si="42"/>
        <v>136</v>
      </c>
      <c r="E364" s="246">
        <f t="shared" ca="1" si="43"/>
        <v>1.1875</v>
      </c>
      <c r="F364" s="246" t="str">
        <f t="shared" ca="1" si="44"/>
        <v>2,3-dimethylbutane</v>
      </c>
      <c r="G364" s="246">
        <f t="shared" ca="1" si="45"/>
        <v>86.175359999999998</v>
      </c>
      <c r="H364" s="204">
        <f ca="1">IF(G364="","",IF(VLOOKUP(Well_Head!F364,'Species Data'!D:F,3,FALSE)=0,"X",IF(G364&lt;44.1,2,1)))</f>
        <v>1</v>
      </c>
      <c r="I364" s="204">
        <f t="shared" ca="1" si="46"/>
        <v>0.77192316568386921</v>
      </c>
      <c r="J364" s="247">
        <f ca="1">IF(I364="","",IF(COUNTIF($D$12:D364,D364)=1,IF(H364=1,I364*H364,IF(H364="X","X",0)),0))</f>
        <v>0</v>
      </c>
      <c r="K364" s="248">
        <f t="shared" ca="1" si="47"/>
        <v>0</v>
      </c>
      <c r="L364" s="239" t="s">
        <v>626</v>
      </c>
      <c r="M364" s="215" t="s">
        <v>448</v>
      </c>
      <c r="N364" s="215" t="s">
        <v>470</v>
      </c>
      <c r="O364" s="216">
        <v>41419</v>
      </c>
      <c r="P364" s="215" t="s">
        <v>531</v>
      </c>
      <c r="Q364" s="217">
        <v>100</v>
      </c>
      <c r="R364" s="215" t="s">
        <v>445</v>
      </c>
      <c r="S364" s="215" t="s">
        <v>532</v>
      </c>
      <c r="T364" s="215" t="s">
        <v>445</v>
      </c>
      <c r="U364" s="215" t="s">
        <v>446</v>
      </c>
      <c r="V364" s="217" t="b">
        <v>1</v>
      </c>
      <c r="W364" s="217">
        <v>1989</v>
      </c>
      <c r="X364" s="217">
        <v>5</v>
      </c>
      <c r="Y364" s="217">
        <v>2</v>
      </c>
      <c r="Z364" s="217">
        <v>4</v>
      </c>
      <c r="AA364" s="215" t="s">
        <v>447</v>
      </c>
      <c r="AB364" s="215" t="s">
        <v>531</v>
      </c>
      <c r="AC364" s="215" t="s">
        <v>533</v>
      </c>
      <c r="AD364" s="217">
        <v>1.983214</v>
      </c>
      <c r="AE364" s="217">
        <v>51</v>
      </c>
      <c r="AF364" s="217">
        <v>2.46E-2</v>
      </c>
      <c r="AG364" s="217">
        <v>-99</v>
      </c>
      <c r="AH364" s="215" t="s">
        <v>224</v>
      </c>
      <c r="AI364" s="215" t="s">
        <v>449</v>
      </c>
      <c r="AJ364" s="215" t="s">
        <v>634</v>
      </c>
      <c r="AK364" s="215" t="s">
        <v>531</v>
      </c>
      <c r="AL364" s="215" t="s">
        <v>635</v>
      </c>
      <c r="AM364" s="217" t="b">
        <v>1</v>
      </c>
      <c r="AN364" s="217" t="b">
        <v>0</v>
      </c>
      <c r="AO364" s="215" t="s">
        <v>636</v>
      </c>
      <c r="AP364" s="215" t="s">
        <v>637</v>
      </c>
      <c r="AQ364" s="217">
        <v>134.21816000000001</v>
      </c>
      <c r="AR364" s="217" t="b">
        <v>0</v>
      </c>
      <c r="AS364" s="215" t="s">
        <v>534</v>
      </c>
      <c r="AU364" s="222" t="s">
        <v>819</v>
      </c>
    </row>
    <row r="365" spans="1:47" s="218" customFormat="1" x14ac:dyDescent="0.25">
      <c r="A365" s="245">
        <f t="shared" si="48"/>
        <v>460</v>
      </c>
      <c r="B365" s="246" t="str">
        <f t="shared" si="41"/>
        <v>Oil Field - Well</v>
      </c>
      <c r="C365" s="246" t="str">
        <f ca="1">IF(B365="","",VLOOKUP(D365,'Species Data'!B:E,4,FALSE))</f>
        <v>dimethhex23</v>
      </c>
      <c r="D365" s="246">
        <f t="shared" ca="1" si="42"/>
        <v>138</v>
      </c>
      <c r="E365" s="246">
        <f t="shared" ca="1" si="43"/>
        <v>7.1000000000000004E-3</v>
      </c>
      <c r="F365" s="246" t="str">
        <f t="shared" ca="1" si="44"/>
        <v>2,3-dimethylhexane</v>
      </c>
      <c r="G365" s="246">
        <f t="shared" ca="1" si="45"/>
        <v>114.22852</v>
      </c>
      <c r="H365" s="204">
        <f ca="1">IF(G365="","",IF(VLOOKUP(Well_Head!F365,'Species Data'!D:F,3,FALSE)=0,"X",IF(G365&lt;44.1,2,1)))</f>
        <v>1</v>
      </c>
      <c r="I365" s="204">
        <f t="shared" ca="1" si="46"/>
        <v>5.9266739103792238E-2</v>
      </c>
      <c r="J365" s="247">
        <f ca="1">IF(I365="","",IF(COUNTIF($D$12:D365,D365)=1,IF(H365=1,I365*H365,IF(H365="X","X",0)),0))</f>
        <v>0</v>
      </c>
      <c r="K365" s="248">
        <f t="shared" ca="1" si="47"/>
        <v>0</v>
      </c>
      <c r="L365" s="239" t="s">
        <v>626</v>
      </c>
      <c r="M365" s="215" t="s">
        <v>448</v>
      </c>
      <c r="N365" s="215" t="s">
        <v>470</v>
      </c>
      <c r="O365" s="216">
        <v>41419</v>
      </c>
      <c r="P365" s="215" t="s">
        <v>531</v>
      </c>
      <c r="Q365" s="217">
        <v>100</v>
      </c>
      <c r="R365" s="215" t="s">
        <v>445</v>
      </c>
      <c r="S365" s="215" t="s">
        <v>532</v>
      </c>
      <c r="T365" s="215" t="s">
        <v>445</v>
      </c>
      <c r="U365" s="215" t="s">
        <v>446</v>
      </c>
      <c r="V365" s="217" t="b">
        <v>1</v>
      </c>
      <c r="W365" s="217">
        <v>1989</v>
      </c>
      <c r="X365" s="217">
        <v>5</v>
      </c>
      <c r="Y365" s="217">
        <v>2</v>
      </c>
      <c r="Z365" s="217">
        <v>4</v>
      </c>
      <c r="AA365" s="215" t="s">
        <v>447</v>
      </c>
      <c r="AB365" s="215" t="s">
        <v>531</v>
      </c>
      <c r="AC365" s="215" t="s">
        <v>533</v>
      </c>
      <c r="AD365" s="217">
        <v>1.983214</v>
      </c>
      <c r="AE365" s="217">
        <v>89</v>
      </c>
      <c r="AF365" s="217">
        <v>4.4600000000000001E-2</v>
      </c>
      <c r="AG365" s="217">
        <v>-99</v>
      </c>
      <c r="AH365" s="215" t="s">
        <v>224</v>
      </c>
      <c r="AI365" s="215" t="s">
        <v>449</v>
      </c>
      <c r="AJ365" s="215" t="s">
        <v>411</v>
      </c>
      <c r="AK365" s="215" t="s">
        <v>531</v>
      </c>
      <c r="AL365" s="215" t="s">
        <v>451</v>
      </c>
      <c r="AM365" s="217" t="b">
        <v>1</v>
      </c>
      <c r="AN365" s="217" t="b">
        <v>0</v>
      </c>
      <c r="AO365" s="215" t="s">
        <v>412</v>
      </c>
      <c r="AP365" s="215" t="s">
        <v>413</v>
      </c>
      <c r="AQ365" s="217">
        <v>120.19158</v>
      </c>
      <c r="AR365" s="217" t="b">
        <v>0</v>
      </c>
      <c r="AS365" s="215" t="s">
        <v>534</v>
      </c>
      <c r="AU365" s="222" t="s">
        <v>819</v>
      </c>
    </row>
    <row r="366" spans="1:47" s="218" customFormat="1" x14ac:dyDescent="0.25">
      <c r="A366" s="245">
        <f t="shared" si="48"/>
        <v>461</v>
      </c>
      <c r="B366" s="246" t="str">
        <f t="shared" si="41"/>
        <v>Oil Field - Well</v>
      </c>
      <c r="C366" s="246" t="str">
        <f ca="1">IF(B366="","",VLOOKUP(D366,'Species Data'!B:E,4,FALSE))</f>
        <v>dimetpen3</v>
      </c>
      <c r="D366" s="246">
        <f t="shared" ca="1" si="42"/>
        <v>140</v>
      </c>
      <c r="E366" s="246">
        <f t="shared" ca="1" si="43"/>
        <v>8.43E-2</v>
      </c>
      <c r="F366" s="246" t="str">
        <f t="shared" ca="1" si="44"/>
        <v>2,3-dimethylpentane</v>
      </c>
      <c r="G366" s="246">
        <f t="shared" ca="1" si="45"/>
        <v>100.20194000000001</v>
      </c>
      <c r="H366" s="204">
        <f ca="1">IF(G366="","",IF(VLOOKUP(Well_Head!F366,'Species Data'!D:F,3,FALSE)=0,"X",IF(G366&lt;44.1,2,1)))</f>
        <v>1</v>
      </c>
      <c r="I366" s="204">
        <f t="shared" ca="1" si="46"/>
        <v>0.38365602446847435</v>
      </c>
      <c r="J366" s="247">
        <f ca="1">IF(I366="","",IF(COUNTIF($D$12:D366,D366)=1,IF(H366=1,I366*H366,IF(H366="X","X",0)),0))</f>
        <v>0</v>
      </c>
      <c r="K366" s="248">
        <f t="shared" ca="1" si="47"/>
        <v>0</v>
      </c>
      <c r="L366" s="239" t="s">
        <v>626</v>
      </c>
      <c r="M366" s="215" t="s">
        <v>448</v>
      </c>
      <c r="N366" s="215" t="s">
        <v>470</v>
      </c>
      <c r="O366" s="216">
        <v>41419</v>
      </c>
      <c r="P366" s="215" t="s">
        <v>531</v>
      </c>
      <c r="Q366" s="217">
        <v>100</v>
      </c>
      <c r="R366" s="215" t="s">
        <v>445</v>
      </c>
      <c r="S366" s="215" t="s">
        <v>532</v>
      </c>
      <c r="T366" s="215" t="s">
        <v>445</v>
      </c>
      <c r="U366" s="215" t="s">
        <v>446</v>
      </c>
      <c r="V366" s="217" t="b">
        <v>1</v>
      </c>
      <c r="W366" s="217">
        <v>1989</v>
      </c>
      <c r="X366" s="217">
        <v>5</v>
      </c>
      <c r="Y366" s="217">
        <v>2</v>
      </c>
      <c r="Z366" s="217">
        <v>4</v>
      </c>
      <c r="AA366" s="215" t="s">
        <v>447</v>
      </c>
      <c r="AB366" s="215" t="s">
        <v>531</v>
      </c>
      <c r="AC366" s="215" t="s">
        <v>533</v>
      </c>
      <c r="AD366" s="217">
        <v>1.983214</v>
      </c>
      <c r="AE366" s="217">
        <v>127</v>
      </c>
      <c r="AF366" s="217">
        <v>1.14E-2</v>
      </c>
      <c r="AG366" s="217">
        <v>-99</v>
      </c>
      <c r="AH366" s="215" t="s">
        <v>224</v>
      </c>
      <c r="AI366" s="215" t="s">
        <v>449</v>
      </c>
      <c r="AJ366" s="215" t="s">
        <v>441</v>
      </c>
      <c r="AK366" s="215" t="s">
        <v>531</v>
      </c>
      <c r="AL366" s="215" t="s">
        <v>462</v>
      </c>
      <c r="AM366" s="217" t="b">
        <v>0</v>
      </c>
      <c r="AN366" s="217" t="b">
        <v>0</v>
      </c>
      <c r="AO366" s="215" t="s">
        <v>442</v>
      </c>
      <c r="AP366" s="215" t="s">
        <v>531</v>
      </c>
      <c r="AQ366" s="217">
        <v>72.148780000000002</v>
      </c>
      <c r="AR366" s="217" t="b">
        <v>0</v>
      </c>
      <c r="AS366" s="215" t="s">
        <v>534</v>
      </c>
      <c r="AU366" s="222" t="s">
        <v>819</v>
      </c>
    </row>
    <row r="367" spans="1:47" s="218" customFormat="1" x14ac:dyDescent="0.25">
      <c r="A367" s="245">
        <f t="shared" si="48"/>
        <v>462</v>
      </c>
      <c r="B367" s="246" t="str">
        <f t="shared" si="41"/>
        <v>Oil Field - Well</v>
      </c>
      <c r="C367" s="246" t="str">
        <f ca="1">IF(B367="","",VLOOKUP(D367,'Species Data'!B:E,4,FALSE))</f>
        <v>dimethhex24</v>
      </c>
      <c r="D367" s="246">
        <f t="shared" ca="1" si="42"/>
        <v>149</v>
      </c>
      <c r="E367" s="246">
        <f t="shared" ca="1" si="43"/>
        <v>8.6999999999999994E-3</v>
      </c>
      <c r="F367" s="246" t="str">
        <f t="shared" ca="1" si="44"/>
        <v>2,4-dimethylhexane</v>
      </c>
      <c r="G367" s="246">
        <f t="shared" ca="1" si="45"/>
        <v>114.22852</v>
      </c>
      <c r="H367" s="204">
        <f ca="1">IF(G367="","",IF(VLOOKUP(Well_Head!F367,'Species Data'!D:F,3,FALSE)=0,"X",IF(G367&lt;44.1,2,1)))</f>
        <v>1</v>
      </c>
      <c r="I367" s="204">
        <f t="shared" ca="1" si="46"/>
        <v>0.16547798002864228</v>
      </c>
      <c r="J367" s="247">
        <f ca="1">IF(I367="","",IF(COUNTIF($D$12:D367,D367)=1,IF(H367=1,I367*H367,IF(H367="X","X",0)),0))</f>
        <v>0</v>
      </c>
      <c r="K367" s="248">
        <f t="shared" ca="1" si="47"/>
        <v>0</v>
      </c>
      <c r="L367" s="239" t="s">
        <v>626</v>
      </c>
      <c r="M367" s="215" t="s">
        <v>448</v>
      </c>
      <c r="N367" s="215" t="s">
        <v>470</v>
      </c>
      <c r="O367" s="216">
        <v>41419</v>
      </c>
      <c r="P367" s="215" t="s">
        <v>531</v>
      </c>
      <c r="Q367" s="217">
        <v>100</v>
      </c>
      <c r="R367" s="215" t="s">
        <v>445</v>
      </c>
      <c r="S367" s="215" t="s">
        <v>532</v>
      </c>
      <c r="T367" s="215" t="s">
        <v>445</v>
      </c>
      <c r="U367" s="215" t="s">
        <v>446</v>
      </c>
      <c r="V367" s="217" t="b">
        <v>1</v>
      </c>
      <c r="W367" s="217">
        <v>1989</v>
      </c>
      <c r="X367" s="217">
        <v>5</v>
      </c>
      <c r="Y367" s="217">
        <v>2</v>
      </c>
      <c r="Z367" s="217">
        <v>4</v>
      </c>
      <c r="AA367" s="215" t="s">
        <v>447</v>
      </c>
      <c r="AB367" s="215" t="s">
        <v>531</v>
      </c>
      <c r="AC367" s="215" t="s">
        <v>533</v>
      </c>
      <c r="AD367" s="217">
        <v>1.983214</v>
      </c>
      <c r="AE367" s="217">
        <v>130</v>
      </c>
      <c r="AF367" s="217">
        <v>1.55E-2</v>
      </c>
      <c r="AG367" s="217">
        <v>-99</v>
      </c>
      <c r="AH367" s="215" t="s">
        <v>224</v>
      </c>
      <c r="AI367" s="215" t="s">
        <v>449</v>
      </c>
      <c r="AJ367" s="215" t="s">
        <v>404</v>
      </c>
      <c r="AK367" s="215" t="s">
        <v>531</v>
      </c>
      <c r="AL367" s="215" t="s">
        <v>405</v>
      </c>
      <c r="AM367" s="217" t="b">
        <v>1</v>
      </c>
      <c r="AN367" s="217" t="b">
        <v>0</v>
      </c>
      <c r="AO367" s="215" t="s">
        <v>406</v>
      </c>
      <c r="AP367" s="215" t="s">
        <v>407</v>
      </c>
      <c r="AQ367" s="217">
        <v>114.22852</v>
      </c>
      <c r="AR367" s="217" t="b">
        <v>0</v>
      </c>
      <c r="AS367" s="215" t="s">
        <v>534</v>
      </c>
      <c r="AU367" s="222" t="s">
        <v>819</v>
      </c>
    </row>
    <row r="368" spans="1:47" s="218" customFormat="1" x14ac:dyDescent="0.25">
      <c r="A368" s="245">
        <f t="shared" si="48"/>
        <v>463</v>
      </c>
      <c r="B368" s="246" t="str">
        <f t="shared" si="41"/>
        <v>Oil Field - Well</v>
      </c>
      <c r="C368" s="246" t="str">
        <f ca="1">IF(B368="","",VLOOKUP(D368,'Species Data'!B:E,4,FALSE))</f>
        <v>dimetpen4</v>
      </c>
      <c r="D368" s="246">
        <f t="shared" ca="1" si="42"/>
        <v>152</v>
      </c>
      <c r="E368" s="246">
        <f t="shared" ca="1" si="43"/>
        <v>3.2500000000000001E-2</v>
      </c>
      <c r="F368" s="246" t="str">
        <f t="shared" ca="1" si="44"/>
        <v>2,4-dimethylpentane</v>
      </c>
      <c r="G368" s="246">
        <f t="shared" ca="1" si="45"/>
        <v>100.20194000000001</v>
      </c>
      <c r="H368" s="204">
        <f ca="1">IF(G368="","",IF(VLOOKUP(Well_Head!F368,'Species Data'!D:F,3,FALSE)=0,"X",IF(G368&lt;44.1,2,1)))</f>
        <v>1</v>
      </c>
      <c r="I368" s="204">
        <f t="shared" ca="1" si="46"/>
        <v>0.15698908076443205</v>
      </c>
      <c r="J368" s="247">
        <f ca="1">IF(I368="","",IF(COUNTIF($D$12:D368,D368)=1,IF(H368=1,I368*H368,IF(H368="X","X",0)),0))</f>
        <v>0</v>
      </c>
      <c r="K368" s="248">
        <f t="shared" ca="1" si="47"/>
        <v>0</v>
      </c>
      <c r="L368" s="239" t="s">
        <v>626</v>
      </c>
      <c r="M368" s="215" t="s">
        <v>448</v>
      </c>
      <c r="N368" s="215" t="s">
        <v>470</v>
      </c>
      <c r="O368" s="216">
        <v>41419</v>
      </c>
      <c r="P368" s="215" t="s">
        <v>531</v>
      </c>
      <c r="Q368" s="217">
        <v>100</v>
      </c>
      <c r="R368" s="215" t="s">
        <v>445</v>
      </c>
      <c r="S368" s="215" t="s">
        <v>532</v>
      </c>
      <c r="T368" s="215" t="s">
        <v>445</v>
      </c>
      <c r="U368" s="215" t="s">
        <v>446</v>
      </c>
      <c r="V368" s="217" t="b">
        <v>1</v>
      </c>
      <c r="W368" s="217">
        <v>1989</v>
      </c>
      <c r="X368" s="217">
        <v>5</v>
      </c>
      <c r="Y368" s="217">
        <v>2</v>
      </c>
      <c r="Z368" s="217">
        <v>4</v>
      </c>
      <c r="AA368" s="215" t="s">
        <v>447</v>
      </c>
      <c r="AB368" s="215" t="s">
        <v>531</v>
      </c>
      <c r="AC368" s="215" t="s">
        <v>533</v>
      </c>
      <c r="AD368" s="217">
        <v>1.983214</v>
      </c>
      <c r="AE368" s="217">
        <v>138</v>
      </c>
      <c r="AF368" s="217">
        <v>4.53E-2</v>
      </c>
      <c r="AG368" s="217">
        <v>-99</v>
      </c>
      <c r="AH368" s="215" t="s">
        <v>224</v>
      </c>
      <c r="AI368" s="215" t="s">
        <v>449</v>
      </c>
      <c r="AJ368" s="215" t="s">
        <v>443</v>
      </c>
      <c r="AK368" s="215" t="s">
        <v>531</v>
      </c>
      <c r="AL368" s="215" t="s">
        <v>463</v>
      </c>
      <c r="AM368" s="217" t="b">
        <v>0</v>
      </c>
      <c r="AN368" s="217" t="b">
        <v>0</v>
      </c>
      <c r="AO368" s="215" t="s">
        <v>444</v>
      </c>
      <c r="AP368" s="215" t="s">
        <v>531</v>
      </c>
      <c r="AQ368" s="217">
        <v>114.22852</v>
      </c>
      <c r="AR368" s="217" t="b">
        <v>0</v>
      </c>
      <c r="AS368" s="215" t="s">
        <v>534</v>
      </c>
      <c r="AU368" s="222" t="s">
        <v>819</v>
      </c>
    </row>
    <row r="369" spans="1:47" s="218" customFormat="1" x14ac:dyDescent="0.25">
      <c r="A369" s="245">
        <f t="shared" si="48"/>
        <v>464</v>
      </c>
      <c r="B369" s="246" t="str">
        <f t="shared" si="41"/>
        <v>Oil Field - Well</v>
      </c>
      <c r="C369" s="246" t="str">
        <f ca="1">IF(B369="","",VLOOKUP(D369,'Species Data'!B:E,4,FALSE))</f>
        <v>twomethex</v>
      </c>
      <c r="D369" s="246">
        <f t="shared" ca="1" si="42"/>
        <v>194</v>
      </c>
      <c r="E369" s="246">
        <f t="shared" ca="1" si="43"/>
        <v>0.15989999999999999</v>
      </c>
      <c r="F369" s="246" t="str">
        <f t="shared" ca="1" si="44"/>
        <v>2-methylhexane</v>
      </c>
      <c r="G369" s="246">
        <f t="shared" ca="1" si="45"/>
        <v>100.20194000000001</v>
      </c>
      <c r="H369" s="204">
        <f ca="1">IF(G369="","",IF(VLOOKUP(Well_Head!F369,'Species Data'!D:F,3,FALSE)=0,"X",IF(G369&lt;44.1,2,1)))</f>
        <v>1</v>
      </c>
      <c r="I369" s="204">
        <f t="shared" ca="1" si="46"/>
        <v>0.3337892968535851</v>
      </c>
      <c r="J369" s="247">
        <f ca="1">IF(I369="","",IF(COUNTIF($D$12:D369,D369)=1,IF(H369=1,I369*H369,IF(H369="X","X",0)),0))</f>
        <v>0</v>
      </c>
      <c r="K369" s="248">
        <f t="shared" ca="1" si="47"/>
        <v>0</v>
      </c>
      <c r="L369" s="239" t="s">
        <v>626</v>
      </c>
      <c r="M369" s="215" t="s">
        <v>448</v>
      </c>
      <c r="N369" s="215" t="s">
        <v>470</v>
      </c>
      <c r="O369" s="216">
        <v>41419</v>
      </c>
      <c r="P369" s="215" t="s">
        <v>531</v>
      </c>
      <c r="Q369" s="217">
        <v>100</v>
      </c>
      <c r="R369" s="215" t="s">
        <v>445</v>
      </c>
      <c r="S369" s="215" t="s">
        <v>532</v>
      </c>
      <c r="T369" s="215" t="s">
        <v>445</v>
      </c>
      <c r="U369" s="215" t="s">
        <v>446</v>
      </c>
      <c r="V369" s="217" t="b">
        <v>1</v>
      </c>
      <c r="W369" s="217">
        <v>1989</v>
      </c>
      <c r="X369" s="217">
        <v>5</v>
      </c>
      <c r="Y369" s="217">
        <v>2</v>
      </c>
      <c r="Z369" s="217">
        <v>4</v>
      </c>
      <c r="AA369" s="215" t="s">
        <v>447</v>
      </c>
      <c r="AB369" s="215" t="s">
        <v>531</v>
      </c>
      <c r="AC369" s="215" t="s">
        <v>533</v>
      </c>
      <c r="AD369" s="217">
        <v>1.983214</v>
      </c>
      <c r="AE369" s="217">
        <v>140</v>
      </c>
      <c r="AF369" s="217">
        <v>0.23019999999999999</v>
      </c>
      <c r="AG369" s="217">
        <v>-99</v>
      </c>
      <c r="AH369" s="215" t="s">
        <v>224</v>
      </c>
      <c r="AI369" s="215" t="s">
        <v>449</v>
      </c>
      <c r="AJ369" s="215" t="s">
        <v>307</v>
      </c>
      <c r="AK369" s="215" t="s">
        <v>531</v>
      </c>
      <c r="AL369" s="215" t="s">
        <v>385</v>
      </c>
      <c r="AM369" s="217" t="b">
        <v>1</v>
      </c>
      <c r="AN369" s="217" t="b">
        <v>0</v>
      </c>
      <c r="AO369" s="215" t="s">
        <v>308</v>
      </c>
      <c r="AP369" s="215" t="s">
        <v>309</v>
      </c>
      <c r="AQ369" s="217">
        <v>100.20194000000001</v>
      </c>
      <c r="AR369" s="217" t="b">
        <v>0</v>
      </c>
      <c r="AS369" s="215" t="s">
        <v>534</v>
      </c>
      <c r="AU369" s="222" t="s">
        <v>819</v>
      </c>
    </row>
    <row r="370" spans="1:47" s="218" customFormat="1" x14ac:dyDescent="0.25">
      <c r="A370" s="245">
        <f t="shared" si="48"/>
        <v>465</v>
      </c>
      <c r="B370" s="246" t="str">
        <f t="shared" si="41"/>
        <v>Oil Field - Well</v>
      </c>
      <c r="C370" s="246" t="str">
        <f ca="1">IF(B370="","",VLOOKUP(D370,'Species Data'!B:E,4,FALSE))</f>
        <v>twometpen</v>
      </c>
      <c r="D370" s="246">
        <f t="shared" ca="1" si="42"/>
        <v>199</v>
      </c>
      <c r="E370" s="246">
        <f t="shared" ca="1" si="43"/>
        <v>7.1000000000000004E-3</v>
      </c>
      <c r="F370" s="246" t="str">
        <f t="shared" ca="1" si="44"/>
        <v>2-methylpentane (isohexane)</v>
      </c>
      <c r="G370" s="246">
        <f t="shared" ca="1" si="45"/>
        <v>86.175359999999998</v>
      </c>
      <c r="H370" s="204">
        <f ca="1">IF(G370="","",IF(VLOOKUP(Well_Head!F370,'Species Data'!D:F,3,FALSE)=0,"X",IF(G370&lt;44.1,2,1)))</f>
        <v>1</v>
      </c>
      <c r="I370" s="204">
        <f t="shared" ca="1" si="46"/>
        <v>0.797867641838229</v>
      </c>
      <c r="J370" s="247">
        <f ca="1">IF(I370="","",IF(COUNTIF($D$12:D370,D370)=1,IF(H370=1,I370*H370,IF(H370="X","X",0)),0))</f>
        <v>0</v>
      </c>
      <c r="K370" s="248">
        <f t="shared" ca="1" si="47"/>
        <v>0</v>
      </c>
      <c r="L370" s="239" t="s">
        <v>626</v>
      </c>
      <c r="M370" s="215" t="s">
        <v>448</v>
      </c>
      <c r="N370" s="215" t="s">
        <v>470</v>
      </c>
      <c r="O370" s="216">
        <v>41419</v>
      </c>
      <c r="P370" s="215" t="s">
        <v>531</v>
      </c>
      <c r="Q370" s="217">
        <v>100</v>
      </c>
      <c r="R370" s="215" t="s">
        <v>445</v>
      </c>
      <c r="S370" s="215" t="s">
        <v>532</v>
      </c>
      <c r="T370" s="215" t="s">
        <v>445</v>
      </c>
      <c r="U370" s="215" t="s">
        <v>446</v>
      </c>
      <c r="V370" s="217" t="b">
        <v>1</v>
      </c>
      <c r="W370" s="217">
        <v>1989</v>
      </c>
      <c r="X370" s="217">
        <v>5</v>
      </c>
      <c r="Y370" s="217">
        <v>2</v>
      </c>
      <c r="Z370" s="217">
        <v>4</v>
      </c>
      <c r="AA370" s="215" t="s">
        <v>447</v>
      </c>
      <c r="AB370" s="215" t="s">
        <v>531</v>
      </c>
      <c r="AC370" s="215" t="s">
        <v>533</v>
      </c>
      <c r="AD370" s="217">
        <v>1.983214</v>
      </c>
      <c r="AE370" s="217">
        <v>152</v>
      </c>
      <c r="AF370" s="217">
        <v>3.7499999999999999E-2</v>
      </c>
      <c r="AG370" s="217">
        <v>-99</v>
      </c>
      <c r="AH370" s="215" t="s">
        <v>224</v>
      </c>
      <c r="AI370" s="215" t="s">
        <v>449</v>
      </c>
      <c r="AJ370" s="215" t="s">
        <v>310</v>
      </c>
      <c r="AK370" s="215" t="s">
        <v>531</v>
      </c>
      <c r="AL370" s="215" t="s">
        <v>386</v>
      </c>
      <c r="AM370" s="217" t="b">
        <v>1</v>
      </c>
      <c r="AN370" s="217" t="b">
        <v>0</v>
      </c>
      <c r="AO370" s="215" t="s">
        <v>311</v>
      </c>
      <c r="AP370" s="215" t="s">
        <v>312</v>
      </c>
      <c r="AQ370" s="217">
        <v>100.20194000000001</v>
      </c>
      <c r="AR370" s="217" t="b">
        <v>0</v>
      </c>
      <c r="AS370" s="215" t="s">
        <v>534</v>
      </c>
      <c r="AU370" s="222" t="s">
        <v>819</v>
      </c>
    </row>
    <row r="371" spans="1:47" s="218" customFormat="1" x14ac:dyDescent="0.25">
      <c r="A371" s="245">
        <f t="shared" si="48"/>
        <v>466</v>
      </c>
      <c r="B371" s="246" t="str">
        <f t="shared" si="41"/>
        <v>Oil Field - Well</v>
      </c>
      <c r="C371" s="246" t="str">
        <f ca="1">IF(B371="","",VLOOKUP(D371,'Species Data'!B:E,4,FALSE))</f>
        <v>threemethex</v>
      </c>
      <c r="D371" s="246">
        <f t="shared" ca="1" si="42"/>
        <v>245</v>
      </c>
      <c r="E371" s="246">
        <f t="shared" ca="1" si="43"/>
        <v>0.23710000000000001</v>
      </c>
      <c r="F371" s="246" t="str">
        <f t="shared" ca="1" si="44"/>
        <v>3-methylhexane</v>
      </c>
      <c r="G371" s="246">
        <f t="shared" ca="1" si="45"/>
        <v>100.20194000000001</v>
      </c>
      <c r="H371" s="204">
        <f ca="1">IF(G371="","",IF(VLOOKUP(Well_Head!F371,'Species Data'!D:F,3,FALSE)=0,"X",IF(G371&lt;44.1,2,1)))</f>
        <v>1</v>
      </c>
      <c r="I371" s="204">
        <f t="shared" ca="1" si="46"/>
        <v>0.3128559379350353</v>
      </c>
      <c r="J371" s="247">
        <f ca="1">IF(I371="","",IF(COUNTIF($D$12:D371,D371)=1,IF(H371=1,I371*H371,IF(H371="X","X",0)),0))</f>
        <v>0</v>
      </c>
      <c r="K371" s="248">
        <f t="shared" ca="1" si="47"/>
        <v>0</v>
      </c>
      <c r="L371" s="239" t="s">
        <v>626</v>
      </c>
      <c r="M371" s="215" t="s">
        <v>448</v>
      </c>
      <c r="N371" s="215" t="s">
        <v>470</v>
      </c>
      <c r="O371" s="216">
        <v>41419</v>
      </c>
      <c r="P371" s="215" t="s">
        <v>531</v>
      </c>
      <c r="Q371" s="217">
        <v>100</v>
      </c>
      <c r="R371" s="215" t="s">
        <v>445</v>
      </c>
      <c r="S371" s="215" t="s">
        <v>532</v>
      </c>
      <c r="T371" s="215" t="s">
        <v>445</v>
      </c>
      <c r="U371" s="215" t="s">
        <v>446</v>
      </c>
      <c r="V371" s="217" t="b">
        <v>1</v>
      </c>
      <c r="W371" s="217">
        <v>1989</v>
      </c>
      <c r="X371" s="217">
        <v>5</v>
      </c>
      <c r="Y371" s="217">
        <v>2</v>
      </c>
      <c r="Z371" s="217">
        <v>4</v>
      </c>
      <c r="AA371" s="215" t="s">
        <v>447</v>
      </c>
      <c r="AB371" s="215" t="s">
        <v>531</v>
      </c>
      <c r="AC371" s="215" t="s">
        <v>533</v>
      </c>
      <c r="AD371" s="217">
        <v>1.983214</v>
      </c>
      <c r="AE371" s="217">
        <v>193</v>
      </c>
      <c r="AF371" s="217">
        <v>0.39679999999999999</v>
      </c>
      <c r="AG371" s="217">
        <v>-99</v>
      </c>
      <c r="AH371" s="215" t="s">
        <v>224</v>
      </c>
      <c r="AI371" s="215" t="s">
        <v>449</v>
      </c>
      <c r="AJ371" s="215" t="s">
        <v>313</v>
      </c>
      <c r="AK371" s="215" t="s">
        <v>531</v>
      </c>
      <c r="AL371" s="215" t="s">
        <v>387</v>
      </c>
      <c r="AM371" s="217" t="b">
        <v>1</v>
      </c>
      <c r="AN371" s="217" t="b">
        <v>0</v>
      </c>
      <c r="AO371" s="215" t="s">
        <v>314</v>
      </c>
      <c r="AP371" s="215" t="s">
        <v>315</v>
      </c>
      <c r="AQ371" s="217">
        <v>114.22852</v>
      </c>
      <c r="AR371" s="217" t="b">
        <v>0</v>
      </c>
      <c r="AS371" s="215" t="s">
        <v>534</v>
      </c>
      <c r="AU371" s="222" t="s">
        <v>819</v>
      </c>
    </row>
    <row r="372" spans="1:47" s="218" customFormat="1" x14ac:dyDescent="0.25">
      <c r="A372" s="245">
        <f t="shared" si="48"/>
        <v>467</v>
      </c>
      <c r="B372" s="246" t="str">
        <f t="shared" si="41"/>
        <v>Oil Field - Well</v>
      </c>
      <c r="C372" s="246" t="str">
        <f ca="1">IF(B372="","",VLOOKUP(D372,'Species Data'!B:E,4,FALSE))</f>
        <v>threemetpen</v>
      </c>
      <c r="D372" s="246">
        <f t="shared" ca="1" si="42"/>
        <v>248</v>
      </c>
      <c r="E372" s="246">
        <f t="shared" ca="1" si="43"/>
        <v>0.8659</v>
      </c>
      <c r="F372" s="246" t="str">
        <f t="shared" ca="1" si="44"/>
        <v>3-methylpentane</v>
      </c>
      <c r="G372" s="246">
        <f t="shared" ca="1" si="45"/>
        <v>86.175359999999998</v>
      </c>
      <c r="H372" s="204">
        <f ca="1">IF(G372="","",IF(VLOOKUP(Well_Head!F372,'Species Data'!D:F,3,FALSE)=0,"X",IF(G372&lt;44.1,2,1)))</f>
        <v>1</v>
      </c>
      <c r="I372" s="204">
        <f t="shared" ca="1" si="46"/>
        <v>0.69705640751338704</v>
      </c>
      <c r="J372" s="247">
        <f ca="1">IF(I372="","",IF(COUNTIF($D$12:D372,D372)=1,IF(H372=1,I372*H372,IF(H372="X","X",0)),0))</f>
        <v>0</v>
      </c>
      <c r="K372" s="248">
        <f t="shared" ca="1" si="47"/>
        <v>0</v>
      </c>
      <c r="L372" s="239" t="s">
        <v>626</v>
      </c>
      <c r="M372" s="215" t="s">
        <v>448</v>
      </c>
      <c r="N372" s="215" t="s">
        <v>470</v>
      </c>
      <c r="O372" s="216">
        <v>41419</v>
      </c>
      <c r="P372" s="215" t="s">
        <v>531</v>
      </c>
      <c r="Q372" s="217">
        <v>100</v>
      </c>
      <c r="R372" s="215" t="s">
        <v>445</v>
      </c>
      <c r="S372" s="215" t="s">
        <v>532</v>
      </c>
      <c r="T372" s="215" t="s">
        <v>445</v>
      </c>
      <c r="U372" s="215" t="s">
        <v>446</v>
      </c>
      <c r="V372" s="217" t="b">
        <v>1</v>
      </c>
      <c r="W372" s="217">
        <v>1989</v>
      </c>
      <c r="X372" s="217">
        <v>5</v>
      </c>
      <c r="Y372" s="217">
        <v>2</v>
      </c>
      <c r="Z372" s="217">
        <v>4</v>
      </c>
      <c r="AA372" s="215" t="s">
        <v>447</v>
      </c>
      <c r="AB372" s="215" t="s">
        <v>531</v>
      </c>
      <c r="AC372" s="215" t="s">
        <v>533</v>
      </c>
      <c r="AD372" s="217">
        <v>1.983214</v>
      </c>
      <c r="AE372" s="217">
        <v>194</v>
      </c>
      <c r="AF372" s="217">
        <v>0.36180000000000001</v>
      </c>
      <c r="AG372" s="217">
        <v>-99</v>
      </c>
      <c r="AH372" s="215" t="s">
        <v>224</v>
      </c>
      <c r="AI372" s="215" t="s">
        <v>449</v>
      </c>
      <c r="AJ372" s="215" t="s">
        <v>316</v>
      </c>
      <c r="AK372" s="215" t="s">
        <v>531</v>
      </c>
      <c r="AL372" s="215" t="s">
        <v>388</v>
      </c>
      <c r="AM372" s="217" t="b">
        <v>1</v>
      </c>
      <c r="AN372" s="217" t="b">
        <v>0</v>
      </c>
      <c r="AO372" s="215" t="s">
        <v>317</v>
      </c>
      <c r="AP372" s="215" t="s">
        <v>318</v>
      </c>
      <c r="AQ372" s="217">
        <v>100.20194000000001</v>
      </c>
      <c r="AR372" s="217" t="b">
        <v>0</v>
      </c>
      <c r="AS372" s="215" t="s">
        <v>534</v>
      </c>
      <c r="AU372" s="222" t="s">
        <v>819</v>
      </c>
    </row>
    <row r="373" spans="1:47" s="218" customFormat="1" x14ac:dyDescent="0.25">
      <c r="A373" s="245">
        <f t="shared" si="48"/>
        <v>468</v>
      </c>
      <c r="B373" s="246" t="str">
        <f t="shared" si="41"/>
        <v>Oil Field - Well</v>
      </c>
      <c r="C373" s="246" t="str">
        <f ca="1">IF(B373="","",VLOOKUP(D373,'Species Data'!B:E,4,FALSE))</f>
        <v>benzene</v>
      </c>
      <c r="D373" s="246">
        <f t="shared" ca="1" si="42"/>
        <v>302</v>
      </c>
      <c r="E373" s="246">
        <f t="shared" ca="1" si="43"/>
        <v>0.31280000000000002</v>
      </c>
      <c r="F373" s="246" t="str">
        <f t="shared" ca="1" si="44"/>
        <v>Benzene</v>
      </c>
      <c r="G373" s="246">
        <f t="shared" ca="1" si="45"/>
        <v>78.111840000000001</v>
      </c>
      <c r="H373" s="204">
        <f ca="1">IF(G373="","",IF(VLOOKUP(Well_Head!F373,'Species Data'!D:F,3,FALSE)=0,"X",IF(G373&lt;44.1,2,1)))</f>
        <v>1</v>
      </c>
      <c r="I373" s="204">
        <f t="shared" ca="1" si="46"/>
        <v>0.3538559880462076</v>
      </c>
      <c r="J373" s="247">
        <f ca="1">IF(I373="","",IF(COUNTIF($D$12:D373,D373)=1,IF(H373=1,I373*H373,IF(H373="X","X",0)),0))</f>
        <v>0</v>
      </c>
      <c r="K373" s="248">
        <f t="shared" ca="1" si="47"/>
        <v>0</v>
      </c>
      <c r="L373" s="239" t="s">
        <v>626</v>
      </c>
      <c r="M373" s="215" t="s">
        <v>448</v>
      </c>
      <c r="N373" s="215" t="s">
        <v>470</v>
      </c>
      <c r="O373" s="216">
        <v>41419</v>
      </c>
      <c r="P373" s="215" t="s">
        <v>531</v>
      </c>
      <c r="Q373" s="217">
        <v>100</v>
      </c>
      <c r="R373" s="215" t="s">
        <v>445</v>
      </c>
      <c r="S373" s="215" t="s">
        <v>532</v>
      </c>
      <c r="T373" s="215" t="s">
        <v>445</v>
      </c>
      <c r="U373" s="215" t="s">
        <v>446</v>
      </c>
      <c r="V373" s="217" t="b">
        <v>1</v>
      </c>
      <c r="W373" s="217">
        <v>1989</v>
      </c>
      <c r="X373" s="217">
        <v>5</v>
      </c>
      <c r="Y373" s="217">
        <v>2</v>
      </c>
      <c r="Z373" s="217">
        <v>4</v>
      </c>
      <c r="AA373" s="215" t="s">
        <v>447</v>
      </c>
      <c r="AB373" s="215" t="s">
        <v>531</v>
      </c>
      <c r="AC373" s="215" t="s">
        <v>533</v>
      </c>
      <c r="AD373" s="217">
        <v>1.983214</v>
      </c>
      <c r="AE373" s="217">
        <v>199</v>
      </c>
      <c r="AF373" s="217">
        <v>1.5350999999999999</v>
      </c>
      <c r="AG373" s="217">
        <v>-99</v>
      </c>
      <c r="AH373" s="215" t="s">
        <v>224</v>
      </c>
      <c r="AI373" s="215" t="s">
        <v>449</v>
      </c>
      <c r="AJ373" s="215" t="s">
        <v>319</v>
      </c>
      <c r="AK373" s="215" t="s">
        <v>531</v>
      </c>
      <c r="AL373" s="215" t="s">
        <v>389</v>
      </c>
      <c r="AM373" s="217" t="b">
        <v>1</v>
      </c>
      <c r="AN373" s="217" t="b">
        <v>0</v>
      </c>
      <c r="AO373" s="215" t="s">
        <v>320</v>
      </c>
      <c r="AP373" s="215" t="s">
        <v>321</v>
      </c>
      <c r="AQ373" s="217">
        <v>86.175359999999998</v>
      </c>
      <c r="AR373" s="217" t="b">
        <v>0</v>
      </c>
      <c r="AS373" s="215" t="s">
        <v>534</v>
      </c>
      <c r="AU373" s="222" t="s">
        <v>819</v>
      </c>
    </row>
    <row r="374" spans="1:47" s="218" customFormat="1" x14ac:dyDescent="0.25">
      <c r="A374" s="245">
        <f t="shared" si="48"/>
        <v>469</v>
      </c>
      <c r="B374" s="246" t="str">
        <f t="shared" si="41"/>
        <v>Oil Field - Well</v>
      </c>
      <c r="C374" s="246" t="str">
        <f ca="1">IF(B374="","",VLOOKUP(D374,'Species Data'!B:E,4,FALSE))</f>
        <v>ethane</v>
      </c>
      <c r="D374" s="246">
        <f t="shared" ca="1" si="42"/>
        <v>438</v>
      </c>
      <c r="E374" s="246">
        <f t="shared" ca="1" si="43"/>
        <v>7.5007999999999999</v>
      </c>
      <c r="F374" s="246" t="str">
        <f t="shared" ca="1" si="44"/>
        <v>Ethane</v>
      </c>
      <c r="G374" s="246">
        <f t="shared" ca="1" si="45"/>
        <v>30.069040000000005</v>
      </c>
      <c r="H374" s="204">
        <f ca="1">IF(G374="","",IF(VLOOKUP(Well_Head!F374,'Species Data'!D:F,3,FALSE)=0,"X",IF(G374&lt;44.1,2,1)))</f>
        <v>2</v>
      </c>
      <c r="I374" s="204">
        <f t="shared" ca="1" si="46"/>
        <v>7.2582977601417076</v>
      </c>
      <c r="J374" s="247">
        <f ca="1">IF(I374="","",IF(COUNTIF($D$12:D374,D374)=1,IF(H374=1,I374*H374,IF(H374="X","X",0)),0))</f>
        <v>0</v>
      </c>
      <c r="K374" s="248">
        <f t="shared" ca="1" si="47"/>
        <v>0</v>
      </c>
      <c r="L374" s="239" t="s">
        <v>626</v>
      </c>
      <c r="M374" s="215" t="s">
        <v>448</v>
      </c>
      <c r="N374" s="215" t="s">
        <v>470</v>
      </c>
      <c r="O374" s="216">
        <v>41419</v>
      </c>
      <c r="P374" s="215" t="s">
        <v>531</v>
      </c>
      <c r="Q374" s="217">
        <v>100</v>
      </c>
      <c r="R374" s="215" t="s">
        <v>445</v>
      </c>
      <c r="S374" s="215" t="s">
        <v>532</v>
      </c>
      <c r="T374" s="215" t="s">
        <v>445</v>
      </c>
      <c r="U374" s="215" t="s">
        <v>446</v>
      </c>
      <c r="V374" s="217" t="b">
        <v>1</v>
      </c>
      <c r="W374" s="217">
        <v>1989</v>
      </c>
      <c r="X374" s="217">
        <v>5</v>
      </c>
      <c r="Y374" s="217">
        <v>2</v>
      </c>
      <c r="Z374" s="217">
        <v>4</v>
      </c>
      <c r="AA374" s="215" t="s">
        <v>447</v>
      </c>
      <c r="AB374" s="215" t="s">
        <v>531</v>
      </c>
      <c r="AC374" s="215" t="s">
        <v>533</v>
      </c>
      <c r="AD374" s="217">
        <v>1.983214</v>
      </c>
      <c r="AE374" s="217">
        <v>226</v>
      </c>
      <c r="AF374" s="217">
        <v>0.16489999999999999</v>
      </c>
      <c r="AG374" s="217">
        <v>-99</v>
      </c>
      <c r="AH374" s="215" t="s">
        <v>224</v>
      </c>
      <c r="AI374" s="215" t="s">
        <v>449</v>
      </c>
      <c r="AJ374" s="215" t="s">
        <v>439</v>
      </c>
      <c r="AK374" s="215" t="s">
        <v>531</v>
      </c>
      <c r="AL374" s="215" t="s">
        <v>461</v>
      </c>
      <c r="AM374" s="217" t="b">
        <v>0</v>
      </c>
      <c r="AN374" s="217" t="b">
        <v>0</v>
      </c>
      <c r="AO374" s="215" t="s">
        <v>440</v>
      </c>
      <c r="AP374" s="215" t="s">
        <v>531</v>
      </c>
      <c r="AQ374" s="217">
        <v>114.22852</v>
      </c>
      <c r="AR374" s="217" t="b">
        <v>0</v>
      </c>
      <c r="AS374" s="215" t="s">
        <v>534</v>
      </c>
      <c r="AU374" s="222" t="s">
        <v>819</v>
      </c>
    </row>
    <row r="375" spans="1:47" s="218" customFormat="1" x14ac:dyDescent="0.25">
      <c r="A375" s="245">
        <f t="shared" si="48"/>
        <v>470</v>
      </c>
      <c r="B375" s="246" t="str">
        <f t="shared" si="41"/>
        <v>Oil Field - Well</v>
      </c>
      <c r="C375" s="246" t="str">
        <f ca="1">IF(B375="","",VLOOKUP(D375,'Species Data'!B:E,4,FALSE))</f>
        <v>ethyl_benz</v>
      </c>
      <c r="D375" s="246">
        <f t="shared" ca="1" si="42"/>
        <v>449</v>
      </c>
      <c r="E375" s="246">
        <f t="shared" ca="1" si="43"/>
        <v>9.7600000000000006E-2</v>
      </c>
      <c r="F375" s="246" t="str">
        <f t="shared" ca="1" si="44"/>
        <v>Ethylbenzene</v>
      </c>
      <c r="G375" s="246">
        <f t="shared" ca="1" si="45"/>
        <v>106.16500000000001</v>
      </c>
      <c r="H375" s="204">
        <f ca="1">IF(G375="","",IF(VLOOKUP(Well_Head!F375,'Species Data'!D:F,3,FALSE)=0,"X",IF(G375&lt;44.1,2,1)))</f>
        <v>1</v>
      </c>
      <c r="I375" s="204">
        <f t="shared" ca="1" si="46"/>
        <v>0.43623386650805906</v>
      </c>
      <c r="J375" s="247">
        <f ca="1">IF(I375="","",IF(COUNTIF($D$12:D375,D375)=1,IF(H375=1,I375*H375,IF(H375="X","X",0)),0))</f>
        <v>0</v>
      </c>
      <c r="K375" s="248">
        <f t="shared" ca="1" si="47"/>
        <v>0</v>
      </c>
      <c r="L375" s="239" t="s">
        <v>626</v>
      </c>
      <c r="M375" s="215" t="s">
        <v>448</v>
      </c>
      <c r="N375" s="215" t="s">
        <v>470</v>
      </c>
      <c r="O375" s="216">
        <v>41419</v>
      </c>
      <c r="P375" s="215" t="s">
        <v>531</v>
      </c>
      <c r="Q375" s="217">
        <v>100</v>
      </c>
      <c r="R375" s="215" t="s">
        <v>445</v>
      </c>
      <c r="S375" s="215" t="s">
        <v>532</v>
      </c>
      <c r="T375" s="215" t="s">
        <v>445</v>
      </c>
      <c r="U375" s="215" t="s">
        <v>446</v>
      </c>
      <c r="V375" s="217" t="b">
        <v>1</v>
      </c>
      <c r="W375" s="217">
        <v>1989</v>
      </c>
      <c r="X375" s="217">
        <v>5</v>
      </c>
      <c r="Y375" s="217">
        <v>2</v>
      </c>
      <c r="Z375" s="217">
        <v>4</v>
      </c>
      <c r="AA375" s="215" t="s">
        <v>447</v>
      </c>
      <c r="AB375" s="215" t="s">
        <v>531</v>
      </c>
      <c r="AC375" s="215" t="s">
        <v>533</v>
      </c>
      <c r="AD375" s="217">
        <v>1.983214</v>
      </c>
      <c r="AE375" s="217">
        <v>245</v>
      </c>
      <c r="AF375" s="217">
        <v>0.60609999999999997</v>
      </c>
      <c r="AG375" s="217">
        <v>-99</v>
      </c>
      <c r="AH375" s="215" t="s">
        <v>224</v>
      </c>
      <c r="AI375" s="215" t="s">
        <v>449</v>
      </c>
      <c r="AJ375" s="215" t="s">
        <v>325</v>
      </c>
      <c r="AK375" s="215" t="s">
        <v>531</v>
      </c>
      <c r="AL375" s="215" t="s">
        <v>390</v>
      </c>
      <c r="AM375" s="217" t="b">
        <v>1</v>
      </c>
      <c r="AN375" s="217" t="b">
        <v>0</v>
      </c>
      <c r="AO375" s="215" t="s">
        <v>326</v>
      </c>
      <c r="AP375" s="215" t="s">
        <v>327</v>
      </c>
      <c r="AQ375" s="217">
        <v>100.20194000000001</v>
      </c>
      <c r="AR375" s="217" t="b">
        <v>0</v>
      </c>
      <c r="AS375" s="215" t="s">
        <v>534</v>
      </c>
      <c r="AU375" s="222" t="s">
        <v>819</v>
      </c>
    </row>
    <row r="376" spans="1:47" s="218" customFormat="1" x14ac:dyDescent="0.25">
      <c r="A376" s="245">
        <f t="shared" si="48"/>
        <v>471</v>
      </c>
      <c r="B376" s="246" t="str">
        <f t="shared" si="41"/>
        <v>Oil Field - Well</v>
      </c>
      <c r="C376" s="246" t="str">
        <f ca="1">IF(B376="","",VLOOKUP(D376,'Species Data'!B:E,4,FALSE))</f>
        <v>isobut</v>
      </c>
      <c r="D376" s="246">
        <f t="shared" ca="1" si="42"/>
        <v>491</v>
      </c>
      <c r="E376" s="246">
        <f t="shared" ca="1" si="43"/>
        <v>7.6460999999999997</v>
      </c>
      <c r="F376" s="246" t="str">
        <f t="shared" ca="1" si="44"/>
        <v>Isobutane</v>
      </c>
      <c r="G376" s="246">
        <f t="shared" ca="1" si="45"/>
        <v>58.122199999999992</v>
      </c>
      <c r="H376" s="204">
        <f ca="1">IF(G376="","",IF(VLOOKUP(Well_Head!F376,'Species Data'!D:F,3,FALSE)=0,"X",IF(G376&lt;44.1,2,1)))</f>
        <v>1</v>
      </c>
      <c r="I376" s="204">
        <f t="shared" ca="1" si="46"/>
        <v>2.9024368807561878</v>
      </c>
      <c r="J376" s="247">
        <f ca="1">IF(I376="","",IF(COUNTIF($D$12:D376,D376)=1,IF(H376=1,I376*H376,IF(H376="X","X",0)),0))</f>
        <v>0</v>
      </c>
      <c r="K376" s="248">
        <f t="shared" ca="1" si="47"/>
        <v>0</v>
      </c>
      <c r="L376" s="239" t="s">
        <v>626</v>
      </c>
      <c r="M376" s="215" t="s">
        <v>448</v>
      </c>
      <c r="N376" s="215" t="s">
        <v>470</v>
      </c>
      <c r="O376" s="216">
        <v>41419</v>
      </c>
      <c r="P376" s="215" t="s">
        <v>531</v>
      </c>
      <c r="Q376" s="217">
        <v>100</v>
      </c>
      <c r="R376" s="215" t="s">
        <v>445</v>
      </c>
      <c r="S376" s="215" t="s">
        <v>532</v>
      </c>
      <c r="T376" s="215" t="s">
        <v>445</v>
      </c>
      <c r="U376" s="215" t="s">
        <v>446</v>
      </c>
      <c r="V376" s="217" t="b">
        <v>1</v>
      </c>
      <c r="W376" s="217">
        <v>1989</v>
      </c>
      <c r="X376" s="217">
        <v>5</v>
      </c>
      <c r="Y376" s="217">
        <v>2</v>
      </c>
      <c r="Z376" s="217">
        <v>4</v>
      </c>
      <c r="AA376" s="215" t="s">
        <v>447</v>
      </c>
      <c r="AB376" s="215" t="s">
        <v>531</v>
      </c>
      <c r="AC376" s="215" t="s">
        <v>533</v>
      </c>
      <c r="AD376" s="217">
        <v>1.983214</v>
      </c>
      <c r="AE376" s="217">
        <v>248</v>
      </c>
      <c r="AF376" s="217">
        <v>1.1323000000000001</v>
      </c>
      <c r="AG376" s="217">
        <v>-99</v>
      </c>
      <c r="AH376" s="215" t="s">
        <v>224</v>
      </c>
      <c r="AI376" s="215" t="s">
        <v>449</v>
      </c>
      <c r="AJ376" s="215" t="s">
        <v>328</v>
      </c>
      <c r="AK376" s="215" t="s">
        <v>531</v>
      </c>
      <c r="AL376" s="215" t="s">
        <v>391</v>
      </c>
      <c r="AM376" s="217" t="b">
        <v>1</v>
      </c>
      <c r="AN376" s="217" t="b">
        <v>0</v>
      </c>
      <c r="AO376" s="215" t="s">
        <v>329</v>
      </c>
      <c r="AP376" s="215" t="s">
        <v>330</v>
      </c>
      <c r="AQ376" s="217">
        <v>86.175359999999998</v>
      </c>
      <c r="AR376" s="217" t="b">
        <v>0</v>
      </c>
      <c r="AS376" s="215" t="s">
        <v>534</v>
      </c>
      <c r="AU376" s="222" t="s">
        <v>819</v>
      </c>
    </row>
    <row r="377" spans="1:47" s="218" customFormat="1" x14ac:dyDescent="0.25">
      <c r="A377" s="245">
        <f t="shared" si="48"/>
        <v>472</v>
      </c>
      <c r="B377" s="246" t="str">
        <f t="shared" si="41"/>
        <v>Oil Field - Well</v>
      </c>
      <c r="C377" s="246" t="str">
        <f ca="1">IF(B377="","",VLOOKUP(D377,'Species Data'!B:E,4,FALSE))</f>
        <v>isopentane</v>
      </c>
      <c r="D377" s="246">
        <f t="shared" ca="1" si="42"/>
        <v>508</v>
      </c>
      <c r="E377" s="246">
        <f t="shared" ca="1" si="43"/>
        <v>5.7925000000000004</v>
      </c>
      <c r="F377" s="246" t="str">
        <f t="shared" ca="1" si="44"/>
        <v>Isopentane (2-Methylbutane)</v>
      </c>
      <c r="G377" s="246">
        <f t="shared" ca="1" si="45"/>
        <v>72.148780000000002</v>
      </c>
      <c r="H377" s="204">
        <f ca="1">IF(G377="","",IF(VLOOKUP(Well_Head!F377,'Species Data'!D:F,3,FALSE)=0,"X",IF(G377&lt;44.1,2,1)))</f>
        <v>1</v>
      </c>
      <c r="I377" s="204">
        <f t="shared" ca="1" si="46"/>
        <v>2.9334258075204316</v>
      </c>
      <c r="J377" s="247">
        <f ca="1">IF(I377="","",IF(COUNTIF($D$12:D377,D377)=1,IF(H377=1,I377*H377,IF(H377="X","X",0)),0))</f>
        <v>0</v>
      </c>
      <c r="K377" s="248">
        <f t="shared" ca="1" si="47"/>
        <v>0</v>
      </c>
      <c r="L377" s="239" t="s">
        <v>626</v>
      </c>
      <c r="M377" s="215" t="s">
        <v>448</v>
      </c>
      <c r="N377" s="215" t="s">
        <v>470</v>
      </c>
      <c r="O377" s="216">
        <v>41419</v>
      </c>
      <c r="P377" s="215" t="s">
        <v>531</v>
      </c>
      <c r="Q377" s="217">
        <v>100</v>
      </c>
      <c r="R377" s="215" t="s">
        <v>445</v>
      </c>
      <c r="S377" s="215" t="s">
        <v>532</v>
      </c>
      <c r="T377" s="215" t="s">
        <v>445</v>
      </c>
      <c r="U377" s="215" t="s">
        <v>446</v>
      </c>
      <c r="V377" s="217" t="b">
        <v>1</v>
      </c>
      <c r="W377" s="217">
        <v>1989</v>
      </c>
      <c r="X377" s="217">
        <v>5</v>
      </c>
      <c r="Y377" s="217">
        <v>2</v>
      </c>
      <c r="Z377" s="217">
        <v>4</v>
      </c>
      <c r="AA377" s="215" t="s">
        <v>447</v>
      </c>
      <c r="AB377" s="215" t="s">
        <v>531</v>
      </c>
      <c r="AC377" s="215" t="s">
        <v>533</v>
      </c>
      <c r="AD377" s="217">
        <v>1.983214</v>
      </c>
      <c r="AE377" s="217">
        <v>302</v>
      </c>
      <c r="AF377" s="217">
        <v>0.25090000000000001</v>
      </c>
      <c r="AG377" s="217">
        <v>-99</v>
      </c>
      <c r="AH377" s="215" t="s">
        <v>224</v>
      </c>
      <c r="AI377" s="215" t="s">
        <v>449</v>
      </c>
      <c r="AJ377" s="215" t="s">
        <v>262</v>
      </c>
      <c r="AK377" s="215" t="s">
        <v>531</v>
      </c>
      <c r="AL377" s="215" t="s">
        <v>373</v>
      </c>
      <c r="AM377" s="217" t="b">
        <v>1</v>
      </c>
      <c r="AN377" s="217" t="b">
        <v>1</v>
      </c>
      <c r="AO377" s="215" t="s">
        <v>263</v>
      </c>
      <c r="AP377" s="215" t="s">
        <v>264</v>
      </c>
      <c r="AQ377" s="217">
        <v>78.111840000000001</v>
      </c>
      <c r="AR377" s="217" t="b">
        <v>0</v>
      </c>
      <c r="AS377" s="215" t="s">
        <v>534</v>
      </c>
      <c r="AU377" s="222" t="s">
        <v>819</v>
      </c>
    </row>
    <row r="378" spans="1:47" s="218" customFormat="1" x14ac:dyDescent="0.25">
      <c r="A378" s="245">
        <f t="shared" si="48"/>
        <v>473</v>
      </c>
      <c r="B378" s="246" t="str">
        <f t="shared" si="41"/>
        <v>Oil Field - Well</v>
      </c>
      <c r="C378" s="246" t="str">
        <f ca="1">IF(B378="","",VLOOKUP(D378,'Species Data'!B:E,4,FALSE))</f>
        <v>methane</v>
      </c>
      <c r="D378" s="246">
        <f t="shared" ca="1" si="42"/>
        <v>529</v>
      </c>
      <c r="E378" s="246">
        <f t="shared" ca="1" si="43"/>
        <v>24.770399999999999</v>
      </c>
      <c r="F378" s="246" t="str">
        <f t="shared" ca="1" si="44"/>
        <v>Methane</v>
      </c>
      <c r="G378" s="246">
        <f t="shared" ca="1" si="45"/>
        <v>16.042459999999998</v>
      </c>
      <c r="H378" s="204">
        <f ca="1">IF(G378="","",IF(VLOOKUP(Well_Head!F378,'Species Data'!D:F,3,FALSE)=0,"X",IF(G378&lt;44.1,2,1)))</f>
        <v>2</v>
      </c>
      <c r="I378" s="204">
        <f t="shared" ca="1" si="46"/>
        <v>36.272299888366533</v>
      </c>
      <c r="J378" s="247">
        <f ca="1">IF(I378="","",IF(COUNTIF($D$12:D378,D378)=1,IF(H378=1,I378*H378,IF(H378="X","X",0)),0))</f>
        <v>0</v>
      </c>
      <c r="K378" s="248">
        <f t="shared" ca="1" si="47"/>
        <v>0</v>
      </c>
      <c r="L378" s="239" t="s">
        <v>626</v>
      </c>
      <c r="M378" s="215" t="s">
        <v>448</v>
      </c>
      <c r="N378" s="215" t="s">
        <v>470</v>
      </c>
      <c r="O378" s="216">
        <v>41419</v>
      </c>
      <c r="P378" s="215" t="s">
        <v>531</v>
      </c>
      <c r="Q378" s="217">
        <v>100</v>
      </c>
      <c r="R378" s="215" t="s">
        <v>445</v>
      </c>
      <c r="S378" s="215" t="s">
        <v>532</v>
      </c>
      <c r="T378" s="215" t="s">
        <v>445</v>
      </c>
      <c r="U378" s="215" t="s">
        <v>446</v>
      </c>
      <c r="V378" s="217" t="b">
        <v>1</v>
      </c>
      <c r="W378" s="217">
        <v>1989</v>
      </c>
      <c r="X378" s="217">
        <v>5</v>
      </c>
      <c r="Y378" s="217">
        <v>2</v>
      </c>
      <c r="Z378" s="217">
        <v>4</v>
      </c>
      <c r="AA378" s="215" t="s">
        <v>447</v>
      </c>
      <c r="AB378" s="215" t="s">
        <v>531</v>
      </c>
      <c r="AC378" s="215" t="s">
        <v>533</v>
      </c>
      <c r="AD378" s="217">
        <v>1.983214</v>
      </c>
      <c r="AE378" s="217">
        <v>390</v>
      </c>
      <c r="AF378" s="217">
        <v>0.2525</v>
      </c>
      <c r="AG378" s="217">
        <v>-99</v>
      </c>
      <c r="AH378" s="215" t="s">
        <v>224</v>
      </c>
      <c r="AI378" s="215" t="s">
        <v>449</v>
      </c>
      <c r="AJ378" s="215" t="s">
        <v>334</v>
      </c>
      <c r="AK378" s="215" t="s">
        <v>531</v>
      </c>
      <c r="AL378" s="215" t="s">
        <v>393</v>
      </c>
      <c r="AM378" s="217" t="b">
        <v>1</v>
      </c>
      <c r="AN378" s="217" t="b">
        <v>0</v>
      </c>
      <c r="AO378" s="215" t="s">
        <v>335</v>
      </c>
      <c r="AP378" s="215" t="s">
        <v>336</v>
      </c>
      <c r="AQ378" s="217">
        <v>70.132900000000006</v>
      </c>
      <c r="AR378" s="217" t="b">
        <v>0</v>
      </c>
      <c r="AS378" s="215" t="s">
        <v>534</v>
      </c>
      <c r="AU378" s="222" t="s">
        <v>819</v>
      </c>
    </row>
    <row r="379" spans="1:47" s="218" customFormat="1" x14ac:dyDescent="0.25">
      <c r="A379" s="245">
        <f t="shared" si="48"/>
        <v>474</v>
      </c>
      <c r="B379" s="246" t="str">
        <f t="shared" si="41"/>
        <v>Oil Field - Well</v>
      </c>
      <c r="C379" s="246" t="str">
        <f ca="1">IF(B379="","",VLOOKUP(D379,'Species Data'!B:E,4,FALSE))</f>
        <v>methcychex</v>
      </c>
      <c r="D379" s="246">
        <f t="shared" ca="1" si="42"/>
        <v>550</v>
      </c>
      <c r="E379" s="246">
        <f t="shared" ca="1" si="43"/>
        <v>0.22700000000000001</v>
      </c>
      <c r="F379" s="246" t="str">
        <f t="shared" ca="1" si="44"/>
        <v>Methylcyclohexane</v>
      </c>
      <c r="G379" s="246">
        <f t="shared" ca="1" si="45"/>
        <v>98.186059999999998</v>
      </c>
      <c r="H379" s="204">
        <f ca="1">IF(G379="","",IF(VLOOKUP(Well_Head!F379,'Species Data'!D:F,3,FALSE)=0,"X",IF(G379&lt;44.1,2,1)))</f>
        <v>1</v>
      </c>
      <c r="I379" s="204">
        <f t="shared" ca="1" si="46"/>
        <v>0.46704501527724096</v>
      </c>
      <c r="J379" s="247">
        <f ca="1">IF(I379="","",IF(COUNTIF($D$12:D379,D379)=1,IF(H379=1,I379*H379,IF(H379="X","X",0)),0))</f>
        <v>0</v>
      </c>
      <c r="K379" s="248">
        <f t="shared" ca="1" si="47"/>
        <v>0</v>
      </c>
      <c r="L379" s="239" t="s">
        <v>626</v>
      </c>
      <c r="M379" s="215" t="s">
        <v>448</v>
      </c>
      <c r="N379" s="215" t="s">
        <v>470</v>
      </c>
      <c r="O379" s="216">
        <v>41419</v>
      </c>
      <c r="P379" s="215" t="s">
        <v>531</v>
      </c>
      <c r="Q379" s="217">
        <v>100</v>
      </c>
      <c r="R379" s="215" t="s">
        <v>445</v>
      </c>
      <c r="S379" s="215" t="s">
        <v>532</v>
      </c>
      <c r="T379" s="215" t="s">
        <v>445</v>
      </c>
      <c r="U379" s="215" t="s">
        <v>446</v>
      </c>
      <c r="V379" s="217" t="b">
        <v>1</v>
      </c>
      <c r="W379" s="217">
        <v>1989</v>
      </c>
      <c r="X379" s="217">
        <v>5</v>
      </c>
      <c r="Y379" s="217">
        <v>2</v>
      </c>
      <c r="Z379" s="217">
        <v>4</v>
      </c>
      <c r="AA379" s="215" t="s">
        <v>447</v>
      </c>
      <c r="AB379" s="215" t="s">
        <v>531</v>
      </c>
      <c r="AC379" s="215" t="s">
        <v>533</v>
      </c>
      <c r="AD379" s="217">
        <v>1.983214</v>
      </c>
      <c r="AE379" s="217">
        <v>438</v>
      </c>
      <c r="AF379" s="217">
        <v>8.8839000000000006</v>
      </c>
      <c r="AG379" s="217">
        <v>-99</v>
      </c>
      <c r="AH379" s="215" t="s">
        <v>224</v>
      </c>
      <c r="AI379" s="215" t="s">
        <v>449</v>
      </c>
      <c r="AJ379" s="215" t="s">
        <v>265</v>
      </c>
      <c r="AK379" s="215" t="s">
        <v>531</v>
      </c>
      <c r="AL379" s="215" t="s">
        <v>374</v>
      </c>
      <c r="AM379" s="217" t="b">
        <v>1</v>
      </c>
      <c r="AN379" s="217" t="b">
        <v>0</v>
      </c>
      <c r="AO379" s="215" t="s">
        <v>266</v>
      </c>
      <c r="AP379" s="215" t="s">
        <v>267</v>
      </c>
      <c r="AQ379" s="217">
        <v>30.069040000000005</v>
      </c>
      <c r="AR379" s="217" t="b">
        <v>1</v>
      </c>
      <c r="AS379" s="215" t="s">
        <v>534</v>
      </c>
      <c r="AU379" s="222" t="s">
        <v>819</v>
      </c>
    </row>
    <row r="380" spans="1:47" s="218" customFormat="1" x14ac:dyDescent="0.25">
      <c r="A380" s="245">
        <f t="shared" si="48"/>
        <v>475</v>
      </c>
      <c r="B380" s="246" t="str">
        <f t="shared" si="41"/>
        <v>Oil Field - Well</v>
      </c>
      <c r="C380" s="246" t="str">
        <f ca="1">IF(B380="","",VLOOKUP(D380,'Species Data'!B:E,4,FALSE))</f>
        <v>methcycpen</v>
      </c>
      <c r="D380" s="246">
        <f t="shared" ca="1" si="42"/>
        <v>551</v>
      </c>
      <c r="E380" s="246">
        <f t="shared" ca="1" si="43"/>
        <v>1.2884</v>
      </c>
      <c r="F380" s="246" t="str">
        <f t="shared" ca="1" si="44"/>
        <v>Methylcyclopentane</v>
      </c>
      <c r="G380" s="246">
        <f t="shared" ca="1" si="45"/>
        <v>84.159480000000002</v>
      </c>
      <c r="H380" s="204">
        <f ca="1">IF(G380="","",IF(VLOOKUP(Well_Head!F380,'Species Data'!D:F,3,FALSE)=0,"X",IF(G380&lt;44.1,2,1)))</f>
        <v>1</v>
      </c>
      <c r="I380" s="204">
        <f t="shared" ca="1" si="46"/>
        <v>0.80952321163948093</v>
      </c>
      <c r="J380" s="247">
        <f ca="1">IF(I380="","",IF(COUNTIF($D$12:D380,D380)=1,IF(H380=1,I380*H380,IF(H380="X","X",0)),0))</f>
        <v>0</v>
      </c>
      <c r="K380" s="248">
        <f t="shared" ca="1" si="47"/>
        <v>0</v>
      </c>
      <c r="L380" s="239" t="s">
        <v>626</v>
      </c>
      <c r="M380" s="215" t="s">
        <v>448</v>
      </c>
      <c r="N380" s="215" t="s">
        <v>470</v>
      </c>
      <c r="O380" s="216">
        <v>41419</v>
      </c>
      <c r="P380" s="215" t="s">
        <v>531</v>
      </c>
      <c r="Q380" s="217">
        <v>100</v>
      </c>
      <c r="R380" s="215" t="s">
        <v>445</v>
      </c>
      <c r="S380" s="215" t="s">
        <v>532</v>
      </c>
      <c r="T380" s="215" t="s">
        <v>445</v>
      </c>
      <c r="U380" s="215" t="s">
        <v>446</v>
      </c>
      <c r="V380" s="217" t="b">
        <v>1</v>
      </c>
      <c r="W380" s="217">
        <v>1989</v>
      </c>
      <c r="X380" s="217">
        <v>5</v>
      </c>
      <c r="Y380" s="217">
        <v>2</v>
      </c>
      <c r="Z380" s="217">
        <v>4</v>
      </c>
      <c r="AA380" s="215" t="s">
        <v>447</v>
      </c>
      <c r="AB380" s="215" t="s">
        <v>531</v>
      </c>
      <c r="AC380" s="215" t="s">
        <v>533</v>
      </c>
      <c r="AD380" s="217">
        <v>1.983214</v>
      </c>
      <c r="AE380" s="217">
        <v>449</v>
      </c>
      <c r="AF380" s="217">
        <v>0.19889999999999999</v>
      </c>
      <c r="AG380" s="217">
        <v>-99</v>
      </c>
      <c r="AH380" s="215" t="s">
        <v>224</v>
      </c>
      <c r="AI380" s="215" t="s">
        <v>449</v>
      </c>
      <c r="AJ380" s="215" t="s">
        <v>337</v>
      </c>
      <c r="AK380" s="215" t="s">
        <v>531</v>
      </c>
      <c r="AL380" s="215" t="s">
        <v>394</v>
      </c>
      <c r="AM380" s="217" t="b">
        <v>1</v>
      </c>
      <c r="AN380" s="217" t="b">
        <v>1</v>
      </c>
      <c r="AO380" s="215" t="s">
        <v>338</v>
      </c>
      <c r="AP380" s="215" t="s">
        <v>339</v>
      </c>
      <c r="AQ380" s="217">
        <v>106.16500000000001</v>
      </c>
      <c r="AR380" s="217" t="b">
        <v>0</v>
      </c>
      <c r="AS380" s="215" t="s">
        <v>534</v>
      </c>
      <c r="AU380" s="222" t="s">
        <v>819</v>
      </c>
    </row>
    <row r="381" spans="1:47" s="218" customFormat="1" x14ac:dyDescent="0.25">
      <c r="A381" s="245">
        <f t="shared" si="48"/>
        <v>476</v>
      </c>
      <c r="B381" s="246" t="str">
        <f t="shared" si="41"/>
        <v>Oil Field - Well</v>
      </c>
      <c r="C381" s="246" t="str">
        <f ca="1">IF(B381="","",VLOOKUP(D381,'Species Data'!B:E,4,FALSE))</f>
        <v>N_but</v>
      </c>
      <c r="D381" s="246">
        <f t="shared" ca="1" si="42"/>
        <v>592</v>
      </c>
      <c r="E381" s="246">
        <f t="shared" ca="1" si="43"/>
        <v>16.189499999999999</v>
      </c>
      <c r="F381" s="246" t="str">
        <f t="shared" ca="1" si="44"/>
        <v>N-butane</v>
      </c>
      <c r="G381" s="246">
        <f t="shared" ca="1" si="45"/>
        <v>58.122199999999992</v>
      </c>
      <c r="H381" s="204">
        <f ca="1">IF(G381="","",IF(VLOOKUP(Well_Head!F381,'Species Data'!D:F,3,FALSE)=0,"X",IF(G381&lt;44.1,2,1)))</f>
        <v>1</v>
      </c>
      <c r="I381" s="204">
        <f t="shared" ca="1" si="46"/>
        <v>6.782997179218774</v>
      </c>
      <c r="J381" s="247">
        <f ca="1">IF(I381="","",IF(COUNTIF($D$12:D381,D381)=1,IF(H381=1,I381*H381,IF(H381="X","X",0)),0))</f>
        <v>0</v>
      </c>
      <c r="K381" s="248">
        <f t="shared" ca="1" si="47"/>
        <v>0</v>
      </c>
      <c r="L381" s="239" t="s">
        <v>626</v>
      </c>
      <c r="M381" s="215" t="s">
        <v>448</v>
      </c>
      <c r="N381" s="215" t="s">
        <v>470</v>
      </c>
      <c r="O381" s="216">
        <v>41419</v>
      </c>
      <c r="P381" s="215" t="s">
        <v>531</v>
      </c>
      <c r="Q381" s="217">
        <v>100</v>
      </c>
      <c r="R381" s="215" t="s">
        <v>445</v>
      </c>
      <c r="S381" s="215" t="s">
        <v>532</v>
      </c>
      <c r="T381" s="215" t="s">
        <v>445</v>
      </c>
      <c r="U381" s="215" t="s">
        <v>446</v>
      </c>
      <c r="V381" s="217" t="b">
        <v>1</v>
      </c>
      <c r="W381" s="217">
        <v>1989</v>
      </c>
      <c r="X381" s="217">
        <v>5</v>
      </c>
      <c r="Y381" s="217">
        <v>2</v>
      </c>
      <c r="Z381" s="217">
        <v>4</v>
      </c>
      <c r="AA381" s="215" t="s">
        <v>447</v>
      </c>
      <c r="AB381" s="215" t="s">
        <v>531</v>
      </c>
      <c r="AC381" s="215" t="s">
        <v>533</v>
      </c>
      <c r="AD381" s="217">
        <v>1.983214</v>
      </c>
      <c r="AE381" s="217">
        <v>491</v>
      </c>
      <c r="AF381" s="217">
        <v>3.1034000000000002</v>
      </c>
      <c r="AG381" s="217">
        <v>-99</v>
      </c>
      <c r="AH381" s="215" t="s">
        <v>224</v>
      </c>
      <c r="AI381" s="215" t="s">
        <v>449</v>
      </c>
      <c r="AJ381" s="215" t="s">
        <v>268</v>
      </c>
      <c r="AK381" s="215" t="s">
        <v>531</v>
      </c>
      <c r="AL381" s="215" t="s">
        <v>375</v>
      </c>
      <c r="AM381" s="217" t="b">
        <v>1</v>
      </c>
      <c r="AN381" s="217" t="b">
        <v>0</v>
      </c>
      <c r="AO381" s="215" t="s">
        <v>269</v>
      </c>
      <c r="AP381" s="215" t="s">
        <v>270</v>
      </c>
      <c r="AQ381" s="217">
        <v>58.122199999999992</v>
      </c>
      <c r="AR381" s="217" t="b">
        <v>0</v>
      </c>
      <c r="AS381" s="215" t="s">
        <v>534</v>
      </c>
      <c r="AU381" s="222" t="s">
        <v>819</v>
      </c>
    </row>
    <row r="382" spans="1:47" s="218" customFormat="1" x14ac:dyDescent="0.25">
      <c r="A382" s="245">
        <f t="shared" si="48"/>
        <v>477</v>
      </c>
      <c r="B382" s="246" t="str">
        <f t="shared" si="41"/>
        <v>Oil Field - Well</v>
      </c>
      <c r="C382" s="246" t="str">
        <f ca="1">IF(B382="","",VLOOKUP(D382,'Species Data'!B:E,4,FALSE))</f>
        <v>N_hep</v>
      </c>
      <c r="D382" s="246">
        <f t="shared" ca="1" si="42"/>
        <v>600</v>
      </c>
      <c r="E382" s="246">
        <f t="shared" ca="1" si="43"/>
        <v>0.2606</v>
      </c>
      <c r="F382" s="246" t="str">
        <f t="shared" ca="1" si="44"/>
        <v>N-heptane</v>
      </c>
      <c r="G382" s="246">
        <f t="shared" ca="1" si="45"/>
        <v>100.20194000000001</v>
      </c>
      <c r="H382" s="204">
        <f ca="1">IF(G382="","",IF(VLOOKUP(Well_Head!F382,'Species Data'!D:F,3,FALSE)=0,"X",IF(G382&lt;44.1,2,1)))</f>
        <v>1</v>
      </c>
      <c r="I382" s="204">
        <f t="shared" ca="1" si="46"/>
        <v>0.42536718655989475</v>
      </c>
      <c r="J382" s="247">
        <f ca="1">IF(I382="","",IF(COUNTIF($D$12:D382,D382)=1,IF(H382=1,I382*H382,IF(H382="X","X",0)),0))</f>
        <v>0</v>
      </c>
      <c r="K382" s="248">
        <f t="shared" ca="1" si="47"/>
        <v>0</v>
      </c>
      <c r="L382" s="239" t="s">
        <v>626</v>
      </c>
      <c r="M382" s="215" t="s">
        <v>448</v>
      </c>
      <c r="N382" s="215" t="s">
        <v>470</v>
      </c>
      <c r="O382" s="216">
        <v>41419</v>
      </c>
      <c r="P382" s="215" t="s">
        <v>531</v>
      </c>
      <c r="Q382" s="217">
        <v>100</v>
      </c>
      <c r="R382" s="215" t="s">
        <v>445</v>
      </c>
      <c r="S382" s="215" t="s">
        <v>532</v>
      </c>
      <c r="T382" s="215" t="s">
        <v>445</v>
      </c>
      <c r="U382" s="215" t="s">
        <v>446</v>
      </c>
      <c r="V382" s="217" t="b">
        <v>1</v>
      </c>
      <c r="W382" s="217">
        <v>1989</v>
      </c>
      <c r="X382" s="217">
        <v>5</v>
      </c>
      <c r="Y382" s="217">
        <v>2</v>
      </c>
      <c r="Z382" s="217">
        <v>4</v>
      </c>
      <c r="AA382" s="215" t="s">
        <v>447</v>
      </c>
      <c r="AB382" s="215" t="s">
        <v>531</v>
      </c>
      <c r="AC382" s="215" t="s">
        <v>533</v>
      </c>
      <c r="AD382" s="217">
        <v>1.983214</v>
      </c>
      <c r="AE382" s="217">
        <v>508</v>
      </c>
      <c r="AF382" s="217">
        <v>2.8269000000000002</v>
      </c>
      <c r="AG382" s="217">
        <v>-99</v>
      </c>
      <c r="AH382" s="215" t="s">
        <v>224</v>
      </c>
      <c r="AI382" s="215" t="s">
        <v>449</v>
      </c>
      <c r="AJ382" s="215" t="s">
        <v>342</v>
      </c>
      <c r="AK382" s="215" t="s">
        <v>531</v>
      </c>
      <c r="AL382" s="215" t="s">
        <v>395</v>
      </c>
      <c r="AM382" s="217" t="b">
        <v>1</v>
      </c>
      <c r="AN382" s="217" t="b">
        <v>0</v>
      </c>
      <c r="AO382" s="215" t="s">
        <v>343</v>
      </c>
      <c r="AP382" s="215" t="s">
        <v>344</v>
      </c>
      <c r="AQ382" s="217">
        <v>72.148780000000002</v>
      </c>
      <c r="AR382" s="217" t="b">
        <v>0</v>
      </c>
      <c r="AS382" s="215" t="s">
        <v>534</v>
      </c>
      <c r="AU382" s="222" t="s">
        <v>819</v>
      </c>
    </row>
    <row r="383" spans="1:47" s="218" customFormat="1" x14ac:dyDescent="0.25">
      <c r="A383" s="245">
        <f t="shared" si="48"/>
        <v>478</v>
      </c>
      <c r="B383" s="246" t="str">
        <f t="shared" si="41"/>
        <v>Oil Field - Well</v>
      </c>
      <c r="C383" s="246" t="str">
        <f ca="1">IF(B383="","",VLOOKUP(D383,'Species Data'!B:E,4,FALSE))</f>
        <v>N_hex</v>
      </c>
      <c r="D383" s="246">
        <f t="shared" ca="1" si="42"/>
        <v>601</v>
      </c>
      <c r="E383" s="246">
        <f t="shared" ca="1" si="43"/>
        <v>1.1171</v>
      </c>
      <c r="F383" s="246" t="str">
        <f t="shared" ca="1" si="44"/>
        <v>N-hexane</v>
      </c>
      <c r="G383" s="246">
        <f t="shared" ca="1" si="45"/>
        <v>86.175359999999998</v>
      </c>
      <c r="H383" s="204">
        <f ca="1">IF(G383="","",IF(VLOOKUP(Well_Head!F383,'Species Data'!D:F,3,FALSE)=0,"X",IF(G383&lt;44.1,2,1)))</f>
        <v>1</v>
      </c>
      <c r="I383" s="204">
        <f t="shared" ca="1" si="46"/>
        <v>0.89334553631121094</v>
      </c>
      <c r="J383" s="247">
        <f ca="1">IF(I383="","",IF(COUNTIF($D$12:D383,D383)=1,IF(H383=1,I383*H383,IF(H383="X","X",0)),0))</f>
        <v>0</v>
      </c>
      <c r="K383" s="248">
        <f t="shared" ca="1" si="47"/>
        <v>0</v>
      </c>
      <c r="L383" s="239" t="s">
        <v>626</v>
      </c>
      <c r="M383" s="215" t="s">
        <v>448</v>
      </c>
      <c r="N383" s="215" t="s">
        <v>470</v>
      </c>
      <c r="O383" s="216">
        <v>41419</v>
      </c>
      <c r="P383" s="215" t="s">
        <v>531</v>
      </c>
      <c r="Q383" s="217">
        <v>100</v>
      </c>
      <c r="R383" s="215" t="s">
        <v>445</v>
      </c>
      <c r="S383" s="215" t="s">
        <v>532</v>
      </c>
      <c r="T383" s="215" t="s">
        <v>445</v>
      </c>
      <c r="U383" s="215" t="s">
        <v>446</v>
      </c>
      <c r="V383" s="217" t="b">
        <v>1</v>
      </c>
      <c r="W383" s="217">
        <v>1989</v>
      </c>
      <c r="X383" s="217">
        <v>5</v>
      </c>
      <c r="Y383" s="217">
        <v>2</v>
      </c>
      <c r="Z383" s="217">
        <v>4</v>
      </c>
      <c r="AA383" s="215" t="s">
        <v>447</v>
      </c>
      <c r="AB383" s="215" t="s">
        <v>531</v>
      </c>
      <c r="AC383" s="215" t="s">
        <v>533</v>
      </c>
      <c r="AD383" s="217">
        <v>1.983214</v>
      </c>
      <c r="AE383" s="217">
        <v>514</v>
      </c>
      <c r="AF383" s="217">
        <v>1.83E-2</v>
      </c>
      <c r="AG383" s="217">
        <v>-99</v>
      </c>
      <c r="AH383" s="215" t="s">
        <v>224</v>
      </c>
      <c r="AI383" s="215" t="s">
        <v>449</v>
      </c>
      <c r="AJ383" s="215" t="s">
        <v>362</v>
      </c>
      <c r="AK383" s="215" t="s">
        <v>531</v>
      </c>
      <c r="AL383" s="215" t="s">
        <v>399</v>
      </c>
      <c r="AM383" s="217" t="b">
        <v>1</v>
      </c>
      <c r="AN383" s="217" t="b">
        <v>1</v>
      </c>
      <c r="AO383" s="215" t="s">
        <v>363</v>
      </c>
      <c r="AP383" s="215" t="s">
        <v>364</v>
      </c>
      <c r="AQ383" s="217">
        <v>120.19158</v>
      </c>
      <c r="AR383" s="217" t="b">
        <v>0</v>
      </c>
      <c r="AS383" s="215" t="s">
        <v>534</v>
      </c>
      <c r="AU383" s="222" t="s">
        <v>819</v>
      </c>
    </row>
    <row r="384" spans="1:47" s="218" customFormat="1" x14ac:dyDescent="0.25">
      <c r="A384" s="245">
        <f t="shared" si="48"/>
        <v>479</v>
      </c>
      <c r="B384" s="246" t="str">
        <f t="shared" si="41"/>
        <v>Oil Field - Well</v>
      </c>
      <c r="C384" s="246" t="str">
        <f ca="1">IF(B384="","",VLOOKUP(D384,'Species Data'!B:E,4,FALSE))</f>
        <v>N_nonane</v>
      </c>
      <c r="D384" s="246">
        <f t="shared" ca="1" si="42"/>
        <v>603</v>
      </c>
      <c r="E384" s="246">
        <f t="shared" ca="1" si="43"/>
        <v>3.8300000000000001E-2</v>
      </c>
      <c r="F384" s="246" t="str">
        <f t="shared" ca="1" si="44"/>
        <v>N-nonane</v>
      </c>
      <c r="G384" s="246">
        <f t="shared" ca="1" si="45"/>
        <v>128.2551</v>
      </c>
      <c r="H384" s="204">
        <f ca="1">IF(G384="","",IF(VLOOKUP(Well_Head!F384,'Species Data'!D:F,3,FALSE)=0,"X",IF(G384&lt;44.1,2,1)))</f>
        <v>1</v>
      </c>
      <c r="I384" s="204">
        <f t="shared" ca="1" si="46"/>
        <v>0.35487821151781407</v>
      </c>
      <c r="J384" s="247">
        <f ca="1">IF(I384="","",IF(COUNTIF($D$12:D384,D384)=1,IF(H384=1,I384*H384,IF(H384="X","X",0)),0))</f>
        <v>0</v>
      </c>
      <c r="K384" s="248">
        <f t="shared" ca="1" si="47"/>
        <v>0</v>
      </c>
      <c r="L384" s="239" t="s">
        <v>626</v>
      </c>
      <c r="M384" s="215" t="s">
        <v>448</v>
      </c>
      <c r="N384" s="215" t="s">
        <v>470</v>
      </c>
      <c r="O384" s="216">
        <v>41419</v>
      </c>
      <c r="P384" s="215" t="s">
        <v>531</v>
      </c>
      <c r="Q384" s="217">
        <v>100</v>
      </c>
      <c r="R384" s="215" t="s">
        <v>445</v>
      </c>
      <c r="S384" s="215" t="s">
        <v>532</v>
      </c>
      <c r="T384" s="215" t="s">
        <v>445</v>
      </c>
      <c r="U384" s="215" t="s">
        <v>446</v>
      </c>
      <c r="V384" s="217" t="b">
        <v>1</v>
      </c>
      <c r="W384" s="217">
        <v>1989</v>
      </c>
      <c r="X384" s="217">
        <v>5</v>
      </c>
      <c r="Y384" s="217">
        <v>2</v>
      </c>
      <c r="Z384" s="217">
        <v>4</v>
      </c>
      <c r="AA384" s="215" t="s">
        <v>447</v>
      </c>
      <c r="AB384" s="215" t="s">
        <v>531</v>
      </c>
      <c r="AC384" s="215" t="s">
        <v>533</v>
      </c>
      <c r="AD384" s="217">
        <v>1.983214</v>
      </c>
      <c r="AE384" s="217">
        <v>524</v>
      </c>
      <c r="AF384" s="217">
        <v>0.14630000000000001</v>
      </c>
      <c r="AG384" s="217">
        <v>-99</v>
      </c>
      <c r="AH384" s="215" t="s">
        <v>224</v>
      </c>
      <c r="AI384" s="215" t="s">
        <v>449</v>
      </c>
      <c r="AJ384" s="215" t="s">
        <v>436</v>
      </c>
      <c r="AK384" s="215" t="s">
        <v>531</v>
      </c>
      <c r="AL384" s="215" t="s">
        <v>460</v>
      </c>
      <c r="AM384" s="217" t="b">
        <v>0</v>
      </c>
      <c r="AN384" s="217" t="b">
        <v>1</v>
      </c>
      <c r="AO384" s="215" t="s">
        <v>437</v>
      </c>
      <c r="AP384" s="215" t="s">
        <v>438</v>
      </c>
      <c r="AQ384" s="217">
        <v>106.16500000000001</v>
      </c>
      <c r="AR384" s="217" t="b">
        <v>0</v>
      </c>
      <c r="AS384" s="215" t="s">
        <v>534</v>
      </c>
      <c r="AU384" s="222" t="s">
        <v>819</v>
      </c>
    </row>
    <row r="385" spans="1:47" s="218" customFormat="1" x14ac:dyDescent="0.25">
      <c r="A385" s="245">
        <f t="shared" si="48"/>
        <v>480</v>
      </c>
      <c r="B385" s="246" t="str">
        <f t="shared" si="41"/>
        <v>Oil Field - Well</v>
      </c>
      <c r="C385" s="246" t="str">
        <f ca="1">IF(B385="","",VLOOKUP(D385,'Species Data'!B:E,4,FALSE))</f>
        <v>N_octane</v>
      </c>
      <c r="D385" s="246">
        <f t="shared" ca="1" si="42"/>
        <v>604</v>
      </c>
      <c r="E385" s="246">
        <f t="shared" ca="1" si="43"/>
        <v>7.9699999999999993E-2</v>
      </c>
      <c r="F385" s="246" t="str">
        <f t="shared" ca="1" si="44"/>
        <v>N-octane</v>
      </c>
      <c r="G385" s="246">
        <f t="shared" ca="1" si="45"/>
        <v>114.22852</v>
      </c>
      <c r="H385" s="204">
        <f ca="1">IF(G385="","",IF(VLOOKUP(Well_Head!F385,'Species Data'!D:F,3,FALSE)=0,"X",IF(G385&lt;44.1,2,1)))</f>
        <v>1</v>
      </c>
      <c r="I385" s="204">
        <f t="shared" ca="1" si="46"/>
        <v>0.67063415299729812</v>
      </c>
      <c r="J385" s="247">
        <f ca="1">IF(I385="","",IF(COUNTIF($D$12:D385,D385)=1,IF(H385=1,I385*H385,IF(H385="X","X",0)),0))</f>
        <v>0</v>
      </c>
      <c r="K385" s="248">
        <f t="shared" ca="1" si="47"/>
        <v>0</v>
      </c>
      <c r="L385" s="239" t="s">
        <v>626</v>
      </c>
      <c r="M385" s="215" t="s">
        <v>448</v>
      </c>
      <c r="N385" s="215" t="s">
        <v>470</v>
      </c>
      <c r="O385" s="216">
        <v>41419</v>
      </c>
      <c r="P385" s="215" t="s">
        <v>531</v>
      </c>
      <c r="Q385" s="217">
        <v>100</v>
      </c>
      <c r="R385" s="215" t="s">
        <v>445</v>
      </c>
      <c r="S385" s="215" t="s">
        <v>532</v>
      </c>
      <c r="T385" s="215" t="s">
        <v>445</v>
      </c>
      <c r="U385" s="215" t="s">
        <v>446</v>
      </c>
      <c r="V385" s="217" t="b">
        <v>1</v>
      </c>
      <c r="W385" s="217">
        <v>1989</v>
      </c>
      <c r="X385" s="217">
        <v>5</v>
      </c>
      <c r="Y385" s="217">
        <v>2</v>
      </c>
      <c r="Z385" s="217">
        <v>4</v>
      </c>
      <c r="AA385" s="215" t="s">
        <v>447</v>
      </c>
      <c r="AB385" s="215" t="s">
        <v>531</v>
      </c>
      <c r="AC385" s="215" t="s">
        <v>533</v>
      </c>
      <c r="AD385" s="217">
        <v>1.983214</v>
      </c>
      <c r="AE385" s="217">
        <v>529</v>
      </c>
      <c r="AF385" s="217">
        <v>40.692900000000002</v>
      </c>
      <c r="AG385" s="217">
        <v>-99</v>
      </c>
      <c r="AH385" s="215" t="s">
        <v>224</v>
      </c>
      <c r="AI385" s="215" t="s">
        <v>449</v>
      </c>
      <c r="AJ385" s="215" t="s">
        <v>271</v>
      </c>
      <c r="AK385" s="215" t="s">
        <v>531</v>
      </c>
      <c r="AL385" s="215" t="s">
        <v>376</v>
      </c>
      <c r="AM385" s="217" t="b">
        <v>0</v>
      </c>
      <c r="AN385" s="217" t="b">
        <v>0</v>
      </c>
      <c r="AO385" s="215" t="s">
        <v>272</v>
      </c>
      <c r="AP385" s="215" t="s">
        <v>531</v>
      </c>
      <c r="AQ385" s="217">
        <v>16.042459999999998</v>
      </c>
      <c r="AR385" s="217" t="b">
        <v>1</v>
      </c>
      <c r="AS385" s="215" t="s">
        <v>534</v>
      </c>
      <c r="AU385" s="222" t="s">
        <v>819</v>
      </c>
    </row>
    <row r="386" spans="1:47" s="218" customFormat="1" x14ac:dyDescent="0.25">
      <c r="A386" s="245">
        <f t="shared" si="48"/>
        <v>481</v>
      </c>
      <c r="B386" s="246" t="str">
        <f t="shared" si="41"/>
        <v>Oil Field - Well</v>
      </c>
      <c r="C386" s="246" t="str">
        <f ca="1">IF(B386="","",VLOOKUP(D386,'Species Data'!B:E,4,FALSE))</f>
        <v>N_pentane</v>
      </c>
      <c r="D386" s="246">
        <f t="shared" ca="1" si="42"/>
        <v>605</v>
      </c>
      <c r="E386" s="246">
        <f t="shared" ca="1" si="43"/>
        <v>4.6707999999999998</v>
      </c>
      <c r="F386" s="246" t="str">
        <f t="shared" ca="1" si="44"/>
        <v>N-pentane</v>
      </c>
      <c r="G386" s="246">
        <f t="shared" ca="1" si="45"/>
        <v>72.148780000000002</v>
      </c>
      <c r="H386" s="204">
        <f ca="1">IF(G386="","",IF(VLOOKUP(Well_Head!F386,'Species Data'!D:F,3,FALSE)=0,"X",IF(G386&lt;44.1,2,1)))</f>
        <v>1</v>
      </c>
      <c r="I386" s="204">
        <f t="shared" ca="1" si="46"/>
        <v>2.2200360467107241</v>
      </c>
      <c r="J386" s="247">
        <f ca="1">IF(I386="","",IF(COUNTIF($D$12:D386,D386)=1,IF(H386=1,I386*H386,IF(H386="X","X",0)),0))</f>
        <v>0</v>
      </c>
      <c r="K386" s="248">
        <f t="shared" ca="1" si="47"/>
        <v>0</v>
      </c>
      <c r="L386" s="239" t="s">
        <v>626</v>
      </c>
      <c r="M386" s="215" t="s">
        <v>448</v>
      </c>
      <c r="N386" s="215" t="s">
        <v>470</v>
      </c>
      <c r="O386" s="216">
        <v>41419</v>
      </c>
      <c r="P386" s="215" t="s">
        <v>531</v>
      </c>
      <c r="Q386" s="217">
        <v>100</v>
      </c>
      <c r="R386" s="215" t="s">
        <v>445</v>
      </c>
      <c r="S386" s="215" t="s">
        <v>532</v>
      </c>
      <c r="T386" s="215" t="s">
        <v>445</v>
      </c>
      <c r="U386" s="215" t="s">
        <v>446</v>
      </c>
      <c r="V386" s="217" t="b">
        <v>1</v>
      </c>
      <c r="W386" s="217">
        <v>1989</v>
      </c>
      <c r="X386" s="217">
        <v>5</v>
      </c>
      <c r="Y386" s="217">
        <v>2</v>
      </c>
      <c r="Z386" s="217">
        <v>4</v>
      </c>
      <c r="AA386" s="215" t="s">
        <v>447</v>
      </c>
      <c r="AB386" s="215" t="s">
        <v>531</v>
      </c>
      <c r="AC386" s="215" t="s">
        <v>533</v>
      </c>
      <c r="AD386" s="217">
        <v>1.983214</v>
      </c>
      <c r="AE386" s="217">
        <v>550</v>
      </c>
      <c r="AF386" s="217">
        <v>0.64670000000000005</v>
      </c>
      <c r="AG386" s="217">
        <v>-99</v>
      </c>
      <c r="AH386" s="215" t="s">
        <v>224</v>
      </c>
      <c r="AI386" s="215" t="s">
        <v>449</v>
      </c>
      <c r="AJ386" s="215" t="s">
        <v>348</v>
      </c>
      <c r="AK386" s="215" t="s">
        <v>531</v>
      </c>
      <c r="AL386" s="215" t="s">
        <v>396</v>
      </c>
      <c r="AM386" s="217" t="b">
        <v>1</v>
      </c>
      <c r="AN386" s="217" t="b">
        <v>0</v>
      </c>
      <c r="AO386" s="215" t="s">
        <v>349</v>
      </c>
      <c r="AP386" s="215" t="s">
        <v>350</v>
      </c>
      <c r="AQ386" s="217">
        <v>98.186059999999998</v>
      </c>
      <c r="AR386" s="217" t="b">
        <v>0</v>
      </c>
      <c r="AS386" s="215" t="s">
        <v>534</v>
      </c>
      <c r="AU386" s="222" t="s">
        <v>819</v>
      </c>
    </row>
    <row r="387" spans="1:47" s="218" customFormat="1" x14ac:dyDescent="0.25">
      <c r="A387" s="245">
        <f t="shared" si="48"/>
        <v>482</v>
      </c>
      <c r="B387" s="246" t="str">
        <f t="shared" si="41"/>
        <v>Oil Field - Well</v>
      </c>
      <c r="C387" s="246" t="str">
        <f ca="1">IF(B387="","",VLOOKUP(D387,'Species Data'!B:E,4,FALSE))</f>
        <v>N_proben</v>
      </c>
      <c r="D387" s="246">
        <f t="shared" ca="1" si="42"/>
        <v>608</v>
      </c>
      <c r="E387" s="246">
        <f t="shared" ca="1" si="43"/>
        <v>1.7399999999999999E-2</v>
      </c>
      <c r="F387" s="246" t="str">
        <f t="shared" ca="1" si="44"/>
        <v>N-propylbenzene</v>
      </c>
      <c r="G387" s="246">
        <f t="shared" ca="1" si="45"/>
        <v>120.19158</v>
      </c>
      <c r="H387" s="204">
        <f ca="1">IF(G387="","",IF(VLOOKUP(Well_Head!F387,'Species Data'!D:F,3,FALSE)=0,"X",IF(G387&lt;44.1,2,1)))</f>
        <v>1</v>
      </c>
      <c r="I387" s="204">
        <f t="shared" ca="1" si="46"/>
        <v>0.16350019983357761</v>
      </c>
      <c r="J387" s="247">
        <f ca="1">IF(I387="","",IF(COUNTIF($D$12:D387,D387)=1,IF(H387=1,I387*H387,IF(H387="X","X",0)),0))</f>
        <v>0</v>
      </c>
      <c r="K387" s="248">
        <f t="shared" ca="1" si="47"/>
        <v>0</v>
      </c>
      <c r="L387" s="239" t="s">
        <v>626</v>
      </c>
      <c r="M387" s="215" t="s">
        <v>448</v>
      </c>
      <c r="N387" s="215" t="s">
        <v>470</v>
      </c>
      <c r="O387" s="216">
        <v>41419</v>
      </c>
      <c r="P387" s="215" t="s">
        <v>531</v>
      </c>
      <c r="Q387" s="217">
        <v>100</v>
      </c>
      <c r="R387" s="215" t="s">
        <v>445</v>
      </c>
      <c r="S387" s="215" t="s">
        <v>532</v>
      </c>
      <c r="T387" s="215" t="s">
        <v>445</v>
      </c>
      <c r="U387" s="215" t="s">
        <v>446</v>
      </c>
      <c r="V387" s="217" t="b">
        <v>1</v>
      </c>
      <c r="W387" s="217">
        <v>1989</v>
      </c>
      <c r="X387" s="217">
        <v>5</v>
      </c>
      <c r="Y387" s="217">
        <v>2</v>
      </c>
      <c r="Z387" s="217">
        <v>4</v>
      </c>
      <c r="AA387" s="215" t="s">
        <v>447</v>
      </c>
      <c r="AB387" s="215" t="s">
        <v>531</v>
      </c>
      <c r="AC387" s="215" t="s">
        <v>533</v>
      </c>
      <c r="AD387" s="217">
        <v>1.983214</v>
      </c>
      <c r="AE387" s="217">
        <v>551</v>
      </c>
      <c r="AF387" s="217">
        <v>1.1295999999999999</v>
      </c>
      <c r="AG387" s="217">
        <v>-99</v>
      </c>
      <c r="AH387" s="215" t="s">
        <v>224</v>
      </c>
      <c r="AI387" s="215" t="s">
        <v>449</v>
      </c>
      <c r="AJ387" s="215" t="s">
        <v>351</v>
      </c>
      <c r="AK387" s="215" t="s">
        <v>531</v>
      </c>
      <c r="AL387" s="215" t="s">
        <v>397</v>
      </c>
      <c r="AM387" s="217" t="b">
        <v>1</v>
      </c>
      <c r="AN387" s="217" t="b">
        <v>0</v>
      </c>
      <c r="AO387" s="215" t="s">
        <v>352</v>
      </c>
      <c r="AP387" s="215" t="s">
        <v>353</v>
      </c>
      <c r="AQ387" s="217">
        <v>84.159480000000002</v>
      </c>
      <c r="AR387" s="217" t="b">
        <v>0</v>
      </c>
      <c r="AS387" s="215" t="s">
        <v>534</v>
      </c>
      <c r="AU387" s="222" t="s">
        <v>819</v>
      </c>
    </row>
    <row r="388" spans="1:47" s="218" customFormat="1" x14ac:dyDescent="0.25">
      <c r="A388" s="245">
        <f t="shared" si="48"/>
        <v>483</v>
      </c>
      <c r="B388" s="246" t="str">
        <f t="shared" si="41"/>
        <v>Oil Field - Well</v>
      </c>
      <c r="C388" s="246" t="str">
        <f ca="1">IF(B388="","",VLOOKUP(D388,'Species Data'!B:E,4,FALSE))</f>
        <v>O_xylene</v>
      </c>
      <c r="D388" s="246">
        <f t="shared" ca="1" si="42"/>
        <v>620</v>
      </c>
      <c r="E388" s="246">
        <f t="shared" ca="1" si="43"/>
        <v>4.6100000000000002E-2</v>
      </c>
      <c r="F388" s="246" t="str">
        <f t="shared" ca="1" si="44"/>
        <v>O-xylene</v>
      </c>
      <c r="G388" s="246">
        <f t="shared" ca="1" si="45"/>
        <v>106.16500000000001</v>
      </c>
      <c r="H388" s="204">
        <f ca="1">IF(G388="","",IF(VLOOKUP(Well_Head!F388,'Species Data'!D:F,3,FALSE)=0,"X",IF(G388&lt;44.1,2,1)))</f>
        <v>1</v>
      </c>
      <c r="I388" s="204">
        <f t="shared" ca="1" si="46"/>
        <v>0.25780031508927398</v>
      </c>
      <c r="J388" s="247">
        <f ca="1">IF(I388="","",IF(COUNTIF($D$12:D388,D388)=1,IF(H388=1,I388*H388,IF(H388="X","X",0)),0))</f>
        <v>0</v>
      </c>
      <c r="K388" s="248">
        <f t="shared" ca="1" si="47"/>
        <v>0</v>
      </c>
      <c r="L388" s="239" t="s">
        <v>626</v>
      </c>
      <c r="M388" s="215" t="s">
        <v>448</v>
      </c>
      <c r="N388" s="215" t="s">
        <v>470</v>
      </c>
      <c r="O388" s="216">
        <v>41419</v>
      </c>
      <c r="P388" s="215" t="s">
        <v>531</v>
      </c>
      <c r="Q388" s="217">
        <v>100</v>
      </c>
      <c r="R388" s="215" t="s">
        <v>445</v>
      </c>
      <c r="S388" s="215" t="s">
        <v>532</v>
      </c>
      <c r="T388" s="215" t="s">
        <v>445</v>
      </c>
      <c r="U388" s="215" t="s">
        <v>446</v>
      </c>
      <c r="V388" s="217" t="b">
        <v>1</v>
      </c>
      <c r="W388" s="217">
        <v>1989</v>
      </c>
      <c r="X388" s="217">
        <v>5</v>
      </c>
      <c r="Y388" s="217">
        <v>2</v>
      </c>
      <c r="Z388" s="217">
        <v>4</v>
      </c>
      <c r="AA388" s="215" t="s">
        <v>447</v>
      </c>
      <c r="AB388" s="215" t="s">
        <v>531</v>
      </c>
      <c r="AC388" s="215" t="s">
        <v>533</v>
      </c>
      <c r="AD388" s="217">
        <v>1.983214</v>
      </c>
      <c r="AE388" s="217">
        <v>592</v>
      </c>
      <c r="AF388" s="217">
        <v>8.2203999999999997</v>
      </c>
      <c r="AG388" s="217">
        <v>-99</v>
      </c>
      <c r="AH388" s="215" t="s">
        <v>224</v>
      </c>
      <c r="AI388" s="215" t="s">
        <v>449</v>
      </c>
      <c r="AJ388" s="215" t="s">
        <v>273</v>
      </c>
      <c r="AK388" s="215" t="s">
        <v>531</v>
      </c>
      <c r="AL388" s="215" t="s">
        <v>377</v>
      </c>
      <c r="AM388" s="217" t="b">
        <v>1</v>
      </c>
      <c r="AN388" s="217" t="b">
        <v>0</v>
      </c>
      <c r="AO388" s="215" t="s">
        <v>274</v>
      </c>
      <c r="AP388" s="215" t="s">
        <v>275</v>
      </c>
      <c r="AQ388" s="217">
        <v>58.122199999999992</v>
      </c>
      <c r="AR388" s="217" t="b">
        <v>0</v>
      </c>
      <c r="AS388" s="215" t="s">
        <v>534</v>
      </c>
      <c r="AU388" s="222" t="s">
        <v>819</v>
      </c>
    </row>
    <row r="389" spans="1:47" s="218" customFormat="1" x14ac:dyDescent="0.25">
      <c r="A389" s="245">
        <f t="shared" si="48"/>
        <v>484</v>
      </c>
      <c r="B389" s="246" t="str">
        <f t="shared" si="41"/>
        <v>Oil Field - Well</v>
      </c>
      <c r="C389" s="246" t="str">
        <f ca="1">IF(B389="","",VLOOKUP(D389,'Species Data'!B:E,4,FALSE))</f>
        <v>P_xylene</v>
      </c>
      <c r="D389" s="246">
        <f t="shared" ca="1" si="42"/>
        <v>648</v>
      </c>
      <c r="E389" s="246">
        <f t="shared" ca="1" si="43"/>
        <v>7.8700000000000006E-2</v>
      </c>
      <c r="F389" s="246" t="str">
        <f t="shared" ca="1" si="44"/>
        <v>P-xylene</v>
      </c>
      <c r="G389" s="246">
        <f t="shared" ca="1" si="45"/>
        <v>106.16500000000001</v>
      </c>
      <c r="H389" s="204">
        <f ca="1">IF(G389="","",IF(VLOOKUP(Well_Head!F389,'Species Data'!D:F,3,FALSE)=0,"X",IF(G389&lt;44.1,2,1)))</f>
        <v>1</v>
      </c>
      <c r="I389" s="204">
        <f t="shared" ca="1" si="46"/>
        <v>8.6622328093956577E-2</v>
      </c>
      <c r="J389" s="247">
        <f ca="1">IF(I389="","",IF(COUNTIF($D$12:D389,D389)=1,IF(H389=1,I389*H389,IF(H389="X","X",0)),0))</f>
        <v>0</v>
      </c>
      <c r="K389" s="248">
        <f t="shared" ca="1" si="47"/>
        <v>0</v>
      </c>
      <c r="L389" s="239" t="s">
        <v>626</v>
      </c>
      <c r="M389" s="215" t="s">
        <v>448</v>
      </c>
      <c r="N389" s="215" t="s">
        <v>470</v>
      </c>
      <c r="O389" s="216">
        <v>41419</v>
      </c>
      <c r="P389" s="215" t="s">
        <v>531</v>
      </c>
      <c r="Q389" s="217">
        <v>100</v>
      </c>
      <c r="R389" s="215" t="s">
        <v>445</v>
      </c>
      <c r="S389" s="215" t="s">
        <v>532</v>
      </c>
      <c r="T389" s="215" t="s">
        <v>445</v>
      </c>
      <c r="U389" s="215" t="s">
        <v>446</v>
      </c>
      <c r="V389" s="217" t="b">
        <v>1</v>
      </c>
      <c r="W389" s="217">
        <v>1989</v>
      </c>
      <c r="X389" s="217">
        <v>5</v>
      </c>
      <c r="Y389" s="217">
        <v>2</v>
      </c>
      <c r="Z389" s="217">
        <v>4</v>
      </c>
      <c r="AA389" s="215" t="s">
        <v>447</v>
      </c>
      <c r="AB389" s="215" t="s">
        <v>531</v>
      </c>
      <c r="AC389" s="215" t="s">
        <v>533</v>
      </c>
      <c r="AD389" s="217">
        <v>1.983214</v>
      </c>
      <c r="AE389" s="217">
        <v>598</v>
      </c>
      <c r="AF389" s="217">
        <v>6.0000000000000001E-3</v>
      </c>
      <c r="AG389" s="217">
        <v>-99</v>
      </c>
      <c r="AH389" s="215" t="s">
        <v>224</v>
      </c>
      <c r="AI389" s="215" t="s">
        <v>449</v>
      </c>
      <c r="AJ389" s="215" t="s">
        <v>414</v>
      </c>
      <c r="AK389" s="215" t="s">
        <v>531</v>
      </c>
      <c r="AL389" s="215" t="s">
        <v>452</v>
      </c>
      <c r="AM389" s="217" t="b">
        <v>1</v>
      </c>
      <c r="AN389" s="217" t="b">
        <v>0</v>
      </c>
      <c r="AO389" s="215" t="s">
        <v>415</v>
      </c>
      <c r="AP389" s="215" t="s">
        <v>416</v>
      </c>
      <c r="AQ389" s="217">
        <v>142.28167999999999</v>
      </c>
      <c r="AR389" s="217" t="b">
        <v>0</v>
      </c>
      <c r="AS389" s="215" t="s">
        <v>534</v>
      </c>
      <c r="AU389" s="222" t="s">
        <v>819</v>
      </c>
    </row>
    <row r="390" spans="1:47" s="218" customFormat="1" x14ac:dyDescent="0.25">
      <c r="A390" s="245">
        <f t="shared" si="48"/>
        <v>485</v>
      </c>
      <c r="B390" s="246" t="str">
        <f t="shared" si="41"/>
        <v>Oil Field - Well</v>
      </c>
      <c r="C390" s="246" t="str">
        <f ca="1">IF(B390="","",VLOOKUP(D390,'Species Data'!B:E,4,FALSE))</f>
        <v>propane</v>
      </c>
      <c r="D390" s="246">
        <f t="shared" ca="1" si="42"/>
        <v>671</v>
      </c>
      <c r="E390" s="246">
        <f t="shared" ca="1" si="43"/>
        <v>23.1831</v>
      </c>
      <c r="F390" s="246" t="str">
        <f t="shared" ca="1" si="44"/>
        <v>Propane</v>
      </c>
      <c r="G390" s="246">
        <f t="shared" ca="1" si="45"/>
        <v>44.095619999999997</v>
      </c>
      <c r="H390" s="204">
        <f ca="1">IF(G390="","",IF(VLOOKUP(Well_Head!F390,'Species Data'!D:F,3,FALSE)=0,"X",IF(G390&lt;44.1,2,1)))</f>
        <v>2</v>
      </c>
      <c r="I390" s="204">
        <f t="shared" ca="1" si="46"/>
        <v>8.8717997321996727</v>
      </c>
      <c r="J390" s="247">
        <f ca="1">IF(I390="","",IF(COUNTIF($D$12:D390,D390)=1,IF(H390=1,I390*H390,IF(H390="X","X",0)),0))</f>
        <v>0</v>
      </c>
      <c r="K390" s="248">
        <f t="shared" ca="1" si="47"/>
        <v>0</v>
      </c>
      <c r="L390" s="239" t="s">
        <v>626</v>
      </c>
      <c r="M390" s="215" t="s">
        <v>448</v>
      </c>
      <c r="N390" s="215" t="s">
        <v>470</v>
      </c>
      <c r="O390" s="216">
        <v>41419</v>
      </c>
      <c r="P390" s="215" t="s">
        <v>531</v>
      </c>
      <c r="Q390" s="217">
        <v>100</v>
      </c>
      <c r="R390" s="215" t="s">
        <v>445</v>
      </c>
      <c r="S390" s="215" t="s">
        <v>532</v>
      </c>
      <c r="T390" s="215" t="s">
        <v>445</v>
      </c>
      <c r="U390" s="215" t="s">
        <v>446</v>
      </c>
      <c r="V390" s="217" t="b">
        <v>1</v>
      </c>
      <c r="W390" s="217">
        <v>1989</v>
      </c>
      <c r="X390" s="217">
        <v>5</v>
      </c>
      <c r="Y390" s="217">
        <v>2</v>
      </c>
      <c r="Z390" s="217">
        <v>4</v>
      </c>
      <c r="AA390" s="215" t="s">
        <v>447</v>
      </c>
      <c r="AB390" s="215" t="s">
        <v>531</v>
      </c>
      <c r="AC390" s="215" t="s">
        <v>533</v>
      </c>
      <c r="AD390" s="217">
        <v>1.983214</v>
      </c>
      <c r="AE390" s="217">
        <v>600</v>
      </c>
      <c r="AF390" s="217">
        <v>0.93540000000000001</v>
      </c>
      <c r="AG390" s="217">
        <v>-99</v>
      </c>
      <c r="AH390" s="215" t="s">
        <v>224</v>
      </c>
      <c r="AI390" s="215" t="s">
        <v>449</v>
      </c>
      <c r="AJ390" s="215" t="s">
        <v>276</v>
      </c>
      <c r="AK390" s="215" t="s">
        <v>531</v>
      </c>
      <c r="AL390" s="215" t="s">
        <v>378</v>
      </c>
      <c r="AM390" s="217" t="b">
        <v>1</v>
      </c>
      <c r="AN390" s="217" t="b">
        <v>0</v>
      </c>
      <c r="AO390" s="215" t="s">
        <v>277</v>
      </c>
      <c r="AP390" s="215" t="s">
        <v>278</v>
      </c>
      <c r="AQ390" s="217">
        <v>100.20194000000001</v>
      </c>
      <c r="AR390" s="217" t="b">
        <v>0</v>
      </c>
      <c r="AS390" s="215" t="s">
        <v>534</v>
      </c>
      <c r="AU390" s="222" t="s">
        <v>819</v>
      </c>
    </row>
    <row r="391" spans="1:47" s="218" customFormat="1" x14ac:dyDescent="0.25">
      <c r="A391" s="245">
        <f t="shared" si="48"/>
        <v>486</v>
      </c>
      <c r="B391" s="246" t="str">
        <f t="shared" si="41"/>
        <v>Oil Field - Well</v>
      </c>
      <c r="C391" s="246" t="str">
        <f ca="1">IF(B391="","",VLOOKUP(D391,'Species Data'!B:E,4,FALSE))</f>
        <v>toluene</v>
      </c>
      <c r="D391" s="246">
        <f t="shared" ca="1" si="42"/>
        <v>717</v>
      </c>
      <c r="E391" s="246">
        <f t="shared" ca="1" si="43"/>
        <v>0.2009</v>
      </c>
      <c r="F391" s="246" t="str">
        <f t="shared" ca="1" si="44"/>
        <v>Toluene</v>
      </c>
      <c r="G391" s="246">
        <f t="shared" ca="1" si="45"/>
        <v>92.138419999999996</v>
      </c>
      <c r="H391" s="204">
        <f ca="1">IF(G391="","",IF(VLOOKUP(Well_Head!F391,'Species Data'!D:F,3,FALSE)=0,"X",IF(G391&lt;44.1,2,1)))</f>
        <v>1</v>
      </c>
      <c r="I391" s="204">
        <f t="shared" ca="1" si="46"/>
        <v>0.47057835292909805</v>
      </c>
      <c r="J391" s="247">
        <f ca="1">IF(I391="","",IF(COUNTIF($D$12:D391,D391)=1,IF(H391=1,I391*H391,IF(H391="X","X",0)),0))</f>
        <v>0</v>
      </c>
      <c r="K391" s="248">
        <f t="shared" ca="1" si="47"/>
        <v>0</v>
      </c>
      <c r="L391" s="239" t="s">
        <v>626</v>
      </c>
      <c r="M391" s="215" t="s">
        <v>448</v>
      </c>
      <c r="N391" s="215" t="s">
        <v>470</v>
      </c>
      <c r="O391" s="216">
        <v>41419</v>
      </c>
      <c r="P391" s="215" t="s">
        <v>531</v>
      </c>
      <c r="Q391" s="217">
        <v>100</v>
      </c>
      <c r="R391" s="215" t="s">
        <v>445</v>
      </c>
      <c r="S391" s="215" t="s">
        <v>532</v>
      </c>
      <c r="T391" s="215" t="s">
        <v>445</v>
      </c>
      <c r="U391" s="215" t="s">
        <v>446</v>
      </c>
      <c r="V391" s="217" t="b">
        <v>1</v>
      </c>
      <c r="W391" s="217">
        <v>1989</v>
      </c>
      <c r="X391" s="217">
        <v>5</v>
      </c>
      <c r="Y391" s="217">
        <v>2</v>
      </c>
      <c r="Z391" s="217">
        <v>4</v>
      </c>
      <c r="AA391" s="215" t="s">
        <v>447</v>
      </c>
      <c r="AB391" s="215" t="s">
        <v>531</v>
      </c>
      <c r="AC391" s="215" t="s">
        <v>533</v>
      </c>
      <c r="AD391" s="217">
        <v>1.983214</v>
      </c>
      <c r="AE391" s="217">
        <v>601</v>
      </c>
      <c r="AF391" s="217">
        <v>1.7048000000000001</v>
      </c>
      <c r="AG391" s="217">
        <v>-99</v>
      </c>
      <c r="AH391" s="215" t="s">
        <v>224</v>
      </c>
      <c r="AI391" s="215" t="s">
        <v>449</v>
      </c>
      <c r="AJ391" s="215" t="s">
        <v>279</v>
      </c>
      <c r="AK391" s="215" t="s">
        <v>531</v>
      </c>
      <c r="AL391" s="215" t="s">
        <v>379</v>
      </c>
      <c r="AM391" s="217" t="b">
        <v>1</v>
      </c>
      <c r="AN391" s="217" t="b">
        <v>1</v>
      </c>
      <c r="AO391" s="215" t="s">
        <v>280</v>
      </c>
      <c r="AP391" s="215" t="s">
        <v>281</v>
      </c>
      <c r="AQ391" s="217">
        <v>86.175359999999998</v>
      </c>
      <c r="AR391" s="217" t="b">
        <v>0</v>
      </c>
      <c r="AS391" s="215" t="s">
        <v>534</v>
      </c>
      <c r="AU391" s="222" t="s">
        <v>819</v>
      </c>
    </row>
    <row r="392" spans="1:47" s="218" customFormat="1" x14ac:dyDescent="0.25">
      <c r="A392" s="245">
        <f t="shared" si="48"/>
        <v>487</v>
      </c>
      <c r="B392" s="246" t="str">
        <f t="shared" si="41"/>
        <v>Oil Field - Well</v>
      </c>
      <c r="C392" s="246" t="str">
        <f ca="1">IF(B392="","",VLOOKUP(D392,'Species Data'!B:E,4,FALSE))</f>
        <v>c10_comp</v>
      </c>
      <c r="D392" s="246">
        <f t="shared" ca="1" si="42"/>
        <v>1924</v>
      </c>
      <c r="E392" s="246">
        <f t="shared" ca="1" si="43"/>
        <v>5.6800000000000003E-2</v>
      </c>
      <c r="F392" s="246" t="str">
        <f t="shared" ca="1" si="44"/>
        <v>C-10 Compounds</v>
      </c>
      <c r="G392" s="246">
        <f t="shared" ca="1" si="45"/>
        <v>142.28167999999999</v>
      </c>
      <c r="H392" s="204" t="str">
        <f ca="1">IF(G392="","",IF(VLOOKUP(Well_Head!F392,'Species Data'!D:F,3,FALSE)=0,"X",IF(G392&lt;44.1,2,1)))</f>
        <v>X</v>
      </c>
      <c r="I392" s="204">
        <f t="shared" ca="1" si="46"/>
        <v>2.3240139515726077</v>
      </c>
      <c r="J392" s="247">
        <f ca="1">IF(I392="","",IF(COUNTIF($D$12:D392,D392)=1,IF(H392=1,I392*H392,IF(H392="X","X",0)),0))</f>
        <v>0</v>
      </c>
      <c r="K392" s="248">
        <f t="shared" ca="1" si="47"/>
        <v>0</v>
      </c>
      <c r="L392" s="239" t="s">
        <v>626</v>
      </c>
      <c r="M392" s="215" t="s">
        <v>448</v>
      </c>
      <c r="N392" s="215" t="s">
        <v>470</v>
      </c>
      <c r="O392" s="216">
        <v>41419</v>
      </c>
      <c r="P392" s="215" t="s">
        <v>531</v>
      </c>
      <c r="Q392" s="217">
        <v>100</v>
      </c>
      <c r="R392" s="215" t="s">
        <v>445</v>
      </c>
      <c r="S392" s="215" t="s">
        <v>532</v>
      </c>
      <c r="T392" s="215" t="s">
        <v>445</v>
      </c>
      <c r="U392" s="215" t="s">
        <v>446</v>
      </c>
      <c r="V392" s="217" t="b">
        <v>1</v>
      </c>
      <c r="W392" s="217">
        <v>1989</v>
      </c>
      <c r="X392" s="217">
        <v>5</v>
      </c>
      <c r="Y392" s="217">
        <v>2</v>
      </c>
      <c r="Z392" s="217">
        <v>4</v>
      </c>
      <c r="AA392" s="215" t="s">
        <v>447</v>
      </c>
      <c r="AB392" s="215" t="s">
        <v>531</v>
      </c>
      <c r="AC392" s="215" t="s">
        <v>533</v>
      </c>
      <c r="AD392" s="217">
        <v>1.983214</v>
      </c>
      <c r="AE392" s="217">
        <v>603</v>
      </c>
      <c r="AF392" s="217">
        <v>0.1951</v>
      </c>
      <c r="AG392" s="217">
        <v>-99</v>
      </c>
      <c r="AH392" s="215" t="s">
        <v>224</v>
      </c>
      <c r="AI392" s="215" t="s">
        <v>449</v>
      </c>
      <c r="AJ392" s="215" t="s">
        <v>417</v>
      </c>
      <c r="AK392" s="215" t="s">
        <v>531</v>
      </c>
      <c r="AL392" s="215" t="s">
        <v>453</v>
      </c>
      <c r="AM392" s="217" t="b">
        <v>1</v>
      </c>
      <c r="AN392" s="217" t="b">
        <v>0</v>
      </c>
      <c r="AO392" s="215" t="s">
        <v>418</v>
      </c>
      <c r="AP392" s="215" t="s">
        <v>419</v>
      </c>
      <c r="AQ392" s="217">
        <v>128.2551</v>
      </c>
      <c r="AR392" s="217" t="b">
        <v>0</v>
      </c>
      <c r="AS392" s="215" t="s">
        <v>534</v>
      </c>
      <c r="AU392" s="222" t="s">
        <v>819</v>
      </c>
    </row>
    <row r="393" spans="1:47" s="218" customFormat="1" x14ac:dyDescent="0.25">
      <c r="A393" s="245">
        <f t="shared" si="48"/>
        <v>488</v>
      </c>
      <c r="B393" s="246" t="str">
        <f t="shared" si="41"/>
        <v>Oil Field - Well</v>
      </c>
      <c r="C393" s="246" t="str">
        <f ca="1">IF(B393="","",VLOOKUP(D393,'Species Data'!B:E,4,FALSE))</f>
        <v>c_4_comp</v>
      </c>
      <c r="D393" s="246">
        <f t="shared" ca="1" si="42"/>
        <v>1976</v>
      </c>
      <c r="E393" s="246">
        <f t="shared" ca="1" si="43"/>
        <v>2.46E-2</v>
      </c>
      <c r="F393" s="246" t="str">
        <f t="shared" ca="1" si="44"/>
        <v>C-4 Compounds</v>
      </c>
      <c r="G393" s="246">
        <f t="shared" ca="1" si="45"/>
        <v>56.106319999999997</v>
      </c>
      <c r="H393" s="204" t="str">
        <f ca="1">IF(G393="","",IF(VLOOKUP(Well_Head!F393,'Species Data'!D:F,3,FALSE)=0,"X",IF(G393&lt;44.1,2,1)))</f>
        <v>X</v>
      </c>
      <c r="I393" s="204">
        <f t="shared" ca="1" si="46"/>
        <v>0.12625570986808984</v>
      </c>
      <c r="J393" s="247">
        <f ca="1">IF(I393="","",IF(COUNTIF($D$12:D393,D393)=1,IF(H393=1,I393*H393,IF(H393="X","X",0)),0))</f>
        <v>0</v>
      </c>
      <c r="K393" s="248">
        <f t="shared" ca="1" si="47"/>
        <v>0</v>
      </c>
      <c r="L393" s="239" t="s">
        <v>626</v>
      </c>
      <c r="M393" s="215" t="s">
        <v>448</v>
      </c>
      <c r="N393" s="215" t="s">
        <v>470</v>
      </c>
      <c r="O393" s="216">
        <v>41419</v>
      </c>
      <c r="P393" s="215" t="s">
        <v>531</v>
      </c>
      <c r="Q393" s="217">
        <v>100</v>
      </c>
      <c r="R393" s="215" t="s">
        <v>445</v>
      </c>
      <c r="S393" s="215" t="s">
        <v>532</v>
      </c>
      <c r="T393" s="215" t="s">
        <v>445</v>
      </c>
      <c r="U393" s="215" t="s">
        <v>446</v>
      </c>
      <c r="V393" s="217" t="b">
        <v>1</v>
      </c>
      <c r="W393" s="217">
        <v>1989</v>
      </c>
      <c r="X393" s="217">
        <v>5</v>
      </c>
      <c r="Y393" s="217">
        <v>2</v>
      </c>
      <c r="Z393" s="217">
        <v>4</v>
      </c>
      <c r="AA393" s="215" t="s">
        <v>447</v>
      </c>
      <c r="AB393" s="215" t="s">
        <v>531</v>
      </c>
      <c r="AC393" s="215" t="s">
        <v>533</v>
      </c>
      <c r="AD393" s="217">
        <v>1.983214</v>
      </c>
      <c r="AE393" s="217">
        <v>604</v>
      </c>
      <c r="AF393" s="217">
        <v>0.44619999999999999</v>
      </c>
      <c r="AG393" s="217">
        <v>-99</v>
      </c>
      <c r="AH393" s="215" t="s">
        <v>224</v>
      </c>
      <c r="AI393" s="215" t="s">
        <v>449</v>
      </c>
      <c r="AJ393" s="215" t="s">
        <v>282</v>
      </c>
      <c r="AK393" s="215" t="s">
        <v>531</v>
      </c>
      <c r="AL393" s="215" t="s">
        <v>380</v>
      </c>
      <c r="AM393" s="217" t="b">
        <v>1</v>
      </c>
      <c r="AN393" s="217" t="b">
        <v>0</v>
      </c>
      <c r="AO393" s="215" t="s">
        <v>283</v>
      </c>
      <c r="AP393" s="215" t="s">
        <v>284</v>
      </c>
      <c r="AQ393" s="217">
        <v>114.22852</v>
      </c>
      <c r="AR393" s="217" t="b">
        <v>0</v>
      </c>
      <c r="AS393" s="215" t="s">
        <v>534</v>
      </c>
      <c r="AU393" s="222" t="s">
        <v>819</v>
      </c>
    </row>
    <row r="394" spans="1:47" s="218" customFormat="1" x14ac:dyDescent="0.25">
      <c r="A394" s="245">
        <f t="shared" si="48"/>
        <v>489</v>
      </c>
      <c r="B394" s="246" t="str">
        <f t="shared" si="41"/>
        <v>Oil Field - Well</v>
      </c>
      <c r="C394" s="246" t="str">
        <f ca="1">IF(B394="","",VLOOKUP(D394,'Species Data'!B:E,4,FALSE))</f>
        <v>c5_comp</v>
      </c>
      <c r="D394" s="246">
        <f t="shared" ca="1" si="42"/>
        <v>1986</v>
      </c>
      <c r="E394" s="246">
        <f t="shared" ca="1" si="43"/>
        <v>1.44</v>
      </c>
      <c r="F394" s="246" t="str">
        <f t="shared" ca="1" si="44"/>
        <v>C-5 Compounds</v>
      </c>
      <c r="G394" s="246">
        <f t="shared" ca="1" si="45"/>
        <v>72.148780000000002</v>
      </c>
      <c r="H394" s="204" t="str">
        <f ca="1">IF(G394="","",IF(VLOOKUP(Well_Head!F394,'Species Data'!D:F,3,FALSE)=0,"X",IF(G394&lt;44.1,2,1)))</f>
        <v>X</v>
      </c>
      <c r="I394" s="204">
        <f t="shared" ca="1" si="46"/>
        <v>0.76984538536658209</v>
      </c>
      <c r="J394" s="247">
        <f ca="1">IF(I394="","",IF(COUNTIF($D$12:D394,D394)=1,IF(H394=1,I394*H394,IF(H394="X","X",0)),0))</f>
        <v>0</v>
      </c>
      <c r="K394" s="248">
        <f t="shared" ca="1" si="47"/>
        <v>0</v>
      </c>
      <c r="L394" s="239" t="s">
        <v>626</v>
      </c>
      <c r="M394" s="215" t="s">
        <v>448</v>
      </c>
      <c r="N394" s="215" t="s">
        <v>470</v>
      </c>
      <c r="O394" s="216">
        <v>41419</v>
      </c>
      <c r="P394" s="215" t="s">
        <v>531</v>
      </c>
      <c r="Q394" s="217">
        <v>100</v>
      </c>
      <c r="R394" s="215" t="s">
        <v>445</v>
      </c>
      <c r="S394" s="215" t="s">
        <v>532</v>
      </c>
      <c r="T394" s="215" t="s">
        <v>445</v>
      </c>
      <c r="U394" s="215" t="s">
        <v>446</v>
      </c>
      <c r="V394" s="217" t="b">
        <v>1</v>
      </c>
      <c r="W394" s="217">
        <v>1989</v>
      </c>
      <c r="X394" s="217">
        <v>5</v>
      </c>
      <c r="Y394" s="217">
        <v>2</v>
      </c>
      <c r="Z394" s="217">
        <v>4</v>
      </c>
      <c r="AA394" s="215" t="s">
        <v>447</v>
      </c>
      <c r="AB394" s="215" t="s">
        <v>531</v>
      </c>
      <c r="AC394" s="215" t="s">
        <v>533</v>
      </c>
      <c r="AD394" s="217">
        <v>1.983214</v>
      </c>
      <c r="AE394" s="217">
        <v>605</v>
      </c>
      <c r="AF394" s="217">
        <v>0.85009999999999997</v>
      </c>
      <c r="AG394" s="217">
        <v>-99</v>
      </c>
      <c r="AH394" s="215" t="s">
        <v>224</v>
      </c>
      <c r="AI394" s="215" t="s">
        <v>449</v>
      </c>
      <c r="AJ394" s="215" t="s">
        <v>285</v>
      </c>
      <c r="AK394" s="215" t="s">
        <v>531</v>
      </c>
      <c r="AL394" s="215" t="s">
        <v>381</v>
      </c>
      <c r="AM394" s="217" t="b">
        <v>1</v>
      </c>
      <c r="AN394" s="217" t="b">
        <v>0</v>
      </c>
      <c r="AO394" s="215" t="s">
        <v>286</v>
      </c>
      <c r="AP394" s="215" t="s">
        <v>287</v>
      </c>
      <c r="AQ394" s="217">
        <v>72.148780000000002</v>
      </c>
      <c r="AR394" s="217" t="b">
        <v>0</v>
      </c>
      <c r="AS394" s="215" t="s">
        <v>534</v>
      </c>
      <c r="AU394" s="222" t="s">
        <v>819</v>
      </c>
    </row>
    <row r="395" spans="1:47" s="218" customFormat="1" x14ac:dyDescent="0.25">
      <c r="A395" s="245">
        <f t="shared" si="48"/>
        <v>490</v>
      </c>
      <c r="B395" s="246" t="str">
        <f t="shared" si="41"/>
        <v>Oil Field - Well</v>
      </c>
      <c r="C395" s="246" t="str">
        <f ca="1">IF(B395="","",VLOOKUP(D395,'Species Data'!B:E,4,FALSE))</f>
        <v>c6_comp</v>
      </c>
      <c r="D395" s="246">
        <f t="shared" ca="1" si="42"/>
        <v>1999</v>
      </c>
      <c r="E395" s="246">
        <f t="shared" ca="1" si="43"/>
        <v>1.2185999999999999</v>
      </c>
      <c r="F395" s="246" t="str">
        <f t="shared" ca="1" si="44"/>
        <v>C-6 Compounds</v>
      </c>
      <c r="G395" s="246">
        <f t="shared" ca="1" si="45"/>
        <v>86.175359999999998</v>
      </c>
      <c r="H395" s="204" t="str">
        <f ca="1">IF(G395="","",IF(VLOOKUP(Well_Head!F395,'Species Data'!D:F,3,FALSE)=0,"X",IF(G395&lt;44.1,2,1)))</f>
        <v>X</v>
      </c>
      <c r="I395" s="204">
        <f t="shared" ca="1" si="46"/>
        <v>2.1343803864649171</v>
      </c>
      <c r="J395" s="247">
        <f ca="1">IF(I395="","",IF(COUNTIF($D$12:D395,D395)=1,IF(H395=1,I395*H395,IF(H395="X","X",0)),0))</f>
        <v>0</v>
      </c>
      <c r="K395" s="248">
        <f t="shared" ca="1" si="47"/>
        <v>0</v>
      </c>
      <c r="L395" s="239" t="s">
        <v>626</v>
      </c>
      <c r="M395" s="215" t="s">
        <v>448</v>
      </c>
      <c r="N395" s="215" t="s">
        <v>470</v>
      </c>
      <c r="O395" s="216">
        <v>41419</v>
      </c>
      <c r="P395" s="215" t="s">
        <v>531</v>
      </c>
      <c r="Q395" s="217">
        <v>100</v>
      </c>
      <c r="R395" s="215" t="s">
        <v>445</v>
      </c>
      <c r="S395" s="215" t="s">
        <v>532</v>
      </c>
      <c r="T395" s="215" t="s">
        <v>445</v>
      </c>
      <c r="U395" s="215" t="s">
        <v>446</v>
      </c>
      <c r="V395" s="217" t="b">
        <v>1</v>
      </c>
      <c r="W395" s="217">
        <v>1989</v>
      </c>
      <c r="X395" s="217">
        <v>5</v>
      </c>
      <c r="Y395" s="217">
        <v>2</v>
      </c>
      <c r="Z395" s="217">
        <v>4</v>
      </c>
      <c r="AA395" s="215" t="s">
        <v>447</v>
      </c>
      <c r="AB395" s="215" t="s">
        <v>531</v>
      </c>
      <c r="AC395" s="215" t="s">
        <v>533</v>
      </c>
      <c r="AD395" s="217">
        <v>1.983214</v>
      </c>
      <c r="AE395" s="217">
        <v>608</v>
      </c>
      <c r="AF395" s="217">
        <v>4.5600000000000002E-2</v>
      </c>
      <c r="AG395" s="217">
        <v>-99</v>
      </c>
      <c r="AH395" s="215" t="s">
        <v>224</v>
      </c>
      <c r="AI395" s="215" t="s">
        <v>449</v>
      </c>
      <c r="AJ395" s="215" t="s">
        <v>420</v>
      </c>
      <c r="AK395" s="215" t="s">
        <v>531</v>
      </c>
      <c r="AL395" s="215" t="s">
        <v>454</v>
      </c>
      <c r="AM395" s="217" t="b">
        <v>1</v>
      </c>
      <c r="AN395" s="217" t="b">
        <v>0</v>
      </c>
      <c r="AO395" s="215" t="s">
        <v>421</v>
      </c>
      <c r="AP395" s="215" t="s">
        <v>422</v>
      </c>
      <c r="AQ395" s="217">
        <v>120.19158</v>
      </c>
      <c r="AR395" s="217" t="b">
        <v>0</v>
      </c>
      <c r="AS395" s="215" t="s">
        <v>534</v>
      </c>
      <c r="AU395" s="222" t="s">
        <v>819</v>
      </c>
    </row>
    <row r="396" spans="1:47" s="218" customFormat="1" x14ac:dyDescent="0.25">
      <c r="A396" s="245">
        <f t="shared" si="48"/>
        <v>491</v>
      </c>
      <c r="B396" s="246" t="str">
        <f t="shared" ref="B396:B450" si="49">IF(ROW(A396)-(ROW($A$12))&lt;$B$10,$B$9,"")</f>
        <v>Oil Field - Well</v>
      </c>
      <c r="C396" s="246" t="str">
        <f ca="1">IF(B396="","",VLOOKUP(D396,'Species Data'!B:E,4,FALSE))</f>
        <v>c7_comp</v>
      </c>
      <c r="D396" s="246">
        <f t="shared" ca="1" si="42"/>
        <v>2005</v>
      </c>
      <c r="E396" s="246">
        <f t="shared" ca="1" si="43"/>
        <v>0.56689999999999996</v>
      </c>
      <c r="F396" s="246" t="str">
        <f t="shared" ca="1" si="44"/>
        <v>C-7 Compounds</v>
      </c>
      <c r="G396" s="246">
        <f t="shared" ca="1" si="45"/>
        <v>100.20194000000001</v>
      </c>
      <c r="H396" s="204" t="str">
        <f ca="1">IF(G396="","",IF(VLOOKUP(Well_Head!F396,'Species Data'!D:F,3,FALSE)=0,"X",IF(G396&lt;44.1,2,1)))</f>
        <v>X</v>
      </c>
      <c r="I396" s="204">
        <f t="shared" ca="1" si="46"/>
        <v>4.8450170327985953</v>
      </c>
      <c r="J396" s="247">
        <f ca="1">IF(I396="","",IF(COUNTIF($D$12:D396,D396)=1,IF(H396=1,I396*H396,IF(H396="X","X",0)),0))</f>
        <v>0</v>
      </c>
      <c r="K396" s="248">
        <f t="shared" ca="1" si="47"/>
        <v>0</v>
      </c>
      <c r="L396" s="239" t="s">
        <v>626</v>
      </c>
      <c r="M396" s="215" t="s">
        <v>448</v>
      </c>
      <c r="N396" s="215" t="s">
        <v>470</v>
      </c>
      <c r="O396" s="216">
        <v>41419</v>
      </c>
      <c r="P396" s="215" t="s">
        <v>531</v>
      </c>
      <c r="Q396" s="217">
        <v>100</v>
      </c>
      <c r="R396" s="215" t="s">
        <v>445</v>
      </c>
      <c r="S396" s="215" t="s">
        <v>532</v>
      </c>
      <c r="T396" s="215" t="s">
        <v>445</v>
      </c>
      <c r="U396" s="215" t="s">
        <v>446</v>
      </c>
      <c r="V396" s="217" t="b">
        <v>1</v>
      </c>
      <c r="W396" s="217">
        <v>1989</v>
      </c>
      <c r="X396" s="217">
        <v>5</v>
      </c>
      <c r="Y396" s="217">
        <v>2</v>
      </c>
      <c r="Z396" s="217">
        <v>4</v>
      </c>
      <c r="AA396" s="215" t="s">
        <v>447</v>
      </c>
      <c r="AB396" s="215" t="s">
        <v>531</v>
      </c>
      <c r="AC396" s="215" t="s">
        <v>533</v>
      </c>
      <c r="AD396" s="217">
        <v>1.983214</v>
      </c>
      <c r="AE396" s="217">
        <v>620</v>
      </c>
      <c r="AF396" s="217">
        <v>8.1299999999999997E-2</v>
      </c>
      <c r="AG396" s="217">
        <v>-99</v>
      </c>
      <c r="AH396" s="215" t="s">
        <v>224</v>
      </c>
      <c r="AI396" s="215" t="s">
        <v>449</v>
      </c>
      <c r="AJ396" s="215" t="s">
        <v>354</v>
      </c>
      <c r="AK396" s="215" t="s">
        <v>531</v>
      </c>
      <c r="AL396" s="215" t="s">
        <v>398</v>
      </c>
      <c r="AM396" s="217" t="b">
        <v>1</v>
      </c>
      <c r="AN396" s="217" t="b">
        <v>1</v>
      </c>
      <c r="AO396" s="215" t="s">
        <v>355</v>
      </c>
      <c r="AP396" s="215" t="s">
        <v>356</v>
      </c>
      <c r="AQ396" s="217">
        <v>106.16500000000001</v>
      </c>
      <c r="AR396" s="217" t="b">
        <v>0</v>
      </c>
      <c r="AS396" s="215" t="s">
        <v>534</v>
      </c>
      <c r="AU396" s="222" t="s">
        <v>819</v>
      </c>
    </row>
    <row r="397" spans="1:47" s="218" customFormat="1" x14ac:dyDescent="0.25">
      <c r="A397" s="245">
        <f t="shared" si="48"/>
        <v>492</v>
      </c>
      <c r="B397" s="246" t="str">
        <f t="shared" si="49"/>
        <v>Oil Field - Well</v>
      </c>
      <c r="C397" s="246" t="str">
        <f ca="1">IF(B397="","",VLOOKUP(D397,'Species Data'!B:E,4,FALSE))</f>
        <v>c8_comp</v>
      </c>
      <c r="D397" s="246">
        <f t="shared" ref="D397:D450" ca="1" si="50">IF(B397="","",INDIRECT("AE"&amp;$A397))</f>
        <v>2011</v>
      </c>
      <c r="E397" s="246">
        <f t="shared" ref="E397:E450" ca="1" si="51">IF(D397="","",INDIRECT("AF"&amp;$A397))</f>
        <v>0.30690000000000001</v>
      </c>
      <c r="F397" s="246" t="str">
        <f t="shared" ref="F397:F450" ca="1" si="52">IF(E397="","",INDIRECT("AO"&amp;$A397))</f>
        <v>C-8 Compounds</v>
      </c>
      <c r="G397" s="246">
        <f t="shared" ref="G397:G450" ca="1" si="53">IF(F397="","",INDIRECT("AQ"&amp;$A397))</f>
        <v>113.21160686946486</v>
      </c>
      <c r="H397" s="204" t="str">
        <f ca="1">IF(G397="","",IF(VLOOKUP(Well_Head!F397,'Species Data'!D:F,3,FALSE)=0,"X",IF(G397&lt;44.1,2,1)))</f>
        <v>X</v>
      </c>
      <c r="I397" s="204">
        <f t="shared" ref="I397:I450" ca="1" si="54">IF(H397="","",SUMIF(D:D,D397,E:E)/($E$9/100))</f>
        <v>5.0392950480272818</v>
      </c>
      <c r="J397" s="247">
        <f ca="1">IF(I397="","",IF(COUNTIF($D$12:D397,D397)=1,IF(H397=1,I397*H397,IF(H397="X","X",0)),0))</f>
        <v>0</v>
      </c>
      <c r="K397" s="248">
        <f t="shared" ref="K397:K450" ca="1" si="55">IF(J397="","",IF(J397="X",0,J397/$J$9*100))</f>
        <v>0</v>
      </c>
      <c r="L397" s="239" t="s">
        <v>626</v>
      </c>
      <c r="M397" s="215" t="s">
        <v>448</v>
      </c>
      <c r="N397" s="215" t="s">
        <v>470</v>
      </c>
      <c r="O397" s="216">
        <v>41419</v>
      </c>
      <c r="P397" s="215" t="s">
        <v>531</v>
      </c>
      <c r="Q397" s="217">
        <v>100</v>
      </c>
      <c r="R397" s="215" t="s">
        <v>445</v>
      </c>
      <c r="S397" s="215" t="s">
        <v>532</v>
      </c>
      <c r="T397" s="215" t="s">
        <v>445</v>
      </c>
      <c r="U397" s="215" t="s">
        <v>446</v>
      </c>
      <c r="V397" s="217" t="b">
        <v>1</v>
      </c>
      <c r="W397" s="217">
        <v>1989</v>
      </c>
      <c r="X397" s="217">
        <v>5</v>
      </c>
      <c r="Y397" s="217">
        <v>2</v>
      </c>
      <c r="Z397" s="217">
        <v>4</v>
      </c>
      <c r="AA397" s="215" t="s">
        <v>447</v>
      </c>
      <c r="AB397" s="215" t="s">
        <v>531</v>
      </c>
      <c r="AC397" s="215" t="s">
        <v>533</v>
      </c>
      <c r="AD397" s="217">
        <v>1.983214</v>
      </c>
      <c r="AE397" s="217">
        <v>648</v>
      </c>
      <c r="AF397" s="217">
        <v>0.08</v>
      </c>
      <c r="AG397" s="217">
        <v>-99</v>
      </c>
      <c r="AH397" s="215" t="s">
        <v>224</v>
      </c>
      <c r="AI397" s="215" t="s">
        <v>449</v>
      </c>
      <c r="AJ397" s="215" t="s">
        <v>433</v>
      </c>
      <c r="AK397" s="215" t="s">
        <v>531</v>
      </c>
      <c r="AL397" s="215" t="s">
        <v>459</v>
      </c>
      <c r="AM397" s="217" t="b">
        <v>0</v>
      </c>
      <c r="AN397" s="217" t="b">
        <v>1</v>
      </c>
      <c r="AO397" s="215" t="s">
        <v>434</v>
      </c>
      <c r="AP397" s="215" t="s">
        <v>435</v>
      </c>
      <c r="AQ397" s="217">
        <v>106.16500000000001</v>
      </c>
      <c r="AR397" s="217" t="b">
        <v>0</v>
      </c>
      <c r="AS397" s="215" t="s">
        <v>534</v>
      </c>
      <c r="AU397" s="222" t="s">
        <v>819</v>
      </c>
    </row>
    <row r="398" spans="1:47" s="218" customFormat="1" x14ac:dyDescent="0.25">
      <c r="A398" s="245">
        <f t="shared" si="48"/>
        <v>493</v>
      </c>
      <c r="B398" s="246" t="str">
        <f t="shared" si="49"/>
        <v>Oil Field - Well</v>
      </c>
      <c r="C398" s="246" t="str">
        <f ca="1">IF(B398="","",VLOOKUP(D398,'Species Data'!B:E,4,FALSE))</f>
        <v>c9_comp</v>
      </c>
      <c r="D398" s="246">
        <f t="shared" ca="1" si="50"/>
        <v>2018</v>
      </c>
      <c r="E398" s="246">
        <f t="shared" ca="1" si="51"/>
        <v>0.21</v>
      </c>
      <c r="F398" s="246" t="str">
        <f t="shared" ca="1" si="52"/>
        <v>C-9 Compounds</v>
      </c>
      <c r="G398" s="246">
        <f t="shared" ca="1" si="53"/>
        <v>127.23917598649743</v>
      </c>
      <c r="H398" s="204" t="str">
        <f ca="1">IF(G398="","",IF(VLOOKUP(Well_Head!F398,'Species Data'!D:F,3,FALSE)=0,"X",IF(G398&lt;44.1,2,1)))</f>
        <v>X</v>
      </c>
      <c r="I398" s="204">
        <f t="shared" ca="1" si="54"/>
        <v>4.5871944954599391</v>
      </c>
      <c r="J398" s="247">
        <f ca="1">IF(I398="","",IF(COUNTIF($D$12:D398,D398)=1,IF(H398=1,I398*H398,IF(H398="X","X",0)),0))</f>
        <v>0</v>
      </c>
      <c r="K398" s="248">
        <f t="shared" ca="1" si="55"/>
        <v>0</v>
      </c>
      <c r="L398" s="239" t="s">
        <v>626</v>
      </c>
      <c r="M398" s="215" t="s">
        <v>448</v>
      </c>
      <c r="N398" s="215" t="s">
        <v>470</v>
      </c>
      <c r="O398" s="216">
        <v>41419</v>
      </c>
      <c r="P398" s="215" t="s">
        <v>531</v>
      </c>
      <c r="Q398" s="217">
        <v>100</v>
      </c>
      <c r="R398" s="215" t="s">
        <v>445</v>
      </c>
      <c r="S398" s="215" t="s">
        <v>532</v>
      </c>
      <c r="T398" s="215" t="s">
        <v>445</v>
      </c>
      <c r="U398" s="215" t="s">
        <v>446</v>
      </c>
      <c r="V398" s="217" t="b">
        <v>1</v>
      </c>
      <c r="W398" s="217">
        <v>1989</v>
      </c>
      <c r="X398" s="217">
        <v>5</v>
      </c>
      <c r="Y398" s="217">
        <v>2</v>
      </c>
      <c r="Z398" s="217">
        <v>4</v>
      </c>
      <c r="AA398" s="215" t="s">
        <v>447</v>
      </c>
      <c r="AB398" s="215" t="s">
        <v>531</v>
      </c>
      <c r="AC398" s="215" t="s">
        <v>533</v>
      </c>
      <c r="AD398" s="217">
        <v>1.983214</v>
      </c>
      <c r="AE398" s="217">
        <v>671</v>
      </c>
      <c r="AF398" s="217">
        <v>14.1404</v>
      </c>
      <c r="AG398" s="217">
        <v>-99</v>
      </c>
      <c r="AH398" s="215" t="s">
        <v>224</v>
      </c>
      <c r="AI398" s="215" t="s">
        <v>449</v>
      </c>
      <c r="AJ398" s="215" t="s">
        <v>288</v>
      </c>
      <c r="AK398" s="215" t="s">
        <v>531</v>
      </c>
      <c r="AL398" s="215" t="s">
        <v>382</v>
      </c>
      <c r="AM398" s="217" t="b">
        <v>1</v>
      </c>
      <c r="AN398" s="217" t="b">
        <v>0</v>
      </c>
      <c r="AO398" s="215" t="s">
        <v>289</v>
      </c>
      <c r="AP398" s="215" t="s">
        <v>290</v>
      </c>
      <c r="AQ398" s="217">
        <v>44.095619999999997</v>
      </c>
      <c r="AR398" s="217" t="b">
        <v>0</v>
      </c>
      <c r="AS398" s="215" t="s">
        <v>534</v>
      </c>
      <c r="AU398" s="222" t="s">
        <v>819</v>
      </c>
    </row>
    <row r="399" spans="1:47" s="218" customFormat="1" x14ac:dyDescent="0.25">
      <c r="A399" s="245">
        <f t="shared" si="48"/>
        <v>494</v>
      </c>
      <c r="B399" s="246" t="str">
        <f t="shared" si="49"/>
        <v>Oil Field - Well</v>
      </c>
      <c r="C399" s="246" t="str">
        <f ca="1">IF(B399="","",VLOOKUP(D399,'Species Data'!B:E,4,FALSE))</f>
        <v>isobutben</v>
      </c>
      <c r="D399" s="246">
        <f t="shared" ca="1" si="50"/>
        <v>3</v>
      </c>
      <c r="E399" s="246">
        <f t="shared" ca="1" si="51"/>
        <v>0.05</v>
      </c>
      <c r="F399" s="246" t="str">
        <f t="shared" ca="1" si="52"/>
        <v>(2-methylpropyl)benzene; isobutylbenzene</v>
      </c>
      <c r="G399" s="246">
        <f t="shared" ca="1" si="53"/>
        <v>134.21816000000001</v>
      </c>
      <c r="H399" s="204" t="str">
        <f ca="1">IF(G399="","",IF(VLOOKUP(Well_Head!F399,'Species Data'!D:F,3,FALSE)=0,"X",IF(G399&lt;44.1,2,1)))</f>
        <v>X</v>
      </c>
      <c r="I399" s="204">
        <f t="shared" ca="1" si="54"/>
        <v>5.5555623456873121E-3</v>
      </c>
      <c r="J399" s="247" t="str">
        <f ca="1">IF(I399="","",IF(COUNTIF($D$12:D399,D399)=1,IF(H399=1,I399*H399,IF(H399="X","X",0)),0))</f>
        <v>X</v>
      </c>
      <c r="K399" s="248">
        <f t="shared" ca="1" si="55"/>
        <v>0</v>
      </c>
      <c r="L399" s="239" t="s">
        <v>626</v>
      </c>
      <c r="M399" s="215" t="s">
        <v>448</v>
      </c>
      <c r="N399" s="215" t="s">
        <v>470</v>
      </c>
      <c r="O399" s="216">
        <v>41419</v>
      </c>
      <c r="P399" s="215" t="s">
        <v>531</v>
      </c>
      <c r="Q399" s="217">
        <v>100</v>
      </c>
      <c r="R399" s="215" t="s">
        <v>445</v>
      </c>
      <c r="S399" s="215" t="s">
        <v>532</v>
      </c>
      <c r="T399" s="215" t="s">
        <v>445</v>
      </c>
      <c r="U399" s="215" t="s">
        <v>446</v>
      </c>
      <c r="V399" s="217" t="b">
        <v>1</v>
      </c>
      <c r="W399" s="217">
        <v>1989</v>
      </c>
      <c r="X399" s="217">
        <v>5</v>
      </c>
      <c r="Y399" s="217">
        <v>2</v>
      </c>
      <c r="Z399" s="217">
        <v>4</v>
      </c>
      <c r="AA399" s="215" t="s">
        <v>447</v>
      </c>
      <c r="AB399" s="215" t="s">
        <v>531</v>
      </c>
      <c r="AC399" s="215" t="s">
        <v>533</v>
      </c>
      <c r="AD399" s="217">
        <v>1.983214</v>
      </c>
      <c r="AE399" s="217">
        <v>703</v>
      </c>
      <c r="AF399" s="217">
        <v>3.3700000000000001E-2</v>
      </c>
      <c r="AG399" s="217">
        <v>-99</v>
      </c>
      <c r="AH399" s="215" t="s">
        <v>224</v>
      </c>
      <c r="AI399" s="215" t="s">
        <v>449</v>
      </c>
      <c r="AJ399" s="215" t="s">
        <v>423</v>
      </c>
      <c r="AK399" s="215" t="s">
        <v>531</v>
      </c>
      <c r="AL399" s="215" t="s">
        <v>455</v>
      </c>
      <c r="AM399" s="217" t="b">
        <v>0</v>
      </c>
      <c r="AN399" s="217" t="b">
        <v>0</v>
      </c>
      <c r="AO399" s="215" t="s">
        <v>424</v>
      </c>
      <c r="AP399" s="215" t="s">
        <v>531</v>
      </c>
      <c r="AQ399" s="217">
        <v>134.21816000000001</v>
      </c>
      <c r="AR399" s="217" t="b">
        <v>0</v>
      </c>
      <c r="AS399" s="215" t="s">
        <v>534</v>
      </c>
      <c r="AU399" s="222" t="s">
        <v>819</v>
      </c>
    </row>
    <row r="400" spans="1:47" s="218" customFormat="1" x14ac:dyDescent="0.25">
      <c r="A400" s="245">
        <f t="shared" si="48"/>
        <v>495</v>
      </c>
      <c r="B400" s="246" t="str">
        <f t="shared" si="49"/>
        <v>Oil Field - Well</v>
      </c>
      <c r="C400" s="246" t="str">
        <f ca="1">IF(B400="","",VLOOKUP(D400,'Species Data'!B:E,4,FALSE))</f>
        <v>trimethben123</v>
      </c>
      <c r="D400" s="246">
        <f t="shared" ca="1" si="50"/>
        <v>25</v>
      </c>
      <c r="E400" s="246">
        <f t="shared" ca="1" si="51"/>
        <v>0.13930000000000001</v>
      </c>
      <c r="F400" s="246" t="str">
        <f t="shared" ca="1" si="52"/>
        <v>1,2,3-trimethylbenzene</v>
      </c>
      <c r="G400" s="246">
        <f t="shared" ca="1" si="53"/>
        <v>120.19158</v>
      </c>
      <c r="H400" s="204">
        <f ca="1">IF(G400="","",IF(VLOOKUP(Well_Head!F400,'Species Data'!D:F,3,FALSE)=0,"X",IF(G400&lt;44.1,2,1)))</f>
        <v>1</v>
      </c>
      <c r="I400" s="204">
        <f t="shared" ca="1" si="54"/>
        <v>0.15947797269529998</v>
      </c>
      <c r="J400" s="247">
        <f ca="1">IF(I400="","",IF(COUNTIF($D$12:D400,D400)=1,IF(H400=1,I400*H400,IF(H400="X","X",0)),0))</f>
        <v>0</v>
      </c>
      <c r="K400" s="248">
        <f t="shared" ca="1" si="55"/>
        <v>0</v>
      </c>
      <c r="L400" s="239" t="s">
        <v>626</v>
      </c>
      <c r="M400" s="215" t="s">
        <v>448</v>
      </c>
      <c r="N400" s="215" t="s">
        <v>470</v>
      </c>
      <c r="O400" s="216">
        <v>41419</v>
      </c>
      <c r="P400" s="215" t="s">
        <v>531</v>
      </c>
      <c r="Q400" s="217">
        <v>100</v>
      </c>
      <c r="R400" s="215" t="s">
        <v>445</v>
      </c>
      <c r="S400" s="215" t="s">
        <v>532</v>
      </c>
      <c r="T400" s="215" t="s">
        <v>445</v>
      </c>
      <c r="U400" s="215" t="s">
        <v>446</v>
      </c>
      <c r="V400" s="217" t="b">
        <v>1</v>
      </c>
      <c r="W400" s="217">
        <v>1989</v>
      </c>
      <c r="X400" s="217">
        <v>5</v>
      </c>
      <c r="Y400" s="217">
        <v>2</v>
      </c>
      <c r="Z400" s="217">
        <v>4</v>
      </c>
      <c r="AA400" s="215" t="s">
        <v>447</v>
      </c>
      <c r="AB400" s="215" t="s">
        <v>531</v>
      </c>
      <c r="AC400" s="215" t="s">
        <v>533</v>
      </c>
      <c r="AD400" s="217">
        <v>1.983214</v>
      </c>
      <c r="AE400" s="217">
        <v>717</v>
      </c>
      <c r="AF400" s="217">
        <v>0.4204</v>
      </c>
      <c r="AG400" s="217">
        <v>-99</v>
      </c>
      <c r="AH400" s="215" t="s">
        <v>224</v>
      </c>
      <c r="AI400" s="215" t="s">
        <v>449</v>
      </c>
      <c r="AJ400" s="215" t="s">
        <v>294</v>
      </c>
      <c r="AK400" s="215" t="s">
        <v>531</v>
      </c>
      <c r="AL400" s="215" t="s">
        <v>383</v>
      </c>
      <c r="AM400" s="217" t="b">
        <v>1</v>
      </c>
      <c r="AN400" s="217" t="b">
        <v>1</v>
      </c>
      <c r="AO400" s="215" t="s">
        <v>295</v>
      </c>
      <c r="AP400" s="215" t="s">
        <v>296</v>
      </c>
      <c r="AQ400" s="217">
        <v>92.138419999999996</v>
      </c>
      <c r="AR400" s="217" t="b">
        <v>0</v>
      </c>
      <c r="AS400" s="215" t="s">
        <v>534</v>
      </c>
      <c r="AU400" s="222" t="s">
        <v>819</v>
      </c>
    </row>
    <row r="401" spans="1:47" s="218" customFormat="1" x14ac:dyDescent="0.25">
      <c r="A401" s="245">
        <f t="shared" si="48"/>
        <v>496</v>
      </c>
      <c r="B401" s="246" t="str">
        <f t="shared" si="49"/>
        <v>Oil Field - Well</v>
      </c>
      <c r="C401" s="246" t="str">
        <f ca="1">IF(B401="","",VLOOKUP(D401,'Species Data'!B:E,4,FALSE))</f>
        <v>trimetben124</v>
      </c>
      <c r="D401" s="246">
        <f t="shared" ca="1" si="50"/>
        <v>30</v>
      </c>
      <c r="E401" s="246">
        <f t="shared" ca="1" si="51"/>
        <v>0.22170000000000001</v>
      </c>
      <c r="F401" s="246" t="str">
        <f t="shared" ca="1" si="52"/>
        <v>1,2,4-trimethylbenzene  (1,3,4-trimethylbenzene)</v>
      </c>
      <c r="G401" s="246">
        <f t="shared" ca="1" si="53"/>
        <v>120.19158</v>
      </c>
      <c r="H401" s="204">
        <f ca="1">IF(G401="","",IF(VLOOKUP(Well_Head!F401,'Species Data'!D:F,3,FALSE)=0,"X",IF(G401&lt;44.1,2,1)))</f>
        <v>1</v>
      </c>
      <c r="I401" s="204">
        <f t="shared" ca="1" si="54"/>
        <v>0.18081133210273925</v>
      </c>
      <c r="J401" s="247">
        <f ca="1">IF(I401="","",IF(COUNTIF($D$12:D401,D401)=1,IF(H401=1,I401*H401,IF(H401="X","X",0)),0))</f>
        <v>0</v>
      </c>
      <c r="K401" s="248">
        <f t="shared" ca="1" si="55"/>
        <v>0</v>
      </c>
      <c r="L401" s="239" t="s">
        <v>626</v>
      </c>
      <c r="M401" s="215" t="s">
        <v>448</v>
      </c>
      <c r="N401" s="215" t="s">
        <v>470</v>
      </c>
      <c r="O401" s="216">
        <v>41419</v>
      </c>
      <c r="P401" s="215" t="s">
        <v>531</v>
      </c>
      <c r="Q401" s="217">
        <v>100</v>
      </c>
      <c r="R401" s="215" t="s">
        <v>445</v>
      </c>
      <c r="S401" s="215" t="s">
        <v>532</v>
      </c>
      <c r="T401" s="215" t="s">
        <v>445</v>
      </c>
      <c r="U401" s="215" t="s">
        <v>446</v>
      </c>
      <c r="V401" s="217" t="b">
        <v>1</v>
      </c>
      <c r="W401" s="217">
        <v>1989</v>
      </c>
      <c r="X401" s="217">
        <v>5</v>
      </c>
      <c r="Y401" s="217">
        <v>2</v>
      </c>
      <c r="Z401" s="217">
        <v>4</v>
      </c>
      <c r="AA401" s="215" t="s">
        <v>447</v>
      </c>
      <c r="AB401" s="215" t="s">
        <v>531</v>
      </c>
      <c r="AC401" s="215" t="s">
        <v>533</v>
      </c>
      <c r="AD401" s="217">
        <v>1.983214</v>
      </c>
      <c r="AE401" s="217">
        <v>1924</v>
      </c>
      <c r="AF401" s="217">
        <v>0.35210000000000002</v>
      </c>
      <c r="AG401" s="217">
        <v>-99</v>
      </c>
      <c r="AH401" s="215" t="s">
        <v>224</v>
      </c>
      <c r="AI401" s="215" t="s">
        <v>449</v>
      </c>
      <c r="AJ401" s="215" t="s">
        <v>224</v>
      </c>
      <c r="AK401" s="215" t="s">
        <v>531</v>
      </c>
      <c r="AL401" s="215" t="s">
        <v>466</v>
      </c>
      <c r="AM401" s="217" t="b">
        <v>0</v>
      </c>
      <c r="AN401" s="217" t="b">
        <v>0</v>
      </c>
      <c r="AO401" s="215" t="s">
        <v>535</v>
      </c>
      <c r="AP401" s="215" t="s">
        <v>536</v>
      </c>
      <c r="AQ401" s="217">
        <v>142.28167999999999</v>
      </c>
      <c r="AR401" s="217" t="b">
        <v>0</v>
      </c>
      <c r="AS401" s="215" t="s">
        <v>534</v>
      </c>
      <c r="AU401" s="222" t="s">
        <v>819</v>
      </c>
    </row>
    <row r="402" spans="1:47" s="218" customFormat="1" x14ac:dyDescent="0.25">
      <c r="A402" s="245">
        <f t="shared" si="48"/>
        <v>497</v>
      </c>
      <c r="B402" s="246" t="str">
        <f t="shared" si="49"/>
        <v>Oil Field - Well</v>
      </c>
      <c r="C402" s="246" t="str">
        <f ca="1">IF(B402="","",VLOOKUP(D402,'Species Data'!B:E,4,FALSE))</f>
        <v>trimethben135</v>
      </c>
      <c r="D402" s="246">
        <f t="shared" ca="1" si="50"/>
        <v>44</v>
      </c>
      <c r="E402" s="246">
        <f t="shared" ca="1" si="51"/>
        <v>0.1066</v>
      </c>
      <c r="F402" s="246" t="str">
        <f t="shared" ca="1" si="52"/>
        <v>1,3,5-trimethylbenzene</v>
      </c>
      <c r="G402" s="246">
        <f t="shared" ca="1" si="53"/>
        <v>120.19158</v>
      </c>
      <c r="H402" s="204">
        <f ca="1">IF(G402="","",IF(VLOOKUP(Well_Head!F402,'Species Data'!D:F,3,FALSE)=0,"X",IF(G402&lt;44.1,2,1)))</f>
        <v>1</v>
      </c>
      <c r="I402" s="204">
        <f t="shared" ca="1" si="54"/>
        <v>0.11778903285326239</v>
      </c>
      <c r="J402" s="247">
        <f ca="1">IF(I402="","",IF(COUNTIF($D$12:D402,D402)=1,IF(H402=1,I402*H402,IF(H402="X","X",0)),0))</f>
        <v>0</v>
      </c>
      <c r="K402" s="248">
        <f t="shared" ca="1" si="55"/>
        <v>0</v>
      </c>
      <c r="L402" s="239" t="s">
        <v>626</v>
      </c>
      <c r="M402" s="215" t="s">
        <v>448</v>
      </c>
      <c r="N402" s="215" t="s">
        <v>470</v>
      </c>
      <c r="O402" s="216">
        <v>41419</v>
      </c>
      <c r="P402" s="215" t="s">
        <v>531</v>
      </c>
      <c r="Q402" s="217">
        <v>100</v>
      </c>
      <c r="R402" s="215" t="s">
        <v>445</v>
      </c>
      <c r="S402" s="215" t="s">
        <v>532</v>
      </c>
      <c r="T402" s="215" t="s">
        <v>445</v>
      </c>
      <c r="U402" s="215" t="s">
        <v>446</v>
      </c>
      <c r="V402" s="217" t="b">
        <v>1</v>
      </c>
      <c r="W402" s="217">
        <v>1989</v>
      </c>
      <c r="X402" s="217">
        <v>5</v>
      </c>
      <c r="Y402" s="217">
        <v>2</v>
      </c>
      <c r="Z402" s="217">
        <v>4</v>
      </c>
      <c r="AA402" s="215" t="s">
        <v>447</v>
      </c>
      <c r="AB402" s="215" t="s">
        <v>531</v>
      </c>
      <c r="AC402" s="215" t="s">
        <v>533</v>
      </c>
      <c r="AD402" s="217">
        <v>1.983214</v>
      </c>
      <c r="AE402" s="217">
        <v>1929</v>
      </c>
      <c r="AF402" s="217">
        <v>6.8400000000000002E-2</v>
      </c>
      <c r="AG402" s="217">
        <v>-99</v>
      </c>
      <c r="AH402" s="215" t="s">
        <v>224</v>
      </c>
      <c r="AI402" s="215" t="s">
        <v>449</v>
      </c>
      <c r="AJ402" s="215" t="s">
        <v>224</v>
      </c>
      <c r="AK402" s="215" t="s">
        <v>531</v>
      </c>
      <c r="AL402" s="215" t="s">
        <v>467</v>
      </c>
      <c r="AM402" s="217" t="b">
        <v>0</v>
      </c>
      <c r="AN402" s="217" t="b">
        <v>0</v>
      </c>
      <c r="AO402" s="215" t="s">
        <v>468</v>
      </c>
      <c r="AP402" s="215" t="s">
        <v>469</v>
      </c>
      <c r="AQ402" s="217">
        <v>156.30826000000002</v>
      </c>
      <c r="AR402" s="217" t="b">
        <v>0</v>
      </c>
      <c r="AS402" s="215" t="s">
        <v>534</v>
      </c>
      <c r="AU402" s="222" t="s">
        <v>819</v>
      </c>
    </row>
    <row r="403" spans="1:47" s="218" customFormat="1" x14ac:dyDescent="0.25">
      <c r="A403" s="245">
        <f t="shared" si="48"/>
        <v>498</v>
      </c>
      <c r="B403" s="246" t="str">
        <f t="shared" si="49"/>
        <v>Oil Field - Well</v>
      </c>
      <c r="C403" s="246" t="str">
        <f ca="1">IF(B403="","",VLOOKUP(D403,'Species Data'!B:E,4,FALSE))</f>
        <v>dietben13</v>
      </c>
      <c r="D403" s="246">
        <f t="shared" ca="1" si="50"/>
        <v>51</v>
      </c>
      <c r="E403" s="246">
        <f t="shared" ca="1" si="51"/>
        <v>4.8599999999999997E-2</v>
      </c>
      <c r="F403" s="246" t="str">
        <f t="shared" ca="1" si="52"/>
        <v>1,3-diethylbenzene (meta)</v>
      </c>
      <c r="G403" s="246">
        <f t="shared" ca="1" si="53"/>
        <v>134.21816000000001</v>
      </c>
      <c r="H403" s="204" t="str">
        <f ca="1">IF(G403="","",IF(VLOOKUP(Well_Head!F403,'Species Data'!D:F,3,FALSE)=0,"X",IF(G403&lt;44.1,2,1)))</f>
        <v>X</v>
      </c>
      <c r="I403" s="204">
        <f t="shared" ca="1" si="54"/>
        <v>0.1341112750248917</v>
      </c>
      <c r="J403" s="247">
        <f ca="1">IF(I403="","",IF(COUNTIF($D$12:D403,D403)=1,IF(H403=1,I403*H403,IF(H403="X","X",0)),0))</f>
        <v>0</v>
      </c>
      <c r="K403" s="248">
        <f t="shared" ca="1" si="55"/>
        <v>0</v>
      </c>
      <c r="L403" s="239" t="s">
        <v>626</v>
      </c>
      <c r="M403" s="215" t="s">
        <v>448</v>
      </c>
      <c r="N403" s="215" t="s">
        <v>470</v>
      </c>
      <c r="O403" s="216">
        <v>41419</v>
      </c>
      <c r="P403" s="215" t="s">
        <v>531</v>
      </c>
      <c r="Q403" s="217">
        <v>100</v>
      </c>
      <c r="R403" s="215" t="s">
        <v>445</v>
      </c>
      <c r="S403" s="215" t="s">
        <v>532</v>
      </c>
      <c r="T403" s="215" t="s">
        <v>445</v>
      </c>
      <c r="U403" s="215" t="s">
        <v>446</v>
      </c>
      <c r="V403" s="217" t="b">
        <v>1</v>
      </c>
      <c r="W403" s="217">
        <v>1989</v>
      </c>
      <c r="X403" s="217">
        <v>5</v>
      </c>
      <c r="Y403" s="217">
        <v>2</v>
      </c>
      <c r="Z403" s="217">
        <v>4</v>
      </c>
      <c r="AA403" s="215" t="s">
        <v>447</v>
      </c>
      <c r="AB403" s="215" t="s">
        <v>531</v>
      </c>
      <c r="AC403" s="215" t="s">
        <v>533</v>
      </c>
      <c r="AD403" s="217">
        <v>1.983214</v>
      </c>
      <c r="AE403" s="217">
        <v>1976</v>
      </c>
      <c r="AF403" s="217">
        <v>1.1116999999999999</v>
      </c>
      <c r="AG403" s="217">
        <v>-99</v>
      </c>
      <c r="AH403" s="215" t="s">
        <v>224</v>
      </c>
      <c r="AI403" s="215" t="s">
        <v>449</v>
      </c>
      <c r="AJ403" s="215" t="s">
        <v>224</v>
      </c>
      <c r="AK403" s="215" t="s">
        <v>531</v>
      </c>
      <c r="AL403" s="215" t="s">
        <v>465</v>
      </c>
      <c r="AM403" s="217" t="b">
        <v>0</v>
      </c>
      <c r="AN403" s="217" t="b">
        <v>0</v>
      </c>
      <c r="AO403" s="215" t="s">
        <v>551</v>
      </c>
      <c r="AP403" s="215" t="s">
        <v>552</v>
      </c>
      <c r="AQ403" s="217">
        <v>56.106319999999997</v>
      </c>
      <c r="AR403" s="217" t="b">
        <v>0</v>
      </c>
      <c r="AS403" s="215" t="s">
        <v>534</v>
      </c>
      <c r="AU403" s="222" t="s">
        <v>819</v>
      </c>
    </row>
    <row r="404" spans="1:47" s="218" customFormat="1" x14ac:dyDescent="0.25">
      <c r="A404" s="245">
        <f t="shared" si="48"/>
        <v>499</v>
      </c>
      <c r="B404" s="246" t="str">
        <f t="shared" si="49"/>
        <v>Oil Field - Well</v>
      </c>
      <c r="C404" s="246" t="str">
        <f ca="1">IF(B404="","",VLOOKUP(D404,'Species Data'!B:E,4,FALSE))</f>
        <v>dietben14</v>
      </c>
      <c r="D404" s="246">
        <f t="shared" ca="1" si="50"/>
        <v>59</v>
      </c>
      <c r="E404" s="246">
        <f t="shared" ca="1" si="51"/>
        <v>4.5699999999999998E-2</v>
      </c>
      <c r="F404" s="246" t="str">
        <f t="shared" ca="1" si="52"/>
        <v>1,4-diethylbenzene (para)</v>
      </c>
      <c r="G404" s="246">
        <f t="shared" ca="1" si="53"/>
        <v>134.21816000000001</v>
      </c>
      <c r="H404" s="204" t="str">
        <f ca="1">IF(G404="","",IF(VLOOKUP(Well_Head!F404,'Species Data'!D:F,3,FALSE)=0,"X",IF(G404&lt;44.1,2,1)))</f>
        <v>X</v>
      </c>
      <c r="I404" s="204">
        <f t="shared" ca="1" si="54"/>
        <v>7.9233430174192432E-2</v>
      </c>
      <c r="J404" s="247">
        <f ca="1">IF(I404="","",IF(COUNTIF($D$12:D404,D404)=1,IF(H404=1,I404*H404,IF(H404="X","X",0)),0))</f>
        <v>0</v>
      </c>
      <c r="K404" s="248">
        <f t="shared" ca="1" si="55"/>
        <v>0</v>
      </c>
      <c r="L404" s="239" t="s">
        <v>626</v>
      </c>
      <c r="M404" s="215" t="s">
        <v>448</v>
      </c>
      <c r="N404" s="215" t="s">
        <v>470</v>
      </c>
      <c r="O404" s="216">
        <v>41419</v>
      </c>
      <c r="P404" s="215" t="s">
        <v>531</v>
      </c>
      <c r="Q404" s="217">
        <v>100</v>
      </c>
      <c r="R404" s="215" t="s">
        <v>445</v>
      </c>
      <c r="S404" s="215" t="s">
        <v>532</v>
      </c>
      <c r="T404" s="215" t="s">
        <v>445</v>
      </c>
      <c r="U404" s="215" t="s">
        <v>446</v>
      </c>
      <c r="V404" s="217" t="b">
        <v>1</v>
      </c>
      <c r="W404" s="217">
        <v>1989</v>
      </c>
      <c r="X404" s="217">
        <v>5</v>
      </c>
      <c r="Y404" s="217">
        <v>2</v>
      </c>
      <c r="Z404" s="217">
        <v>4</v>
      </c>
      <c r="AA404" s="215" t="s">
        <v>447</v>
      </c>
      <c r="AB404" s="215" t="s">
        <v>531</v>
      </c>
      <c r="AC404" s="215" t="s">
        <v>533</v>
      </c>
      <c r="AD404" s="217">
        <v>1.983214</v>
      </c>
      <c r="AE404" s="217">
        <v>1986</v>
      </c>
      <c r="AF404" s="217">
        <v>3.3706</v>
      </c>
      <c r="AG404" s="217">
        <v>-99</v>
      </c>
      <c r="AH404" s="215" t="s">
        <v>224</v>
      </c>
      <c r="AI404" s="215" t="s">
        <v>449</v>
      </c>
      <c r="AJ404" s="215" t="s">
        <v>224</v>
      </c>
      <c r="AK404" s="215" t="s">
        <v>531</v>
      </c>
      <c r="AL404" s="215" t="s">
        <v>537</v>
      </c>
      <c r="AM404" s="217" t="b">
        <v>0</v>
      </c>
      <c r="AN404" s="217" t="b">
        <v>0</v>
      </c>
      <c r="AO404" s="215" t="s">
        <v>538</v>
      </c>
      <c r="AP404" s="215" t="s">
        <v>539</v>
      </c>
      <c r="AQ404" s="217">
        <v>72.148780000000002</v>
      </c>
      <c r="AR404" s="217" t="b">
        <v>0</v>
      </c>
      <c r="AS404" s="215" t="s">
        <v>534</v>
      </c>
      <c r="AU404" s="222" t="s">
        <v>819</v>
      </c>
    </row>
    <row r="405" spans="1:47" s="218" customFormat="1" x14ac:dyDescent="0.25">
      <c r="A405" s="245">
        <f t="shared" si="48"/>
        <v>500</v>
      </c>
      <c r="B405" s="246" t="str">
        <f t="shared" si="49"/>
        <v>Oil Field - Well</v>
      </c>
      <c r="C405" s="246" t="str">
        <f ca="1">IF(B405="","",VLOOKUP(D405,'Species Data'!B:E,4,FALSE))</f>
        <v>ethben12</v>
      </c>
      <c r="D405" s="246">
        <f t="shared" ca="1" si="50"/>
        <v>80</v>
      </c>
      <c r="E405" s="246">
        <f t="shared" ca="1" si="51"/>
        <v>6.9400000000000003E-2</v>
      </c>
      <c r="F405" s="246" t="str">
        <f t="shared" ca="1" si="52"/>
        <v>1-Methyl-2-ethylbenzene</v>
      </c>
      <c r="G405" s="246">
        <f t="shared" ca="1" si="53"/>
        <v>120.19158</v>
      </c>
      <c r="H405" s="204">
        <f ca="1">IF(G405="","",IF(VLOOKUP(Well_Head!F405,'Species Data'!D:F,3,FALSE)=0,"X",IF(G405&lt;44.1,2,1)))</f>
        <v>1</v>
      </c>
      <c r="I405" s="204">
        <f t="shared" ca="1" si="54"/>
        <v>0.13882239189403453</v>
      </c>
      <c r="J405" s="247">
        <f ca="1">IF(I405="","",IF(COUNTIF($D$12:D405,D405)=1,IF(H405=1,I405*H405,IF(H405="X","X",0)),0))</f>
        <v>0</v>
      </c>
      <c r="K405" s="248">
        <f t="shared" ca="1" si="55"/>
        <v>0</v>
      </c>
      <c r="L405" s="239" t="s">
        <v>626</v>
      </c>
      <c r="M405" s="215" t="s">
        <v>448</v>
      </c>
      <c r="N405" s="215" t="s">
        <v>470</v>
      </c>
      <c r="O405" s="216">
        <v>41419</v>
      </c>
      <c r="P405" s="215" t="s">
        <v>531</v>
      </c>
      <c r="Q405" s="217">
        <v>100</v>
      </c>
      <c r="R405" s="215" t="s">
        <v>445</v>
      </c>
      <c r="S405" s="215" t="s">
        <v>532</v>
      </c>
      <c r="T405" s="215" t="s">
        <v>445</v>
      </c>
      <c r="U405" s="215" t="s">
        <v>446</v>
      </c>
      <c r="V405" s="217" t="b">
        <v>1</v>
      </c>
      <c r="W405" s="217">
        <v>1989</v>
      </c>
      <c r="X405" s="217">
        <v>5</v>
      </c>
      <c r="Y405" s="217">
        <v>2</v>
      </c>
      <c r="Z405" s="217">
        <v>4</v>
      </c>
      <c r="AA405" s="215" t="s">
        <v>447</v>
      </c>
      <c r="AB405" s="215" t="s">
        <v>531</v>
      </c>
      <c r="AC405" s="215" t="s">
        <v>533</v>
      </c>
      <c r="AD405" s="217">
        <v>1.983214</v>
      </c>
      <c r="AE405" s="217">
        <v>1999</v>
      </c>
      <c r="AF405" s="217">
        <v>1.6494</v>
      </c>
      <c r="AG405" s="217">
        <v>-99</v>
      </c>
      <c r="AH405" s="215" t="s">
        <v>224</v>
      </c>
      <c r="AI405" s="215" t="s">
        <v>449</v>
      </c>
      <c r="AJ405" s="215" t="s">
        <v>224</v>
      </c>
      <c r="AK405" s="215" t="s">
        <v>531</v>
      </c>
      <c r="AL405" s="215" t="s">
        <v>540</v>
      </c>
      <c r="AM405" s="217" t="b">
        <v>0</v>
      </c>
      <c r="AN405" s="217" t="b">
        <v>0</v>
      </c>
      <c r="AO405" s="215" t="s">
        <v>541</v>
      </c>
      <c r="AP405" s="215" t="s">
        <v>542</v>
      </c>
      <c r="AQ405" s="217">
        <v>86.175359999999998</v>
      </c>
      <c r="AR405" s="217" t="b">
        <v>0</v>
      </c>
      <c r="AS405" s="215" t="s">
        <v>534</v>
      </c>
      <c r="AU405" s="222" t="s">
        <v>819</v>
      </c>
    </row>
    <row r="406" spans="1:47" s="218" customFormat="1" x14ac:dyDescent="0.25">
      <c r="A406" s="245">
        <f t="shared" si="48"/>
        <v>501</v>
      </c>
      <c r="B406" s="246" t="str">
        <f t="shared" si="49"/>
        <v>Oil Field - Well</v>
      </c>
      <c r="C406" s="246" t="str">
        <f ca="1">IF(B406="","",VLOOKUP(D406,'Species Data'!B:E,4,FALSE))</f>
        <v>ethben13</v>
      </c>
      <c r="D406" s="246">
        <f t="shared" ca="1" si="50"/>
        <v>89</v>
      </c>
      <c r="E406" s="246">
        <f t="shared" ca="1" si="51"/>
        <v>0.16300000000000001</v>
      </c>
      <c r="F406" s="246" t="str">
        <f t="shared" ca="1" si="52"/>
        <v>1-Methyl-3-ethylbenzene (3-Ethyltoluene)</v>
      </c>
      <c r="G406" s="246">
        <f t="shared" ca="1" si="53"/>
        <v>120.19158</v>
      </c>
      <c r="H406" s="204">
        <f ca="1">IF(G406="","",IF(VLOOKUP(Well_Head!F406,'Species Data'!D:F,3,FALSE)=0,"X",IF(G406&lt;44.1,2,1)))</f>
        <v>1</v>
      </c>
      <c r="I406" s="204">
        <f t="shared" ca="1" si="54"/>
        <v>0.1338446080322987</v>
      </c>
      <c r="J406" s="247">
        <f ca="1">IF(I406="","",IF(COUNTIF($D$12:D406,D406)=1,IF(H406=1,I406*H406,IF(H406="X","X",0)),0))</f>
        <v>0</v>
      </c>
      <c r="K406" s="248">
        <f t="shared" ca="1" si="55"/>
        <v>0</v>
      </c>
      <c r="L406" s="239" t="s">
        <v>626</v>
      </c>
      <c r="M406" s="215" t="s">
        <v>448</v>
      </c>
      <c r="N406" s="215" t="s">
        <v>470</v>
      </c>
      <c r="O406" s="216">
        <v>41419</v>
      </c>
      <c r="P406" s="215" t="s">
        <v>531</v>
      </c>
      <c r="Q406" s="217">
        <v>100</v>
      </c>
      <c r="R406" s="215" t="s">
        <v>445</v>
      </c>
      <c r="S406" s="215" t="s">
        <v>532</v>
      </c>
      <c r="T406" s="215" t="s">
        <v>445</v>
      </c>
      <c r="U406" s="215" t="s">
        <v>446</v>
      </c>
      <c r="V406" s="217" t="b">
        <v>1</v>
      </c>
      <c r="W406" s="217">
        <v>1989</v>
      </c>
      <c r="X406" s="217">
        <v>5</v>
      </c>
      <c r="Y406" s="217">
        <v>2</v>
      </c>
      <c r="Z406" s="217">
        <v>4</v>
      </c>
      <c r="AA406" s="215" t="s">
        <v>447</v>
      </c>
      <c r="AB406" s="215" t="s">
        <v>531</v>
      </c>
      <c r="AC406" s="215" t="s">
        <v>533</v>
      </c>
      <c r="AD406" s="217">
        <v>1.983214</v>
      </c>
      <c r="AE406" s="217">
        <v>2005</v>
      </c>
      <c r="AF406" s="217">
        <v>1.3692</v>
      </c>
      <c r="AG406" s="217">
        <v>-99</v>
      </c>
      <c r="AH406" s="215" t="s">
        <v>224</v>
      </c>
      <c r="AI406" s="215" t="s">
        <v>449</v>
      </c>
      <c r="AJ406" s="215" t="s">
        <v>224</v>
      </c>
      <c r="AK406" s="215" t="s">
        <v>531</v>
      </c>
      <c r="AL406" s="215" t="s">
        <v>543</v>
      </c>
      <c r="AM406" s="217" t="b">
        <v>0</v>
      </c>
      <c r="AN406" s="217" t="b">
        <v>0</v>
      </c>
      <c r="AO406" s="215" t="s">
        <v>544</v>
      </c>
      <c r="AP406" s="215" t="s">
        <v>545</v>
      </c>
      <c r="AQ406" s="217">
        <v>100.20194000000001</v>
      </c>
      <c r="AR406" s="217" t="b">
        <v>0</v>
      </c>
      <c r="AS406" s="215" t="s">
        <v>534</v>
      </c>
      <c r="AU406" s="222" t="s">
        <v>819</v>
      </c>
    </row>
    <row r="407" spans="1:47" s="218" customFormat="1" x14ac:dyDescent="0.25">
      <c r="A407" s="245">
        <f t="shared" si="48"/>
        <v>502</v>
      </c>
      <c r="B407" s="246" t="str">
        <f t="shared" si="49"/>
        <v>Oil Field - Well</v>
      </c>
      <c r="C407" s="246" t="str">
        <f ca="1">IF(B407="","",VLOOKUP(D407,'Species Data'!B:E,4,FALSE))</f>
        <v>dimetbut22</v>
      </c>
      <c r="D407" s="246">
        <f t="shared" ca="1" si="50"/>
        <v>122</v>
      </c>
      <c r="E407" s="246">
        <f t="shared" ca="1" si="51"/>
        <v>0.15390000000000001</v>
      </c>
      <c r="F407" s="246" t="str">
        <f t="shared" ca="1" si="52"/>
        <v>2,2-dimethylbutane</v>
      </c>
      <c r="G407" s="246">
        <f t="shared" ca="1" si="53"/>
        <v>86.175359999999998</v>
      </c>
      <c r="H407" s="204">
        <f ca="1">IF(G407="","",IF(VLOOKUP(Well_Head!F407,'Species Data'!D:F,3,FALSE)=0,"X",IF(G407&lt;44.1,2,1)))</f>
        <v>1</v>
      </c>
      <c r="I407" s="204">
        <f t="shared" ca="1" si="54"/>
        <v>0.21534470764353159</v>
      </c>
      <c r="J407" s="247">
        <f ca="1">IF(I407="","",IF(COUNTIF($D$12:D407,D407)=1,IF(H407=1,I407*H407,IF(H407="X","X",0)),0))</f>
        <v>0</v>
      </c>
      <c r="K407" s="248">
        <f t="shared" ca="1" si="55"/>
        <v>0</v>
      </c>
      <c r="L407" s="239" t="s">
        <v>626</v>
      </c>
      <c r="M407" s="215" t="s">
        <v>448</v>
      </c>
      <c r="N407" s="215" t="s">
        <v>470</v>
      </c>
      <c r="O407" s="216">
        <v>41419</v>
      </c>
      <c r="P407" s="215" t="s">
        <v>531</v>
      </c>
      <c r="Q407" s="217">
        <v>100</v>
      </c>
      <c r="R407" s="215" t="s">
        <v>445</v>
      </c>
      <c r="S407" s="215" t="s">
        <v>532</v>
      </c>
      <c r="T407" s="215" t="s">
        <v>445</v>
      </c>
      <c r="U407" s="215" t="s">
        <v>446</v>
      </c>
      <c r="V407" s="217" t="b">
        <v>1</v>
      </c>
      <c r="W407" s="217">
        <v>1989</v>
      </c>
      <c r="X407" s="217">
        <v>5</v>
      </c>
      <c r="Y407" s="217">
        <v>2</v>
      </c>
      <c r="Z407" s="217">
        <v>4</v>
      </c>
      <c r="AA407" s="215" t="s">
        <v>447</v>
      </c>
      <c r="AB407" s="215" t="s">
        <v>531</v>
      </c>
      <c r="AC407" s="215" t="s">
        <v>533</v>
      </c>
      <c r="AD407" s="217">
        <v>1.983214</v>
      </c>
      <c r="AE407" s="217">
        <v>2011</v>
      </c>
      <c r="AF407" s="217">
        <v>1.3995</v>
      </c>
      <c r="AG407" s="217">
        <v>-99</v>
      </c>
      <c r="AH407" s="215" t="s">
        <v>224</v>
      </c>
      <c r="AI407" s="215" t="s">
        <v>449</v>
      </c>
      <c r="AJ407" s="215" t="s">
        <v>224</v>
      </c>
      <c r="AK407" s="215" t="s">
        <v>531</v>
      </c>
      <c r="AL407" s="215" t="s">
        <v>546</v>
      </c>
      <c r="AM407" s="217" t="b">
        <v>0</v>
      </c>
      <c r="AN407" s="217" t="b">
        <v>0</v>
      </c>
      <c r="AO407" s="215" t="s">
        <v>547</v>
      </c>
      <c r="AP407" s="215" t="s">
        <v>548</v>
      </c>
      <c r="AQ407" s="217">
        <v>113.21160686946486</v>
      </c>
      <c r="AR407" s="217" t="b">
        <v>0</v>
      </c>
      <c r="AS407" s="215" t="s">
        <v>534</v>
      </c>
      <c r="AU407" s="222" t="s">
        <v>819</v>
      </c>
    </row>
    <row r="408" spans="1:47" s="218" customFormat="1" x14ac:dyDescent="0.25">
      <c r="A408" s="245">
        <f t="shared" si="48"/>
        <v>503</v>
      </c>
      <c r="B408" s="246" t="str">
        <f t="shared" si="49"/>
        <v>Oil Field - Well</v>
      </c>
      <c r="C408" s="246" t="str">
        <f ca="1">IF(B408="","",VLOOKUP(D408,'Species Data'!B:E,4,FALSE))</f>
        <v>dimethpro</v>
      </c>
      <c r="D408" s="246">
        <f t="shared" ca="1" si="50"/>
        <v>127</v>
      </c>
      <c r="E408" s="246">
        <f t="shared" ca="1" si="51"/>
        <v>0.10589999999999999</v>
      </c>
      <c r="F408" s="246" t="str">
        <f t="shared" ca="1" si="52"/>
        <v>2,2-dimethylpropane</v>
      </c>
      <c r="G408" s="246">
        <f t="shared" ca="1" si="53"/>
        <v>72.148780000000002</v>
      </c>
      <c r="H408" s="204">
        <f ca="1">IF(G408="","",IF(VLOOKUP(Well_Head!F408,'Species Data'!D:F,3,FALSE)=0,"X",IF(G408&lt;44.1,2,1)))</f>
        <v>1</v>
      </c>
      <c r="I408" s="204">
        <f t="shared" ca="1" si="54"/>
        <v>0.12532237539401436</v>
      </c>
      <c r="J408" s="247">
        <f ca="1">IF(I408="","",IF(COUNTIF($D$12:D408,D408)=1,IF(H408=1,I408*H408,IF(H408="X","X",0)),0))</f>
        <v>0</v>
      </c>
      <c r="K408" s="248">
        <f t="shared" ca="1" si="55"/>
        <v>0</v>
      </c>
      <c r="L408" s="239" t="s">
        <v>626</v>
      </c>
      <c r="M408" s="215" t="s">
        <v>448</v>
      </c>
      <c r="N408" s="215" t="s">
        <v>470</v>
      </c>
      <c r="O408" s="216">
        <v>41419</v>
      </c>
      <c r="P408" s="215" t="s">
        <v>531</v>
      </c>
      <c r="Q408" s="217">
        <v>100</v>
      </c>
      <c r="R408" s="215" t="s">
        <v>445</v>
      </c>
      <c r="S408" s="215" t="s">
        <v>532</v>
      </c>
      <c r="T408" s="215" t="s">
        <v>445</v>
      </c>
      <c r="U408" s="215" t="s">
        <v>446</v>
      </c>
      <c r="V408" s="217" t="b">
        <v>1</v>
      </c>
      <c r="W408" s="217">
        <v>1989</v>
      </c>
      <c r="X408" s="217">
        <v>5</v>
      </c>
      <c r="Y408" s="217">
        <v>2</v>
      </c>
      <c r="Z408" s="217">
        <v>4</v>
      </c>
      <c r="AA408" s="215" t="s">
        <v>447</v>
      </c>
      <c r="AB408" s="215" t="s">
        <v>531</v>
      </c>
      <c r="AC408" s="215" t="s">
        <v>533</v>
      </c>
      <c r="AD408" s="217">
        <v>1.983214</v>
      </c>
      <c r="AE408" s="217">
        <v>2018</v>
      </c>
      <c r="AF408" s="217">
        <v>0.68589999999999995</v>
      </c>
      <c r="AG408" s="217">
        <v>-99</v>
      </c>
      <c r="AH408" s="215" t="s">
        <v>224</v>
      </c>
      <c r="AI408" s="215" t="s">
        <v>449</v>
      </c>
      <c r="AJ408" s="215" t="s">
        <v>224</v>
      </c>
      <c r="AK408" s="215" t="s">
        <v>531</v>
      </c>
      <c r="AL408" s="215" t="s">
        <v>464</v>
      </c>
      <c r="AM408" s="217" t="b">
        <v>0</v>
      </c>
      <c r="AN408" s="217" t="b">
        <v>0</v>
      </c>
      <c r="AO408" s="215" t="s">
        <v>549</v>
      </c>
      <c r="AP408" s="215" t="s">
        <v>550</v>
      </c>
      <c r="AQ408" s="217">
        <v>127.23917598649743</v>
      </c>
      <c r="AR408" s="217" t="b">
        <v>0</v>
      </c>
      <c r="AS408" s="215" t="s">
        <v>534</v>
      </c>
      <c r="AU408" s="222" t="s">
        <v>819</v>
      </c>
    </row>
    <row r="409" spans="1:47" s="218" customFormat="1" x14ac:dyDescent="0.25">
      <c r="A409" s="245">
        <f t="shared" si="48"/>
        <v>504</v>
      </c>
      <c r="B409" s="246" t="str">
        <f t="shared" si="49"/>
        <v>Oil Field - Well</v>
      </c>
      <c r="C409" s="246" t="str">
        <f ca="1">IF(B409="","",VLOOKUP(D409,'Species Data'!B:E,4,FALSE))</f>
        <v>trimentpen3</v>
      </c>
      <c r="D409" s="246">
        <f t="shared" ca="1" si="50"/>
        <v>130</v>
      </c>
      <c r="E409" s="246">
        <f t="shared" ca="1" si="51"/>
        <v>5.2299999999999999E-2</v>
      </c>
      <c r="F409" s="246" t="str">
        <f t="shared" ca="1" si="52"/>
        <v>2,3,4-trimethylpentane</v>
      </c>
      <c r="G409" s="246">
        <f t="shared" ca="1" si="53"/>
        <v>114.22852</v>
      </c>
      <c r="H409" s="204">
        <f ca="1">IF(G409="","",IF(VLOOKUP(Well_Head!F409,'Species Data'!D:F,3,FALSE)=0,"X",IF(G409&lt;44.1,2,1)))</f>
        <v>1</v>
      </c>
      <c r="I409" s="204">
        <f t="shared" ca="1" si="54"/>
        <v>0.18992245434966645</v>
      </c>
      <c r="J409" s="247">
        <f ca="1">IF(I409="","",IF(COUNTIF($D$12:D409,D409)=1,IF(H409=1,I409*H409,IF(H409="X","X",0)),0))</f>
        <v>0</v>
      </c>
      <c r="K409" s="248">
        <f t="shared" ca="1" si="55"/>
        <v>0</v>
      </c>
      <c r="L409" s="239" t="s">
        <v>626</v>
      </c>
      <c r="M409" s="215" t="s">
        <v>448</v>
      </c>
      <c r="N409" s="215" t="s">
        <v>470</v>
      </c>
      <c r="O409" s="216">
        <v>41419</v>
      </c>
      <c r="P409" s="215" t="s">
        <v>531</v>
      </c>
      <c r="Q409" s="217">
        <v>100</v>
      </c>
      <c r="R409" s="215" t="s">
        <v>445</v>
      </c>
      <c r="S409" s="215" t="s">
        <v>532</v>
      </c>
      <c r="T409" s="215" t="s">
        <v>445</v>
      </c>
      <c r="U409" s="215" t="s">
        <v>446</v>
      </c>
      <c r="V409" s="217" t="b">
        <v>1</v>
      </c>
      <c r="W409" s="217">
        <v>1989</v>
      </c>
      <c r="X409" s="217">
        <v>5</v>
      </c>
      <c r="Y409" s="217">
        <v>2</v>
      </c>
      <c r="Z409" s="217">
        <v>4</v>
      </c>
      <c r="AA409" s="215" t="s">
        <v>447</v>
      </c>
      <c r="AB409" s="215" t="s">
        <v>531</v>
      </c>
      <c r="AC409" s="215" t="s">
        <v>533</v>
      </c>
      <c r="AD409" s="217">
        <v>1.434064</v>
      </c>
      <c r="AE409" s="217">
        <v>25</v>
      </c>
      <c r="AF409" s="217">
        <v>0.38679999999999998</v>
      </c>
      <c r="AG409" s="217">
        <v>-99</v>
      </c>
      <c r="AH409" s="215" t="s">
        <v>224</v>
      </c>
      <c r="AI409" s="215" t="s">
        <v>449</v>
      </c>
      <c r="AJ409" s="215" t="s">
        <v>627</v>
      </c>
      <c r="AK409" s="215" t="s">
        <v>531</v>
      </c>
      <c r="AL409" s="215" t="s">
        <v>628</v>
      </c>
      <c r="AM409" s="217" t="b">
        <v>1</v>
      </c>
      <c r="AN409" s="217" t="b">
        <v>0</v>
      </c>
      <c r="AO409" s="215" t="s">
        <v>629</v>
      </c>
      <c r="AP409" s="215" t="s">
        <v>630</v>
      </c>
      <c r="AQ409" s="217">
        <v>120.19158</v>
      </c>
      <c r="AR409" s="217" t="b">
        <v>0</v>
      </c>
      <c r="AS409" s="215" t="s">
        <v>534</v>
      </c>
      <c r="AU409" s="222" t="s">
        <v>819</v>
      </c>
    </row>
    <row r="410" spans="1:47" s="218" customFormat="1" x14ac:dyDescent="0.25">
      <c r="A410" s="245">
        <f t="shared" si="48"/>
        <v>505</v>
      </c>
      <c r="B410" s="246" t="str">
        <f t="shared" si="49"/>
        <v>Oil Field - Well</v>
      </c>
      <c r="C410" s="246" t="str">
        <f ca="1">IF(B410="","",VLOOKUP(D410,'Species Data'!B:E,4,FALSE))</f>
        <v>dimethhex23</v>
      </c>
      <c r="D410" s="246">
        <f t="shared" ca="1" si="50"/>
        <v>138</v>
      </c>
      <c r="E410" s="246">
        <f t="shared" ca="1" si="51"/>
        <v>8.4000000000000005E-2</v>
      </c>
      <c r="F410" s="246" t="str">
        <f t="shared" ca="1" si="52"/>
        <v>2,3-dimethylhexane</v>
      </c>
      <c r="G410" s="246">
        <f t="shared" ca="1" si="53"/>
        <v>114.22852</v>
      </c>
      <c r="H410" s="204">
        <f ca="1">IF(G410="","",IF(VLOOKUP(Well_Head!F410,'Species Data'!D:F,3,FALSE)=0,"X",IF(G410&lt;44.1,2,1)))</f>
        <v>1</v>
      </c>
      <c r="I410" s="204">
        <f t="shared" ca="1" si="54"/>
        <v>5.9266739103792238E-2</v>
      </c>
      <c r="J410" s="247">
        <f ca="1">IF(I410="","",IF(COUNTIF($D$12:D410,D410)=1,IF(H410=1,I410*H410,IF(H410="X","X",0)),0))</f>
        <v>0</v>
      </c>
      <c r="K410" s="248">
        <f t="shared" ca="1" si="55"/>
        <v>0</v>
      </c>
      <c r="L410" s="239" t="s">
        <v>626</v>
      </c>
      <c r="M410" s="215" t="s">
        <v>448</v>
      </c>
      <c r="N410" s="215" t="s">
        <v>470</v>
      </c>
      <c r="O410" s="216">
        <v>41419</v>
      </c>
      <c r="P410" s="215" t="s">
        <v>531</v>
      </c>
      <c r="Q410" s="217">
        <v>100</v>
      </c>
      <c r="R410" s="215" t="s">
        <v>445</v>
      </c>
      <c r="S410" s="215" t="s">
        <v>532</v>
      </c>
      <c r="T410" s="215" t="s">
        <v>445</v>
      </c>
      <c r="U410" s="215" t="s">
        <v>446</v>
      </c>
      <c r="V410" s="217" t="b">
        <v>1</v>
      </c>
      <c r="W410" s="217">
        <v>1989</v>
      </c>
      <c r="X410" s="217">
        <v>5</v>
      </c>
      <c r="Y410" s="217">
        <v>2</v>
      </c>
      <c r="Z410" s="217">
        <v>4</v>
      </c>
      <c r="AA410" s="215" t="s">
        <v>447</v>
      </c>
      <c r="AB410" s="215" t="s">
        <v>531</v>
      </c>
      <c r="AC410" s="215" t="s">
        <v>533</v>
      </c>
      <c r="AD410" s="217">
        <v>1.434064</v>
      </c>
      <c r="AE410" s="217">
        <v>30</v>
      </c>
      <c r="AF410" s="217">
        <v>0.68149999999999999</v>
      </c>
      <c r="AG410" s="217">
        <v>-99</v>
      </c>
      <c r="AH410" s="215" t="s">
        <v>224</v>
      </c>
      <c r="AI410" s="215" t="s">
        <v>449</v>
      </c>
      <c r="AJ410" s="215" t="s">
        <v>359</v>
      </c>
      <c r="AK410" s="215" t="s">
        <v>531</v>
      </c>
      <c r="AL410" s="215" t="s">
        <v>531</v>
      </c>
      <c r="AM410" s="217" t="b">
        <v>1</v>
      </c>
      <c r="AN410" s="217" t="b">
        <v>0</v>
      </c>
      <c r="AO410" s="215" t="s">
        <v>360</v>
      </c>
      <c r="AP410" s="215" t="s">
        <v>361</v>
      </c>
      <c r="AQ410" s="217">
        <v>120.19158</v>
      </c>
      <c r="AR410" s="217" t="b">
        <v>0</v>
      </c>
      <c r="AS410" s="215" t="s">
        <v>534</v>
      </c>
      <c r="AU410" s="222" t="s">
        <v>819</v>
      </c>
    </row>
    <row r="411" spans="1:47" s="219" customFormat="1" x14ac:dyDescent="0.25">
      <c r="A411" s="245">
        <f t="shared" si="48"/>
        <v>506</v>
      </c>
      <c r="B411" s="246" t="str">
        <f t="shared" si="49"/>
        <v>Oil Field - Well</v>
      </c>
      <c r="C411" s="246" t="str">
        <f ca="1">IF(B411="","",VLOOKUP(D411,'Species Data'!B:E,4,FALSE))</f>
        <v>dimetpen3</v>
      </c>
      <c r="D411" s="246">
        <f t="shared" ca="1" si="50"/>
        <v>140</v>
      </c>
      <c r="E411" s="246">
        <f t="shared" ca="1" si="51"/>
        <v>0.51019999999999999</v>
      </c>
      <c r="F411" s="246" t="str">
        <f t="shared" ca="1" si="52"/>
        <v>2,3-dimethylpentane</v>
      </c>
      <c r="G411" s="246">
        <f t="shared" ca="1" si="53"/>
        <v>100.20194000000001</v>
      </c>
      <c r="H411" s="204">
        <f ca="1">IF(G411="","",IF(VLOOKUP(Well_Head!F411,'Species Data'!D:F,3,FALSE)=0,"X",IF(G411&lt;44.1,2,1)))</f>
        <v>1</v>
      </c>
      <c r="I411" s="204">
        <f t="shared" ca="1" si="54"/>
        <v>0.38365602446847435</v>
      </c>
      <c r="J411" s="247">
        <f ca="1">IF(I411="","",IF(COUNTIF($D$12:D411,D411)=1,IF(H411=1,I411*H411,IF(H411="X","X",0)),0))</f>
        <v>0</v>
      </c>
      <c r="K411" s="248">
        <f t="shared" ca="1" si="55"/>
        <v>0</v>
      </c>
      <c r="L411" s="239" t="s">
        <v>626</v>
      </c>
      <c r="M411" s="215" t="s">
        <v>448</v>
      </c>
      <c r="N411" s="215" t="s">
        <v>470</v>
      </c>
      <c r="O411" s="216">
        <v>41419</v>
      </c>
      <c r="P411" s="215" t="s">
        <v>531</v>
      </c>
      <c r="Q411" s="217">
        <v>100</v>
      </c>
      <c r="R411" s="215" t="s">
        <v>445</v>
      </c>
      <c r="S411" s="215" t="s">
        <v>532</v>
      </c>
      <c r="T411" s="215" t="s">
        <v>445</v>
      </c>
      <c r="U411" s="215" t="s">
        <v>446</v>
      </c>
      <c r="V411" s="217" t="b">
        <v>1</v>
      </c>
      <c r="W411" s="217">
        <v>1989</v>
      </c>
      <c r="X411" s="217">
        <v>5</v>
      </c>
      <c r="Y411" s="217">
        <v>2</v>
      </c>
      <c r="Z411" s="217">
        <v>4</v>
      </c>
      <c r="AA411" s="215" t="s">
        <v>447</v>
      </c>
      <c r="AB411" s="215" t="s">
        <v>531</v>
      </c>
      <c r="AC411" s="215" t="s">
        <v>533</v>
      </c>
      <c r="AD411" s="217">
        <v>1.434064</v>
      </c>
      <c r="AE411" s="217">
        <v>51</v>
      </c>
      <c r="AF411" s="217">
        <v>0.4904</v>
      </c>
      <c r="AG411" s="217">
        <v>-99</v>
      </c>
      <c r="AH411" s="215" t="s">
        <v>224</v>
      </c>
      <c r="AI411" s="215" t="s">
        <v>449</v>
      </c>
      <c r="AJ411" s="215" t="s">
        <v>634</v>
      </c>
      <c r="AK411" s="215" t="s">
        <v>531</v>
      </c>
      <c r="AL411" s="215" t="s">
        <v>635</v>
      </c>
      <c r="AM411" s="217" t="b">
        <v>1</v>
      </c>
      <c r="AN411" s="217" t="b">
        <v>0</v>
      </c>
      <c r="AO411" s="215" t="s">
        <v>636</v>
      </c>
      <c r="AP411" s="215" t="s">
        <v>637</v>
      </c>
      <c r="AQ411" s="217">
        <v>134.21816000000001</v>
      </c>
      <c r="AR411" s="217" t="b">
        <v>0</v>
      </c>
      <c r="AS411" s="215" t="s">
        <v>534</v>
      </c>
      <c r="AU411" s="222" t="s">
        <v>819</v>
      </c>
    </row>
    <row r="412" spans="1:47" s="219" customFormat="1" x14ac:dyDescent="0.25">
      <c r="A412" s="245">
        <f t="shared" si="48"/>
        <v>507</v>
      </c>
      <c r="B412" s="246" t="str">
        <f t="shared" si="49"/>
        <v>Oil Field - Well</v>
      </c>
      <c r="C412" s="246" t="str">
        <f ca="1">IF(B412="","",VLOOKUP(D412,'Species Data'!B:E,4,FALSE))</f>
        <v>dimethhex24</v>
      </c>
      <c r="D412" s="246">
        <f t="shared" ca="1" si="50"/>
        <v>149</v>
      </c>
      <c r="E412" s="246">
        <f t="shared" ca="1" si="51"/>
        <v>0.10299999999999999</v>
      </c>
      <c r="F412" s="246" t="str">
        <f t="shared" ca="1" si="52"/>
        <v>2,4-dimethylhexane</v>
      </c>
      <c r="G412" s="246">
        <f t="shared" ca="1" si="53"/>
        <v>114.22852</v>
      </c>
      <c r="H412" s="204">
        <f ca="1">IF(G412="","",IF(VLOOKUP(Well_Head!F412,'Species Data'!D:F,3,FALSE)=0,"X",IF(G412&lt;44.1,2,1)))</f>
        <v>1</v>
      </c>
      <c r="I412" s="204">
        <f t="shared" ca="1" si="54"/>
        <v>0.16547798002864228</v>
      </c>
      <c r="J412" s="247">
        <f ca="1">IF(I412="","",IF(COUNTIF($D$12:D412,D412)=1,IF(H412=1,I412*H412,IF(H412="X","X",0)),0))</f>
        <v>0</v>
      </c>
      <c r="K412" s="248">
        <f t="shared" ca="1" si="55"/>
        <v>0</v>
      </c>
      <c r="L412" s="239" t="s">
        <v>626</v>
      </c>
      <c r="M412" s="215" t="s">
        <v>448</v>
      </c>
      <c r="N412" s="215" t="s">
        <v>470</v>
      </c>
      <c r="O412" s="216">
        <v>41419</v>
      </c>
      <c r="P412" s="215" t="s">
        <v>531</v>
      </c>
      <c r="Q412" s="217">
        <v>100</v>
      </c>
      <c r="R412" s="215" t="s">
        <v>445</v>
      </c>
      <c r="S412" s="215" t="s">
        <v>532</v>
      </c>
      <c r="T412" s="215" t="s">
        <v>445</v>
      </c>
      <c r="U412" s="215" t="s">
        <v>446</v>
      </c>
      <c r="V412" s="217" t="b">
        <v>1</v>
      </c>
      <c r="W412" s="217">
        <v>1989</v>
      </c>
      <c r="X412" s="217">
        <v>5</v>
      </c>
      <c r="Y412" s="217">
        <v>2</v>
      </c>
      <c r="Z412" s="217">
        <v>4</v>
      </c>
      <c r="AA412" s="215" t="s">
        <v>447</v>
      </c>
      <c r="AB412" s="215" t="s">
        <v>531</v>
      </c>
      <c r="AC412" s="215" t="s">
        <v>533</v>
      </c>
      <c r="AD412" s="217">
        <v>1.434064</v>
      </c>
      <c r="AE412" s="217">
        <v>80</v>
      </c>
      <c r="AF412" s="217">
        <v>0.16919999999999999</v>
      </c>
      <c r="AG412" s="217">
        <v>-99</v>
      </c>
      <c r="AH412" s="215" t="s">
        <v>224</v>
      </c>
      <c r="AI412" s="215" t="s">
        <v>449</v>
      </c>
      <c r="AJ412" s="215" t="s">
        <v>408</v>
      </c>
      <c r="AK412" s="215" t="s">
        <v>531</v>
      </c>
      <c r="AL412" s="215" t="s">
        <v>450</v>
      </c>
      <c r="AM412" s="217" t="b">
        <v>1</v>
      </c>
      <c r="AN412" s="217" t="b">
        <v>0</v>
      </c>
      <c r="AO412" s="215" t="s">
        <v>409</v>
      </c>
      <c r="AP412" s="215" t="s">
        <v>410</v>
      </c>
      <c r="AQ412" s="217">
        <v>120.19158</v>
      </c>
      <c r="AR412" s="217" t="b">
        <v>0</v>
      </c>
      <c r="AS412" s="215" t="s">
        <v>534</v>
      </c>
      <c r="AU412" s="222" t="s">
        <v>819</v>
      </c>
    </row>
    <row r="413" spans="1:47" s="219" customFormat="1" x14ac:dyDescent="0.25">
      <c r="A413" s="245">
        <f t="shared" si="48"/>
        <v>508</v>
      </c>
      <c r="B413" s="246" t="str">
        <f t="shared" si="49"/>
        <v>Oil Field - Well</v>
      </c>
      <c r="C413" s="246" t="str">
        <f ca="1">IF(B413="","",VLOOKUP(D413,'Species Data'!B:E,4,FALSE))</f>
        <v>dimetpen4</v>
      </c>
      <c r="D413" s="246">
        <f t="shared" ca="1" si="50"/>
        <v>152</v>
      </c>
      <c r="E413" s="246">
        <f t="shared" ca="1" si="51"/>
        <v>0.1542</v>
      </c>
      <c r="F413" s="246" t="str">
        <f t="shared" ca="1" si="52"/>
        <v>2,4-dimethylpentane</v>
      </c>
      <c r="G413" s="246">
        <f t="shared" ca="1" si="53"/>
        <v>100.20194000000001</v>
      </c>
      <c r="H413" s="204">
        <f ca="1">IF(G413="","",IF(VLOOKUP(Well_Head!F413,'Species Data'!D:F,3,FALSE)=0,"X",IF(G413&lt;44.1,2,1)))</f>
        <v>1</v>
      </c>
      <c r="I413" s="204">
        <f t="shared" ca="1" si="54"/>
        <v>0.15698908076443205</v>
      </c>
      <c r="J413" s="247">
        <f ca="1">IF(I413="","",IF(COUNTIF($D$12:D413,D413)=1,IF(H413=1,I413*H413,IF(H413="X","X",0)),0))</f>
        <v>0</v>
      </c>
      <c r="K413" s="248">
        <f t="shared" ca="1" si="55"/>
        <v>0</v>
      </c>
      <c r="L413" s="239" t="s">
        <v>626</v>
      </c>
      <c r="M413" s="215" t="s">
        <v>448</v>
      </c>
      <c r="N413" s="215" t="s">
        <v>470</v>
      </c>
      <c r="O413" s="216">
        <v>41419</v>
      </c>
      <c r="P413" s="215" t="s">
        <v>531</v>
      </c>
      <c r="Q413" s="217">
        <v>100</v>
      </c>
      <c r="R413" s="215" t="s">
        <v>445</v>
      </c>
      <c r="S413" s="215" t="s">
        <v>532</v>
      </c>
      <c r="T413" s="215" t="s">
        <v>445</v>
      </c>
      <c r="U413" s="215" t="s">
        <v>446</v>
      </c>
      <c r="V413" s="217" t="b">
        <v>1</v>
      </c>
      <c r="W413" s="217">
        <v>1989</v>
      </c>
      <c r="X413" s="217">
        <v>5</v>
      </c>
      <c r="Y413" s="217">
        <v>2</v>
      </c>
      <c r="Z413" s="217">
        <v>4</v>
      </c>
      <c r="AA413" s="215" t="s">
        <v>447</v>
      </c>
      <c r="AB413" s="215" t="s">
        <v>531</v>
      </c>
      <c r="AC413" s="215" t="s">
        <v>533</v>
      </c>
      <c r="AD413" s="217">
        <v>1.434064</v>
      </c>
      <c r="AE413" s="217">
        <v>89</v>
      </c>
      <c r="AF413" s="217">
        <v>0.55159999999999998</v>
      </c>
      <c r="AG413" s="217">
        <v>-99</v>
      </c>
      <c r="AH413" s="215" t="s">
        <v>224</v>
      </c>
      <c r="AI413" s="215" t="s">
        <v>449</v>
      </c>
      <c r="AJ413" s="215" t="s">
        <v>411</v>
      </c>
      <c r="AK413" s="215" t="s">
        <v>531</v>
      </c>
      <c r="AL413" s="215" t="s">
        <v>451</v>
      </c>
      <c r="AM413" s="217" t="b">
        <v>1</v>
      </c>
      <c r="AN413" s="217" t="b">
        <v>0</v>
      </c>
      <c r="AO413" s="215" t="s">
        <v>412</v>
      </c>
      <c r="AP413" s="215" t="s">
        <v>413</v>
      </c>
      <c r="AQ413" s="217">
        <v>120.19158</v>
      </c>
      <c r="AR413" s="217" t="b">
        <v>0</v>
      </c>
      <c r="AS413" s="215" t="s">
        <v>534</v>
      </c>
      <c r="AU413" s="222" t="s">
        <v>819</v>
      </c>
    </row>
    <row r="414" spans="1:47" s="219" customFormat="1" x14ac:dyDescent="0.25">
      <c r="A414" s="245">
        <f t="shared" si="48"/>
        <v>509</v>
      </c>
      <c r="B414" s="246" t="str">
        <f t="shared" si="49"/>
        <v>Oil Field - Well</v>
      </c>
      <c r="C414" s="246" t="str">
        <f ca="1">IF(B414="","",VLOOKUP(D414,'Species Data'!B:E,4,FALSE))</f>
        <v>methep2</v>
      </c>
      <c r="D414" s="246">
        <f t="shared" ca="1" si="50"/>
        <v>193</v>
      </c>
      <c r="E414" s="246">
        <f t="shared" ca="1" si="51"/>
        <v>0.66720000000000002</v>
      </c>
      <c r="F414" s="246" t="str">
        <f t="shared" ca="1" si="52"/>
        <v>2-methylheptane</v>
      </c>
      <c r="G414" s="246">
        <f t="shared" ca="1" si="53"/>
        <v>114.22852</v>
      </c>
      <c r="H414" s="204">
        <f ca="1">IF(G414="","",IF(VLOOKUP(Well_Head!F414,'Species Data'!D:F,3,FALSE)=0,"X",IF(G414&lt;44.1,2,1)))</f>
        <v>1</v>
      </c>
      <c r="I414" s="204">
        <f t="shared" ca="1" si="54"/>
        <v>0.21534470764353159</v>
      </c>
      <c r="J414" s="247">
        <f ca="1">IF(I414="","",IF(COUNTIF($D$12:D414,D414)=1,IF(H414=1,I414*H414,IF(H414="X","X",0)),0))</f>
        <v>0</v>
      </c>
      <c r="K414" s="248">
        <f t="shared" ca="1" si="55"/>
        <v>0</v>
      </c>
      <c r="L414" s="239" t="s">
        <v>626</v>
      </c>
      <c r="M414" s="215" t="s">
        <v>448</v>
      </c>
      <c r="N414" s="215" t="s">
        <v>470</v>
      </c>
      <c r="O414" s="216">
        <v>41419</v>
      </c>
      <c r="P414" s="215" t="s">
        <v>531</v>
      </c>
      <c r="Q414" s="217">
        <v>100</v>
      </c>
      <c r="R414" s="215" t="s">
        <v>445</v>
      </c>
      <c r="S414" s="215" t="s">
        <v>532</v>
      </c>
      <c r="T414" s="215" t="s">
        <v>445</v>
      </c>
      <c r="U414" s="215" t="s">
        <v>446</v>
      </c>
      <c r="V414" s="217" t="b">
        <v>1</v>
      </c>
      <c r="W414" s="217">
        <v>1989</v>
      </c>
      <c r="X414" s="217">
        <v>5</v>
      </c>
      <c r="Y414" s="217">
        <v>2</v>
      </c>
      <c r="Z414" s="217">
        <v>4</v>
      </c>
      <c r="AA414" s="215" t="s">
        <v>447</v>
      </c>
      <c r="AB414" s="215" t="s">
        <v>531</v>
      </c>
      <c r="AC414" s="215" t="s">
        <v>533</v>
      </c>
      <c r="AD414" s="217">
        <v>1.434064</v>
      </c>
      <c r="AE414" s="217">
        <v>138</v>
      </c>
      <c r="AF414" s="217">
        <v>7.4399999999999994E-2</v>
      </c>
      <c r="AG414" s="217">
        <v>-99</v>
      </c>
      <c r="AH414" s="215" t="s">
        <v>224</v>
      </c>
      <c r="AI414" s="215" t="s">
        <v>449</v>
      </c>
      <c r="AJ414" s="215" t="s">
        <v>443</v>
      </c>
      <c r="AK414" s="215" t="s">
        <v>531</v>
      </c>
      <c r="AL414" s="215" t="s">
        <v>463</v>
      </c>
      <c r="AM414" s="217" t="b">
        <v>0</v>
      </c>
      <c r="AN414" s="217" t="b">
        <v>0</v>
      </c>
      <c r="AO414" s="215" t="s">
        <v>444</v>
      </c>
      <c r="AP414" s="215" t="s">
        <v>531</v>
      </c>
      <c r="AQ414" s="217">
        <v>114.22852</v>
      </c>
      <c r="AR414" s="217" t="b">
        <v>0</v>
      </c>
      <c r="AS414" s="215" t="s">
        <v>534</v>
      </c>
      <c r="AU414" s="222" t="s">
        <v>819</v>
      </c>
    </row>
    <row r="415" spans="1:47" s="219" customFormat="1" x14ac:dyDescent="0.25">
      <c r="A415" s="245">
        <f t="shared" si="48"/>
        <v>510</v>
      </c>
      <c r="B415" s="246" t="str">
        <f t="shared" si="49"/>
        <v>Oil Field - Well</v>
      </c>
      <c r="C415" s="246" t="str">
        <f ca="1">IF(B415="","",VLOOKUP(D415,'Species Data'!B:E,4,FALSE))</f>
        <v>twomethex</v>
      </c>
      <c r="D415" s="246">
        <f t="shared" ca="1" si="50"/>
        <v>194</v>
      </c>
      <c r="E415" s="246">
        <f t="shared" ca="1" si="51"/>
        <v>0.57069999999999999</v>
      </c>
      <c r="F415" s="246" t="str">
        <f t="shared" ca="1" si="52"/>
        <v>2-methylhexane</v>
      </c>
      <c r="G415" s="246">
        <f t="shared" ca="1" si="53"/>
        <v>100.20194000000001</v>
      </c>
      <c r="H415" s="204">
        <f ca="1">IF(G415="","",IF(VLOOKUP(Well_Head!F415,'Species Data'!D:F,3,FALSE)=0,"X",IF(G415&lt;44.1,2,1)))</f>
        <v>1</v>
      </c>
      <c r="I415" s="204">
        <f t="shared" ca="1" si="54"/>
        <v>0.3337892968535851</v>
      </c>
      <c r="J415" s="247">
        <f ca="1">IF(I415="","",IF(COUNTIF($D$12:D415,D415)=1,IF(H415=1,I415*H415,IF(H415="X","X",0)),0))</f>
        <v>0</v>
      </c>
      <c r="K415" s="248">
        <f t="shared" ca="1" si="55"/>
        <v>0</v>
      </c>
      <c r="L415" s="239" t="s">
        <v>626</v>
      </c>
      <c r="M415" s="215" t="s">
        <v>448</v>
      </c>
      <c r="N415" s="215" t="s">
        <v>470</v>
      </c>
      <c r="O415" s="216">
        <v>41419</v>
      </c>
      <c r="P415" s="215" t="s">
        <v>531</v>
      </c>
      <c r="Q415" s="217">
        <v>100</v>
      </c>
      <c r="R415" s="215" t="s">
        <v>445</v>
      </c>
      <c r="S415" s="215" t="s">
        <v>532</v>
      </c>
      <c r="T415" s="215" t="s">
        <v>445</v>
      </c>
      <c r="U415" s="215" t="s">
        <v>446</v>
      </c>
      <c r="V415" s="217" t="b">
        <v>1</v>
      </c>
      <c r="W415" s="217">
        <v>1989</v>
      </c>
      <c r="X415" s="217">
        <v>5</v>
      </c>
      <c r="Y415" s="217">
        <v>2</v>
      </c>
      <c r="Z415" s="217">
        <v>4</v>
      </c>
      <c r="AA415" s="215" t="s">
        <v>447</v>
      </c>
      <c r="AB415" s="215" t="s">
        <v>531</v>
      </c>
      <c r="AC415" s="215" t="s">
        <v>533</v>
      </c>
      <c r="AD415" s="217">
        <v>1.434064</v>
      </c>
      <c r="AE415" s="217">
        <v>140</v>
      </c>
      <c r="AF415" s="217">
        <v>0.19350000000000001</v>
      </c>
      <c r="AG415" s="217">
        <v>-99</v>
      </c>
      <c r="AH415" s="215" t="s">
        <v>224</v>
      </c>
      <c r="AI415" s="215" t="s">
        <v>449</v>
      </c>
      <c r="AJ415" s="215" t="s">
        <v>307</v>
      </c>
      <c r="AK415" s="215" t="s">
        <v>531</v>
      </c>
      <c r="AL415" s="215" t="s">
        <v>385</v>
      </c>
      <c r="AM415" s="217" t="b">
        <v>1</v>
      </c>
      <c r="AN415" s="217" t="b">
        <v>0</v>
      </c>
      <c r="AO415" s="215" t="s">
        <v>308</v>
      </c>
      <c r="AP415" s="215" t="s">
        <v>309</v>
      </c>
      <c r="AQ415" s="217">
        <v>100.20194000000001</v>
      </c>
      <c r="AR415" s="217" t="b">
        <v>0</v>
      </c>
      <c r="AS415" s="215" t="s">
        <v>534</v>
      </c>
      <c r="AU415" s="222" t="s">
        <v>819</v>
      </c>
    </row>
    <row r="416" spans="1:47" s="219" customFormat="1" x14ac:dyDescent="0.25">
      <c r="A416" s="245">
        <f t="shared" si="48"/>
        <v>511</v>
      </c>
      <c r="B416" s="246" t="str">
        <f t="shared" si="49"/>
        <v>Oil Field - Well</v>
      </c>
      <c r="C416" s="246" t="str">
        <f ca="1">IF(B416="","",VLOOKUP(D416,'Species Data'!B:E,4,FALSE))</f>
        <v>twometpen</v>
      </c>
      <c r="D416" s="246">
        <f t="shared" ca="1" si="50"/>
        <v>199</v>
      </c>
      <c r="E416" s="246">
        <f t="shared" ca="1" si="51"/>
        <v>2.6425000000000001</v>
      </c>
      <c r="F416" s="246" t="str">
        <f t="shared" ca="1" si="52"/>
        <v>2-methylpentane (isohexane)</v>
      </c>
      <c r="G416" s="246">
        <f t="shared" ca="1" si="53"/>
        <v>86.175359999999998</v>
      </c>
      <c r="H416" s="204">
        <f ca="1">IF(G416="","",IF(VLOOKUP(Well_Head!F416,'Species Data'!D:F,3,FALSE)=0,"X",IF(G416&lt;44.1,2,1)))</f>
        <v>1</v>
      </c>
      <c r="I416" s="204">
        <f t="shared" ca="1" si="54"/>
        <v>0.797867641838229</v>
      </c>
      <c r="J416" s="247">
        <f ca="1">IF(I416="","",IF(COUNTIF($D$12:D416,D416)=1,IF(H416=1,I416*H416,IF(H416="X","X",0)),0))</f>
        <v>0</v>
      </c>
      <c r="K416" s="248">
        <f t="shared" ca="1" si="55"/>
        <v>0</v>
      </c>
      <c r="L416" s="239" t="s">
        <v>626</v>
      </c>
      <c r="M416" s="215" t="s">
        <v>448</v>
      </c>
      <c r="N416" s="215" t="s">
        <v>470</v>
      </c>
      <c r="O416" s="216">
        <v>41419</v>
      </c>
      <c r="P416" s="215" t="s">
        <v>531</v>
      </c>
      <c r="Q416" s="217">
        <v>100</v>
      </c>
      <c r="R416" s="215" t="s">
        <v>445</v>
      </c>
      <c r="S416" s="215" t="s">
        <v>532</v>
      </c>
      <c r="T416" s="215" t="s">
        <v>445</v>
      </c>
      <c r="U416" s="215" t="s">
        <v>446</v>
      </c>
      <c r="V416" s="217" t="b">
        <v>1</v>
      </c>
      <c r="W416" s="217">
        <v>1989</v>
      </c>
      <c r="X416" s="217">
        <v>5</v>
      </c>
      <c r="Y416" s="217">
        <v>2</v>
      </c>
      <c r="Z416" s="217">
        <v>4</v>
      </c>
      <c r="AA416" s="215" t="s">
        <v>447</v>
      </c>
      <c r="AB416" s="215" t="s">
        <v>531</v>
      </c>
      <c r="AC416" s="215" t="s">
        <v>533</v>
      </c>
      <c r="AD416" s="217">
        <v>1.434064</v>
      </c>
      <c r="AE416" s="217">
        <v>149</v>
      </c>
      <c r="AF416" s="217">
        <v>4.6100000000000002E-2</v>
      </c>
      <c r="AG416" s="217">
        <v>-99</v>
      </c>
      <c r="AH416" s="215" t="s">
        <v>224</v>
      </c>
      <c r="AI416" s="215" t="s">
        <v>449</v>
      </c>
      <c r="AJ416" s="215" t="s">
        <v>427</v>
      </c>
      <c r="AK416" s="215" t="s">
        <v>531</v>
      </c>
      <c r="AL416" s="215" t="s">
        <v>457</v>
      </c>
      <c r="AM416" s="217" t="b">
        <v>0</v>
      </c>
      <c r="AN416" s="217" t="b">
        <v>0</v>
      </c>
      <c r="AO416" s="215" t="s">
        <v>428</v>
      </c>
      <c r="AP416" s="215" t="s">
        <v>429</v>
      </c>
      <c r="AQ416" s="217">
        <v>114.22852</v>
      </c>
      <c r="AR416" s="217" t="b">
        <v>0</v>
      </c>
      <c r="AS416" s="215" t="s">
        <v>534</v>
      </c>
      <c r="AU416" s="222" t="s">
        <v>819</v>
      </c>
    </row>
    <row r="417" spans="1:47" s="219" customFormat="1" x14ac:dyDescent="0.25">
      <c r="A417" s="245">
        <f t="shared" si="48"/>
        <v>512</v>
      </c>
      <c r="B417" s="246" t="str">
        <f t="shared" si="49"/>
        <v>Oil Field - Well</v>
      </c>
      <c r="C417" s="246" t="str">
        <f ca="1">IF(B417="","",VLOOKUP(D417,'Species Data'!B:E,4,FALSE))</f>
        <v>ethylhexane</v>
      </c>
      <c r="D417" s="246">
        <f t="shared" ca="1" si="50"/>
        <v>226</v>
      </c>
      <c r="E417" s="246">
        <f t="shared" ca="1" si="51"/>
        <v>0.31359999999999999</v>
      </c>
      <c r="F417" s="246" t="str">
        <f t="shared" ca="1" si="52"/>
        <v>3-ethylhexane</v>
      </c>
      <c r="G417" s="246">
        <f t="shared" ca="1" si="53"/>
        <v>114.22852</v>
      </c>
      <c r="H417" s="204" t="str">
        <f ca="1">IF(G417="","",IF(VLOOKUP(Well_Head!F417,'Species Data'!D:F,3,FALSE)=0,"X",IF(G417&lt;44.1,2,1)))</f>
        <v>X</v>
      </c>
      <c r="I417" s="204">
        <f t="shared" ca="1" si="54"/>
        <v>0.19565579469041575</v>
      </c>
      <c r="J417" s="247">
        <f ca="1">IF(I417="","",IF(COUNTIF($D$12:D417,D417)=1,IF(H417=1,I417*H417,IF(H417="X","X",0)),0))</f>
        <v>0</v>
      </c>
      <c r="K417" s="248">
        <f t="shared" ca="1" si="55"/>
        <v>0</v>
      </c>
      <c r="L417" s="239" t="s">
        <v>626</v>
      </c>
      <c r="M417" s="215" t="s">
        <v>448</v>
      </c>
      <c r="N417" s="215" t="s">
        <v>470</v>
      </c>
      <c r="O417" s="216">
        <v>41419</v>
      </c>
      <c r="P417" s="215" t="s">
        <v>531</v>
      </c>
      <c r="Q417" s="217">
        <v>100</v>
      </c>
      <c r="R417" s="215" t="s">
        <v>445</v>
      </c>
      <c r="S417" s="215" t="s">
        <v>532</v>
      </c>
      <c r="T417" s="215" t="s">
        <v>445</v>
      </c>
      <c r="U417" s="215" t="s">
        <v>446</v>
      </c>
      <c r="V417" s="217" t="b">
        <v>1</v>
      </c>
      <c r="W417" s="217">
        <v>1989</v>
      </c>
      <c r="X417" s="217">
        <v>5</v>
      </c>
      <c r="Y417" s="217">
        <v>2</v>
      </c>
      <c r="Z417" s="217">
        <v>4</v>
      </c>
      <c r="AA417" s="215" t="s">
        <v>447</v>
      </c>
      <c r="AB417" s="215" t="s">
        <v>531</v>
      </c>
      <c r="AC417" s="215" t="s">
        <v>533</v>
      </c>
      <c r="AD417" s="217">
        <v>1.434064</v>
      </c>
      <c r="AE417" s="217">
        <v>193</v>
      </c>
      <c r="AF417" s="217">
        <v>0.6905</v>
      </c>
      <c r="AG417" s="217">
        <v>-99</v>
      </c>
      <c r="AH417" s="215" t="s">
        <v>224</v>
      </c>
      <c r="AI417" s="215" t="s">
        <v>449</v>
      </c>
      <c r="AJ417" s="215" t="s">
        <v>313</v>
      </c>
      <c r="AK417" s="215" t="s">
        <v>531</v>
      </c>
      <c r="AL417" s="215" t="s">
        <v>387</v>
      </c>
      <c r="AM417" s="217" t="b">
        <v>1</v>
      </c>
      <c r="AN417" s="217" t="b">
        <v>0</v>
      </c>
      <c r="AO417" s="215" t="s">
        <v>314</v>
      </c>
      <c r="AP417" s="215" t="s">
        <v>315</v>
      </c>
      <c r="AQ417" s="217">
        <v>114.22852</v>
      </c>
      <c r="AR417" s="217" t="b">
        <v>0</v>
      </c>
      <c r="AS417" s="215" t="s">
        <v>534</v>
      </c>
      <c r="AU417" s="222" t="s">
        <v>819</v>
      </c>
    </row>
    <row r="418" spans="1:47" s="219" customFormat="1" x14ac:dyDescent="0.25">
      <c r="A418" s="245">
        <f t="shared" si="48"/>
        <v>513</v>
      </c>
      <c r="B418" s="246" t="str">
        <f t="shared" si="49"/>
        <v>Oil Field - Well</v>
      </c>
      <c r="C418" s="246" t="str">
        <f ca="1">IF(B418="","",VLOOKUP(D418,'Species Data'!B:E,4,FALSE))</f>
        <v>threemethex</v>
      </c>
      <c r="D418" s="246">
        <f t="shared" ca="1" si="50"/>
        <v>245</v>
      </c>
      <c r="E418" s="246">
        <f t="shared" ca="1" si="51"/>
        <v>0.82940000000000003</v>
      </c>
      <c r="F418" s="246" t="str">
        <f t="shared" ca="1" si="52"/>
        <v>3-methylhexane</v>
      </c>
      <c r="G418" s="246">
        <f t="shared" ca="1" si="53"/>
        <v>100.20194000000001</v>
      </c>
      <c r="H418" s="204">
        <f ca="1">IF(G418="","",IF(VLOOKUP(Well_Head!F418,'Species Data'!D:F,3,FALSE)=0,"X",IF(G418&lt;44.1,2,1)))</f>
        <v>1</v>
      </c>
      <c r="I418" s="204">
        <f t="shared" ca="1" si="54"/>
        <v>0.3128559379350353</v>
      </c>
      <c r="J418" s="247">
        <f ca="1">IF(I418="","",IF(COUNTIF($D$12:D418,D418)=1,IF(H418=1,I418*H418,IF(H418="X","X",0)),0))</f>
        <v>0</v>
      </c>
      <c r="K418" s="248">
        <f t="shared" ca="1" si="55"/>
        <v>0</v>
      </c>
      <c r="L418" s="239" t="s">
        <v>626</v>
      </c>
      <c r="M418" s="215" t="s">
        <v>448</v>
      </c>
      <c r="N418" s="215" t="s">
        <v>470</v>
      </c>
      <c r="O418" s="216">
        <v>41419</v>
      </c>
      <c r="P418" s="215" t="s">
        <v>531</v>
      </c>
      <c r="Q418" s="217">
        <v>100</v>
      </c>
      <c r="R418" s="215" t="s">
        <v>445</v>
      </c>
      <c r="S418" s="215" t="s">
        <v>532</v>
      </c>
      <c r="T418" s="215" t="s">
        <v>445</v>
      </c>
      <c r="U418" s="215" t="s">
        <v>446</v>
      </c>
      <c r="V418" s="217" t="b">
        <v>1</v>
      </c>
      <c r="W418" s="217">
        <v>1989</v>
      </c>
      <c r="X418" s="217">
        <v>5</v>
      </c>
      <c r="Y418" s="217">
        <v>2</v>
      </c>
      <c r="Z418" s="217">
        <v>4</v>
      </c>
      <c r="AA418" s="215" t="s">
        <v>447</v>
      </c>
      <c r="AB418" s="215" t="s">
        <v>531</v>
      </c>
      <c r="AC418" s="215" t="s">
        <v>533</v>
      </c>
      <c r="AD418" s="217">
        <v>1.434064</v>
      </c>
      <c r="AE418" s="217">
        <v>194</v>
      </c>
      <c r="AF418" s="217">
        <v>0.2747</v>
      </c>
      <c r="AG418" s="217">
        <v>-99</v>
      </c>
      <c r="AH418" s="215" t="s">
        <v>224</v>
      </c>
      <c r="AI418" s="215" t="s">
        <v>449</v>
      </c>
      <c r="AJ418" s="215" t="s">
        <v>316</v>
      </c>
      <c r="AK418" s="215" t="s">
        <v>531</v>
      </c>
      <c r="AL418" s="215" t="s">
        <v>388</v>
      </c>
      <c r="AM418" s="217" t="b">
        <v>1</v>
      </c>
      <c r="AN418" s="217" t="b">
        <v>0</v>
      </c>
      <c r="AO418" s="215" t="s">
        <v>317</v>
      </c>
      <c r="AP418" s="215" t="s">
        <v>318</v>
      </c>
      <c r="AQ418" s="217">
        <v>100.20194000000001</v>
      </c>
      <c r="AR418" s="217" t="b">
        <v>0</v>
      </c>
      <c r="AS418" s="215" t="s">
        <v>534</v>
      </c>
      <c r="AU418" s="222" t="s">
        <v>819</v>
      </c>
    </row>
    <row r="419" spans="1:47" s="219" customFormat="1" x14ac:dyDescent="0.25">
      <c r="A419" s="245">
        <f t="shared" si="48"/>
        <v>514</v>
      </c>
      <c r="B419" s="246" t="str">
        <f t="shared" si="49"/>
        <v>Oil Field - Well</v>
      </c>
      <c r="C419" s="246" t="str">
        <f ca="1">IF(B419="","",VLOOKUP(D419,'Species Data'!B:E,4,FALSE))</f>
        <v>threemetpen</v>
      </c>
      <c r="D419" s="246">
        <f t="shared" ca="1" si="50"/>
        <v>248</v>
      </c>
      <c r="E419" s="246">
        <f t="shared" ca="1" si="51"/>
        <v>1.9294</v>
      </c>
      <c r="F419" s="246" t="str">
        <f t="shared" ca="1" si="52"/>
        <v>3-methylpentane</v>
      </c>
      <c r="G419" s="246">
        <f t="shared" ca="1" si="53"/>
        <v>86.175359999999998</v>
      </c>
      <c r="H419" s="204">
        <f ca="1">IF(G419="","",IF(VLOOKUP(Well_Head!F419,'Species Data'!D:F,3,FALSE)=0,"X",IF(G419&lt;44.1,2,1)))</f>
        <v>1</v>
      </c>
      <c r="I419" s="204">
        <f t="shared" ca="1" si="54"/>
        <v>0.69705640751338704</v>
      </c>
      <c r="J419" s="247">
        <f ca="1">IF(I419="","",IF(COUNTIF($D$12:D419,D419)=1,IF(H419=1,I419*H419,IF(H419="X","X",0)),0))</f>
        <v>0</v>
      </c>
      <c r="K419" s="248">
        <f t="shared" ca="1" si="55"/>
        <v>0</v>
      </c>
      <c r="L419" s="239" t="s">
        <v>626</v>
      </c>
      <c r="M419" s="215" t="s">
        <v>448</v>
      </c>
      <c r="N419" s="215" t="s">
        <v>470</v>
      </c>
      <c r="O419" s="216">
        <v>41419</v>
      </c>
      <c r="P419" s="215" t="s">
        <v>531</v>
      </c>
      <c r="Q419" s="217">
        <v>100</v>
      </c>
      <c r="R419" s="215" t="s">
        <v>445</v>
      </c>
      <c r="S419" s="215" t="s">
        <v>532</v>
      </c>
      <c r="T419" s="215" t="s">
        <v>445</v>
      </c>
      <c r="U419" s="215" t="s">
        <v>446</v>
      </c>
      <c r="V419" s="217" t="b">
        <v>1</v>
      </c>
      <c r="W419" s="217">
        <v>1989</v>
      </c>
      <c r="X419" s="217">
        <v>5</v>
      </c>
      <c r="Y419" s="217">
        <v>2</v>
      </c>
      <c r="Z419" s="217">
        <v>4</v>
      </c>
      <c r="AA419" s="215" t="s">
        <v>447</v>
      </c>
      <c r="AB419" s="215" t="s">
        <v>531</v>
      </c>
      <c r="AC419" s="215" t="s">
        <v>533</v>
      </c>
      <c r="AD419" s="217">
        <v>1.434064</v>
      </c>
      <c r="AE419" s="217">
        <v>199</v>
      </c>
      <c r="AF419" s="217">
        <v>0.69199999999999995</v>
      </c>
      <c r="AG419" s="217">
        <v>-99</v>
      </c>
      <c r="AH419" s="215" t="s">
        <v>224</v>
      </c>
      <c r="AI419" s="215" t="s">
        <v>449</v>
      </c>
      <c r="AJ419" s="215" t="s">
        <v>319</v>
      </c>
      <c r="AK419" s="215" t="s">
        <v>531</v>
      </c>
      <c r="AL419" s="215" t="s">
        <v>389</v>
      </c>
      <c r="AM419" s="217" t="b">
        <v>1</v>
      </c>
      <c r="AN419" s="217" t="b">
        <v>0</v>
      </c>
      <c r="AO419" s="215" t="s">
        <v>320</v>
      </c>
      <c r="AP419" s="215" t="s">
        <v>321</v>
      </c>
      <c r="AQ419" s="217">
        <v>86.175359999999998</v>
      </c>
      <c r="AR419" s="217" t="b">
        <v>0</v>
      </c>
      <c r="AS419" s="215" t="s">
        <v>534</v>
      </c>
      <c r="AU419" s="222" t="s">
        <v>819</v>
      </c>
    </row>
    <row r="420" spans="1:47" s="219" customFormat="1" x14ac:dyDescent="0.25">
      <c r="A420" s="245">
        <f t="shared" si="48"/>
        <v>515</v>
      </c>
      <c r="B420" s="246" t="str">
        <f t="shared" si="49"/>
        <v>Oil Field - Well</v>
      </c>
      <c r="C420" s="246" t="str">
        <f ca="1">IF(B420="","",VLOOKUP(D420,'Species Data'!B:E,4,FALSE))</f>
        <v>benzene</v>
      </c>
      <c r="D420" s="246">
        <f t="shared" ca="1" si="50"/>
        <v>302</v>
      </c>
      <c r="E420" s="246">
        <f t="shared" ca="1" si="51"/>
        <v>0.55589999999999995</v>
      </c>
      <c r="F420" s="246" t="str">
        <f t="shared" ca="1" si="52"/>
        <v>Benzene</v>
      </c>
      <c r="G420" s="246">
        <f t="shared" ca="1" si="53"/>
        <v>78.111840000000001</v>
      </c>
      <c r="H420" s="204">
        <f ca="1">IF(G420="","",IF(VLOOKUP(Well_Head!F420,'Species Data'!D:F,3,FALSE)=0,"X",IF(G420&lt;44.1,2,1)))</f>
        <v>1</v>
      </c>
      <c r="I420" s="204">
        <f t="shared" ca="1" si="54"/>
        <v>0.3538559880462076</v>
      </c>
      <c r="J420" s="247">
        <f ca="1">IF(I420="","",IF(COUNTIF($D$12:D420,D420)=1,IF(H420=1,I420*H420,IF(H420="X","X",0)),0))</f>
        <v>0</v>
      </c>
      <c r="K420" s="248">
        <f t="shared" ca="1" si="55"/>
        <v>0</v>
      </c>
      <c r="L420" s="239" t="s">
        <v>626</v>
      </c>
      <c r="M420" s="215" t="s">
        <v>448</v>
      </c>
      <c r="N420" s="215" t="s">
        <v>470</v>
      </c>
      <c r="O420" s="216">
        <v>41419</v>
      </c>
      <c r="P420" s="215" t="s">
        <v>531</v>
      </c>
      <c r="Q420" s="217">
        <v>100</v>
      </c>
      <c r="R420" s="215" t="s">
        <v>445</v>
      </c>
      <c r="S420" s="215" t="s">
        <v>532</v>
      </c>
      <c r="T420" s="215" t="s">
        <v>445</v>
      </c>
      <c r="U420" s="215" t="s">
        <v>446</v>
      </c>
      <c r="V420" s="217" t="b">
        <v>1</v>
      </c>
      <c r="W420" s="217">
        <v>1989</v>
      </c>
      <c r="X420" s="217">
        <v>5</v>
      </c>
      <c r="Y420" s="217">
        <v>2</v>
      </c>
      <c r="Z420" s="217">
        <v>4</v>
      </c>
      <c r="AA420" s="215" t="s">
        <v>447</v>
      </c>
      <c r="AB420" s="215" t="s">
        <v>531</v>
      </c>
      <c r="AC420" s="215" t="s">
        <v>533</v>
      </c>
      <c r="AD420" s="217">
        <v>1.434064</v>
      </c>
      <c r="AE420" s="217">
        <v>226</v>
      </c>
      <c r="AF420" s="217">
        <v>0.30570000000000003</v>
      </c>
      <c r="AG420" s="217">
        <v>-99</v>
      </c>
      <c r="AH420" s="215" t="s">
        <v>224</v>
      </c>
      <c r="AI420" s="215" t="s">
        <v>449</v>
      </c>
      <c r="AJ420" s="215" t="s">
        <v>439</v>
      </c>
      <c r="AK420" s="215" t="s">
        <v>531</v>
      </c>
      <c r="AL420" s="215" t="s">
        <v>461</v>
      </c>
      <c r="AM420" s="217" t="b">
        <v>0</v>
      </c>
      <c r="AN420" s="217" t="b">
        <v>0</v>
      </c>
      <c r="AO420" s="215" t="s">
        <v>440</v>
      </c>
      <c r="AP420" s="215" t="s">
        <v>531</v>
      </c>
      <c r="AQ420" s="217">
        <v>114.22852</v>
      </c>
      <c r="AR420" s="217" t="b">
        <v>0</v>
      </c>
      <c r="AS420" s="215" t="s">
        <v>534</v>
      </c>
      <c r="AU420" s="222" t="s">
        <v>819</v>
      </c>
    </row>
    <row r="421" spans="1:47" s="219" customFormat="1" x14ac:dyDescent="0.25">
      <c r="A421" s="245">
        <f t="shared" si="48"/>
        <v>516</v>
      </c>
      <c r="B421" s="246" t="str">
        <f t="shared" si="49"/>
        <v>Oil Field - Well</v>
      </c>
      <c r="C421" s="246" t="str">
        <f ca="1">IF(B421="","",VLOOKUP(D421,'Species Data'!B:E,4,FALSE))</f>
        <v>cyclohexane</v>
      </c>
      <c r="D421" s="246">
        <f t="shared" ca="1" si="50"/>
        <v>385</v>
      </c>
      <c r="E421" s="246">
        <f t="shared" ca="1" si="51"/>
        <v>3.1600000000000003E-2</v>
      </c>
      <c r="F421" s="246" t="str">
        <f t="shared" ca="1" si="52"/>
        <v>Cyclohexane</v>
      </c>
      <c r="G421" s="246">
        <f t="shared" ca="1" si="53"/>
        <v>84.159480000000002</v>
      </c>
      <c r="H421" s="204">
        <f ca="1">IF(G421="","",IF(VLOOKUP(Well_Head!F421,'Species Data'!D:F,3,FALSE)=0,"X",IF(G421&lt;44.1,2,1)))</f>
        <v>1</v>
      </c>
      <c r="I421" s="204">
        <f t="shared" ca="1" si="54"/>
        <v>7.8433429196413454E-2</v>
      </c>
      <c r="J421" s="247">
        <f ca="1">IF(I421="","",IF(COUNTIF($D$12:D421,D421)=1,IF(H421=1,I421*H421,IF(H421="X","X",0)),0))</f>
        <v>0</v>
      </c>
      <c r="K421" s="248">
        <f t="shared" ca="1" si="55"/>
        <v>0</v>
      </c>
      <c r="L421" s="239" t="s">
        <v>626</v>
      </c>
      <c r="M421" s="215" t="s">
        <v>448</v>
      </c>
      <c r="N421" s="215" t="s">
        <v>470</v>
      </c>
      <c r="O421" s="216">
        <v>41419</v>
      </c>
      <c r="P421" s="215" t="s">
        <v>531</v>
      </c>
      <c r="Q421" s="217">
        <v>100</v>
      </c>
      <c r="R421" s="215" t="s">
        <v>445</v>
      </c>
      <c r="S421" s="215" t="s">
        <v>532</v>
      </c>
      <c r="T421" s="215" t="s">
        <v>445</v>
      </c>
      <c r="U421" s="215" t="s">
        <v>446</v>
      </c>
      <c r="V421" s="217" t="b">
        <v>1</v>
      </c>
      <c r="W421" s="217">
        <v>1989</v>
      </c>
      <c r="X421" s="217">
        <v>5</v>
      </c>
      <c r="Y421" s="217">
        <v>2</v>
      </c>
      <c r="Z421" s="217">
        <v>4</v>
      </c>
      <c r="AA421" s="215" t="s">
        <v>447</v>
      </c>
      <c r="AB421" s="215" t="s">
        <v>531</v>
      </c>
      <c r="AC421" s="215" t="s">
        <v>533</v>
      </c>
      <c r="AD421" s="217">
        <v>1.434064</v>
      </c>
      <c r="AE421" s="217">
        <v>245</v>
      </c>
      <c r="AF421" s="217">
        <v>0.50480000000000003</v>
      </c>
      <c r="AG421" s="217">
        <v>-99</v>
      </c>
      <c r="AH421" s="215" t="s">
        <v>224</v>
      </c>
      <c r="AI421" s="215" t="s">
        <v>449</v>
      </c>
      <c r="AJ421" s="215" t="s">
        <v>325</v>
      </c>
      <c r="AK421" s="215" t="s">
        <v>531</v>
      </c>
      <c r="AL421" s="215" t="s">
        <v>390</v>
      </c>
      <c r="AM421" s="217" t="b">
        <v>1</v>
      </c>
      <c r="AN421" s="217" t="b">
        <v>0</v>
      </c>
      <c r="AO421" s="215" t="s">
        <v>326</v>
      </c>
      <c r="AP421" s="215" t="s">
        <v>327</v>
      </c>
      <c r="AQ421" s="217">
        <v>100.20194000000001</v>
      </c>
      <c r="AR421" s="217" t="b">
        <v>0</v>
      </c>
      <c r="AS421" s="215" t="s">
        <v>534</v>
      </c>
      <c r="AU421" s="222" t="s">
        <v>819</v>
      </c>
    </row>
    <row r="422" spans="1:47" s="219" customFormat="1" x14ac:dyDescent="0.25">
      <c r="A422" s="245">
        <f t="shared" si="48"/>
        <v>517</v>
      </c>
      <c r="B422" s="246" t="str">
        <f t="shared" si="49"/>
        <v>Oil Field - Well</v>
      </c>
      <c r="C422" s="246" t="str">
        <f ca="1">IF(B422="","",VLOOKUP(D422,'Species Data'!B:E,4,FALSE))</f>
        <v>cyclopentane</v>
      </c>
      <c r="D422" s="246">
        <f t="shared" ca="1" si="50"/>
        <v>390</v>
      </c>
      <c r="E422" s="246">
        <f t="shared" ca="1" si="51"/>
        <v>0.56120000000000003</v>
      </c>
      <c r="F422" s="246" t="str">
        <f t="shared" ca="1" si="52"/>
        <v>Cyclopentane</v>
      </c>
      <c r="G422" s="246">
        <f t="shared" ca="1" si="53"/>
        <v>70.132900000000006</v>
      </c>
      <c r="H422" s="204">
        <f ca="1">IF(G422="","",IF(VLOOKUP(Well_Head!F422,'Species Data'!D:F,3,FALSE)=0,"X",IF(G422&lt;44.1,2,1)))</f>
        <v>1</v>
      </c>
      <c r="I422" s="204">
        <f t="shared" ca="1" si="54"/>
        <v>0.12218903823104672</v>
      </c>
      <c r="J422" s="247">
        <f ca="1">IF(I422="","",IF(COUNTIF($D$12:D422,D422)=1,IF(H422=1,I422*H422,IF(H422="X","X",0)),0))</f>
        <v>0</v>
      </c>
      <c r="K422" s="248">
        <f t="shared" ca="1" si="55"/>
        <v>0</v>
      </c>
      <c r="L422" s="239" t="s">
        <v>626</v>
      </c>
      <c r="M422" s="215" t="s">
        <v>448</v>
      </c>
      <c r="N422" s="215" t="s">
        <v>470</v>
      </c>
      <c r="O422" s="216">
        <v>41419</v>
      </c>
      <c r="P422" s="215" t="s">
        <v>531</v>
      </c>
      <c r="Q422" s="217">
        <v>100</v>
      </c>
      <c r="R422" s="215" t="s">
        <v>445</v>
      </c>
      <c r="S422" s="215" t="s">
        <v>532</v>
      </c>
      <c r="T422" s="215" t="s">
        <v>445</v>
      </c>
      <c r="U422" s="215" t="s">
        <v>446</v>
      </c>
      <c r="V422" s="217" t="b">
        <v>1</v>
      </c>
      <c r="W422" s="217">
        <v>1989</v>
      </c>
      <c r="X422" s="217">
        <v>5</v>
      </c>
      <c r="Y422" s="217">
        <v>2</v>
      </c>
      <c r="Z422" s="217">
        <v>4</v>
      </c>
      <c r="AA422" s="215" t="s">
        <v>447</v>
      </c>
      <c r="AB422" s="215" t="s">
        <v>531</v>
      </c>
      <c r="AC422" s="215" t="s">
        <v>533</v>
      </c>
      <c r="AD422" s="217">
        <v>1.434064</v>
      </c>
      <c r="AE422" s="217">
        <v>248</v>
      </c>
      <c r="AF422" s="217">
        <v>0.60219999999999996</v>
      </c>
      <c r="AG422" s="217">
        <v>-99</v>
      </c>
      <c r="AH422" s="215" t="s">
        <v>224</v>
      </c>
      <c r="AI422" s="215" t="s">
        <v>449</v>
      </c>
      <c r="AJ422" s="215" t="s">
        <v>328</v>
      </c>
      <c r="AK422" s="215" t="s">
        <v>531</v>
      </c>
      <c r="AL422" s="215" t="s">
        <v>391</v>
      </c>
      <c r="AM422" s="217" t="b">
        <v>1</v>
      </c>
      <c r="AN422" s="217" t="b">
        <v>0</v>
      </c>
      <c r="AO422" s="215" t="s">
        <v>329</v>
      </c>
      <c r="AP422" s="215" t="s">
        <v>330</v>
      </c>
      <c r="AQ422" s="217">
        <v>86.175359999999998</v>
      </c>
      <c r="AR422" s="217" t="b">
        <v>0</v>
      </c>
      <c r="AS422" s="215" t="s">
        <v>534</v>
      </c>
      <c r="AU422" s="222" t="s">
        <v>819</v>
      </c>
    </row>
    <row r="423" spans="1:47" s="219" customFormat="1" x14ac:dyDescent="0.25">
      <c r="A423" s="245">
        <f t="shared" ref="A423:A450" si="56">IF(B423="","",A422+1)</f>
        <v>518</v>
      </c>
      <c r="B423" s="246" t="str">
        <f t="shared" si="49"/>
        <v>Oil Field - Well</v>
      </c>
      <c r="C423" s="246" t="str">
        <f ca="1">IF(B423="","",VLOOKUP(D423,'Species Data'!B:E,4,FALSE))</f>
        <v>ethane</v>
      </c>
      <c r="D423" s="246">
        <f t="shared" ca="1" si="50"/>
        <v>438</v>
      </c>
      <c r="E423" s="246">
        <f t="shared" ca="1" si="51"/>
        <v>8.6278000000000006</v>
      </c>
      <c r="F423" s="246" t="str">
        <f t="shared" ca="1" si="52"/>
        <v>Ethane</v>
      </c>
      <c r="G423" s="246">
        <f t="shared" ca="1" si="53"/>
        <v>30.069040000000005</v>
      </c>
      <c r="H423" s="204">
        <f ca="1">IF(G423="","",IF(VLOOKUP(Well_Head!F423,'Species Data'!D:F,3,FALSE)=0,"X",IF(G423&lt;44.1,2,1)))</f>
        <v>2</v>
      </c>
      <c r="I423" s="204">
        <f t="shared" ca="1" si="54"/>
        <v>7.2582977601417076</v>
      </c>
      <c r="J423" s="247">
        <f ca="1">IF(I423="","",IF(COUNTIF($D$12:D423,D423)=1,IF(H423=1,I423*H423,IF(H423="X","X",0)),0))</f>
        <v>0</v>
      </c>
      <c r="K423" s="248">
        <f t="shared" ca="1" si="55"/>
        <v>0</v>
      </c>
      <c r="L423" s="239" t="s">
        <v>626</v>
      </c>
      <c r="M423" s="215" t="s">
        <v>448</v>
      </c>
      <c r="N423" s="215" t="s">
        <v>470</v>
      </c>
      <c r="O423" s="216">
        <v>41419</v>
      </c>
      <c r="P423" s="215" t="s">
        <v>531</v>
      </c>
      <c r="Q423" s="217">
        <v>100</v>
      </c>
      <c r="R423" s="215" t="s">
        <v>445</v>
      </c>
      <c r="S423" s="215" t="s">
        <v>532</v>
      </c>
      <c r="T423" s="215" t="s">
        <v>445</v>
      </c>
      <c r="U423" s="215" t="s">
        <v>446</v>
      </c>
      <c r="V423" s="217" t="b">
        <v>1</v>
      </c>
      <c r="W423" s="217">
        <v>1989</v>
      </c>
      <c r="X423" s="217">
        <v>5</v>
      </c>
      <c r="Y423" s="217">
        <v>2</v>
      </c>
      <c r="Z423" s="217">
        <v>4</v>
      </c>
      <c r="AA423" s="215" t="s">
        <v>447</v>
      </c>
      <c r="AB423" s="215" t="s">
        <v>531</v>
      </c>
      <c r="AC423" s="215" t="s">
        <v>533</v>
      </c>
      <c r="AD423" s="217">
        <v>1.434064</v>
      </c>
      <c r="AE423" s="217">
        <v>302</v>
      </c>
      <c r="AF423" s="217">
        <v>1.8187</v>
      </c>
      <c r="AG423" s="217">
        <v>-99</v>
      </c>
      <c r="AH423" s="215" t="s">
        <v>224</v>
      </c>
      <c r="AI423" s="215" t="s">
        <v>449</v>
      </c>
      <c r="AJ423" s="215" t="s">
        <v>262</v>
      </c>
      <c r="AK423" s="215" t="s">
        <v>531</v>
      </c>
      <c r="AL423" s="215" t="s">
        <v>373</v>
      </c>
      <c r="AM423" s="217" t="b">
        <v>1</v>
      </c>
      <c r="AN423" s="217" t="b">
        <v>1</v>
      </c>
      <c r="AO423" s="215" t="s">
        <v>263</v>
      </c>
      <c r="AP423" s="215" t="s">
        <v>264</v>
      </c>
      <c r="AQ423" s="217">
        <v>78.111840000000001</v>
      </c>
      <c r="AR423" s="217" t="b">
        <v>0</v>
      </c>
      <c r="AS423" s="215" t="s">
        <v>534</v>
      </c>
      <c r="AU423" s="222" t="s">
        <v>819</v>
      </c>
    </row>
    <row r="424" spans="1:47" s="219" customFormat="1" x14ac:dyDescent="0.25">
      <c r="A424" s="245">
        <f t="shared" si="56"/>
        <v>519</v>
      </c>
      <c r="B424" s="246" t="str">
        <f t="shared" si="49"/>
        <v>Oil Field - Well</v>
      </c>
      <c r="C424" s="246" t="str">
        <f ca="1">IF(B424="","",VLOOKUP(D424,'Species Data'!B:E,4,FALSE))</f>
        <v>ethyl_benz</v>
      </c>
      <c r="D424" s="246">
        <f t="shared" ca="1" si="50"/>
        <v>449</v>
      </c>
      <c r="E424" s="246">
        <f t="shared" ca="1" si="51"/>
        <v>0.50519999999999998</v>
      </c>
      <c r="F424" s="246" t="str">
        <f t="shared" ca="1" si="52"/>
        <v>Ethylbenzene</v>
      </c>
      <c r="G424" s="246">
        <f t="shared" ca="1" si="53"/>
        <v>106.16500000000001</v>
      </c>
      <c r="H424" s="204">
        <f ca="1">IF(G424="","",IF(VLOOKUP(Well_Head!F424,'Species Data'!D:F,3,FALSE)=0,"X",IF(G424&lt;44.1,2,1)))</f>
        <v>1</v>
      </c>
      <c r="I424" s="204">
        <f t="shared" ca="1" si="54"/>
        <v>0.43623386650805906</v>
      </c>
      <c r="J424" s="247">
        <f ca="1">IF(I424="","",IF(COUNTIF($D$12:D424,D424)=1,IF(H424=1,I424*H424,IF(H424="X","X",0)),0))</f>
        <v>0</v>
      </c>
      <c r="K424" s="248">
        <f t="shared" ca="1" si="55"/>
        <v>0</v>
      </c>
      <c r="L424" s="239" t="s">
        <v>626</v>
      </c>
      <c r="M424" s="215" t="s">
        <v>448</v>
      </c>
      <c r="N424" s="215" t="s">
        <v>470</v>
      </c>
      <c r="O424" s="216">
        <v>41419</v>
      </c>
      <c r="P424" s="215" t="s">
        <v>531</v>
      </c>
      <c r="Q424" s="217">
        <v>100</v>
      </c>
      <c r="R424" s="215" t="s">
        <v>445</v>
      </c>
      <c r="S424" s="215" t="s">
        <v>532</v>
      </c>
      <c r="T424" s="215" t="s">
        <v>445</v>
      </c>
      <c r="U424" s="215" t="s">
        <v>446</v>
      </c>
      <c r="V424" s="217" t="b">
        <v>1</v>
      </c>
      <c r="W424" s="217">
        <v>1989</v>
      </c>
      <c r="X424" s="217">
        <v>5</v>
      </c>
      <c r="Y424" s="217">
        <v>2</v>
      </c>
      <c r="Z424" s="217">
        <v>4</v>
      </c>
      <c r="AA424" s="215" t="s">
        <v>447</v>
      </c>
      <c r="AB424" s="215" t="s">
        <v>531</v>
      </c>
      <c r="AC424" s="215" t="s">
        <v>533</v>
      </c>
      <c r="AD424" s="217">
        <v>1.434064</v>
      </c>
      <c r="AE424" s="217">
        <v>390</v>
      </c>
      <c r="AF424" s="217">
        <v>0.1323</v>
      </c>
      <c r="AG424" s="217">
        <v>-99</v>
      </c>
      <c r="AH424" s="215" t="s">
        <v>224</v>
      </c>
      <c r="AI424" s="215" t="s">
        <v>449</v>
      </c>
      <c r="AJ424" s="215" t="s">
        <v>334</v>
      </c>
      <c r="AK424" s="215" t="s">
        <v>531</v>
      </c>
      <c r="AL424" s="215" t="s">
        <v>393</v>
      </c>
      <c r="AM424" s="217" t="b">
        <v>1</v>
      </c>
      <c r="AN424" s="217" t="b">
        <v>0</v>
      </c>
      <c r="AO424" s="215" t="s">
        <v>335</v>
      </c>
      <c r="AP424" s="215" t="s">
        <v>336</v>
      </c>
      <c r="AQ424" s="217">
        <v>70.132900000000006</v>
      </c>
      <c r="AR424" s="217" t="b">
        <v>0</v>
      </c>
      <c r="AS424" s="215" t="s">
        <v>534</v>
      </c>
      <c r="AU424" s="222" t="s">
        <v>819</v>
      </c>
    </row>
    <row r="425" spans="1:47" s="219" customFormat="1" x14ac:dyDescent="0.25">
      <c r="A425" s="245">
        <f t="shared" si="56"/>
        <v>520</v>
      </c>
      <c r="B425" s="246" t="str">
        <f t="shared" si="49"/>
        <v>Oil Field - Well</v>
      </c>
      <c r="C425" s="246" t="str">
        <f ca="1">IF(B425="","",VLOOKUP(D425,'Species Data'!B:E,4,FALSE))</f>
        <v>isobut</v>
      </c>
      <c r="D425" s="246">
        <f t="shared" ca="1" si="50"/>
        <v>491</v>
      </c>
      <c r="E425" s="246">
        <f t="shared" ca="1" si="51"/>
        <v>7.6645000000000003</v>
      </c>
      <c r="F425" s="246" t="str">
        <f t="shared" ca="1" si="52"/>
        <v>Isobutane</v>
      </c>
      <c r="G425" s="246">
        <f t="shared" ca="1" si="53"/>
        <v>58.122199999999992</v>
      </c>
      <c r="H425" s="204">
        <f ca="1">IF(G425="","",IF(VLOOKUP(Well_Head!F425,'Species Data'!D:F,3,FALSE)=0,"X",IF(G425&lt;44.1,2,1)))</f>
        <v>1</v>
      </c>
      <c r="I425" s="204">
        <f t="shared" ca="1" si="54"/>
        <v>2.9024368807561878</v>
      </c>
      <c r="J425" s="247">
        <f ca="1">IF(I425="","",IF(COUNTIF($D$12:D425,D425)=1,IF(H425=1,I425*H425,IF(H425="X","X",0)),0))</f>
        <v>0</v>
      </c>
      <c r="K425" s="248">
        <f t="shared" ca="1" si="55"/>
        <v>0</v>
      </c>
      <c r="L425" s="239" t="s">
        <v>626</v>
      </c>
      <c r="M425" s="215" t="s">
        <v>448</v>
      </c>
      <c r="N425" s="215" t="s">
        <v>470</v>
      </c>
      <c r="O425" s="216">
        <v>41419</v>
      </c>
      <c r="P425" s="215" t="s">
        <v>531</v>
      </c>
      <c r="Q425" s="217">
        <v>100</v>
      </c>
      <c r="R425" s="215" t="s">
        <v>445</v>
      </c>
      <c r="S425" s="215" t="s">
        <v>532</v>
      </c>
      <c r="T425" s="215" t="s">
        <v>445</v>
      </c>
      <c r="U425" s="215" t="s">
        <v>446</v>
      </c>
      <c r="V425" s="217" t="b">
        <v>1</v>
      </c>
      <c r="W425" s="217">
        <v>1989</v>
      </c>
      <c r="X425" s="217">
        <v>5</v>
      </c>
      <c r="Y425" s="217">
        <v>2</v>
      </c>
      <c r="Z425" s="217">
        <v>4</v>
      </c>
      <c r="AA425" s="215" t="s">
        <v>447</v>
      </c>
      <c r="AB425" s="215" t="s">
        <v>531</v>
      </c>
      <c r="AC425" s="215" t="s">
        <v>533</v>
      </c>
      <c r="AD425" s="217">
        <v>1.434064</v>
      </c>
      <c r="AE425" s="217">
        <v>438</v>
      </c>
      <c r="AF425" s="217">
        <v>20.193999999999999</v>
      </c>
      <c r="AG425" s="217">
        <v>-99</v>
      </c>
      <c r="AH425" s="215" t="s">
        <v>224</v>
      </c>
      <c r="AI425" s="215" t="s">
        <v>449</v>
      </c>
      <c r="AJ425" s="215" t="s">
        <v>265</v>
      </c>
      <c r="AK425" s="215" t="s">
        <v>531</v>
      </c>
      <c r="AL425" s="215" t="s">
        <v>374</v>
      </c>
      <c r="AM425" s="217" t="b">
        <v>1</v>
      </c>
      <c r="AN425" s="217" t="b">
        <v>0</v>
      </c>
      <c r="AO425" s="215" t="s">
        <v>266</v>
      </c>
      <c r="AP425" s="215" t="s">
        <v>267</v>
      </c>
      <c r="AQ425" s="217">
        <v>30.069040000000005</v>
      </c>
      <c r="AR425" s="217" t="b">
        <v>1</v>
      </c>
      <c r="AS425" s="215" t="s">
        <v>534</v>
      </c>
      <c r="AU425" s="222" t="s">
        <v>819</v>
      </c>
    </row>
    <row r="426" spans="1:47" s="219" customFormat="1" x14ac:dyDescent="0.25">
      <c r="A426" s="245">
        <f t="shared" si="56"/>
        <v>521</v>
      </c>
      <c r="B426" s="246" t="str">
        <f t="shared" si="49"/>
        <v>Oil Field - Well</v>
      </c>
      <c r="C426" s="246" t="str">
        <f ca="1">IF(B426="","",VLOOKUP(D426,'Species Data'!B:E,4,FALSE))</f>
        <v>i_but</v>
      </c>
      <c r="D426" s="246">
        <f t="shared" ca="1" si="50"/>
        <v>499</v>
      </c>
      <c r="E426" s="246">
        <f t="shared" ca="1" si="51"/>
        <v>6.08E-2</v>
      </c>
      <c r="F426" s="246" t="str">
        <f t="shared" ca="1" si="52"/>
        <v>Isomers of butylbenzene</v>
      </c>
      <c r="G426" s="246">
        <f t="shared" ca="1" si="53"/>
        <v>134.21816000000001</v>
      </c>
      <c r="H426" s="204">
        <f ca="1">IF(G426="","",IF(VLOOKUP(Well_Head!F426,'Species Data'!D:F,3,FALSE)=0,"X",IF(G426&lt;44.1,2,1)))</f>
        <v>1</v>
      </c>
      <c r="I426" s="204">
        <f t="shared" ca="1" si="54"/>
        <v>0.12713348871870844</v>
      </c>
      <c r="J426" s="247">
        <f ca="1">IF(I426="","",IF(COUNTIF($D$12:D426,D426)=1,IF(H426=1,I426*H426,IF(H426="X","X",0)),0))</f>
        <v>0</v>
      </c>
      <c r="K426" s="248">
        <f t="shared" ca="1" si="55"/>
        <v>0</v>
      </c>
      <c r="L426" s="239" t="s">
        <v>626</v>
      </c>
      <c r="M426" s="215" t="s">
        <v>448</v>
      </c>
      <c r="N426" s="215" t="s">
        <v>470</v>
      </c>
      <c r="O426" s="216">
        <v>41419</v>
      </c>
      <c r="P426" s="215" t="s">
        <v>531</v>
      </c>
      <c r="Q426" s="217">
        <v>100</v>
      </c>
      <c r="R426" s="215" t="s">
        <v>445</v>
      </c>
      <c r="S426" s="215" t="s">
        <v>532</v>
      </c>
      <c r="T426" s="215" t="s">
        <v>445</v>
      </c>
      <c r="U426" s="215" t="s">
        <v>446</v>
      </c>
      <c r="V426" s="217" t="b">
        <v>1</v>
      </c>
      <c r="W426" s="217">
        <v>1989</v>
      </c>
      <c r="X426" s="217">
        <v>5</v>
      </c>
      <c r="Y426" s="217">
        <v>2</v>
      </c>
      <c r="Z426" s="217">
        <v>4</v>
      </c>
      <c r="AA426" s="215" t="s">
        <v>447</v>
      </c>
      <c r="AB426" s="215" t="s">
        <v>531</v>
      </c>
      <c r="AC426" s="215" t="s">
        <v>533</v>
      </c>
      <c r="AD426" s="217">
        <v>1.434064</v>
      </c>
      <c r="AE426" s="217">
        <v>449</v>
      </c>
      <c r="AF426" s="217">
        <v>1.2698</v>
      </c>
      <c r="AG426" s="217">
        <v>-99</v>
      </c>
      <c r="AH426" s="215" t="s">
        <v>224</v>
      </c>
      <c r="AI426" s="215" t="s">
        <v>449</v>
      </c>
      <c r="AJ426" s="215" t="s">
        <v>337</v>
      </c>
      <c r="AK426" s="215" t="s">
        <v>531</v>
      </c>
      <c r="AL426" s="215" t="s">
        <v>394</v>
      </c>
      <c r="AM426" s="217" t="b">
        <v>1</v>
      </c>
      <c r="AN426" s="217" t="b">
        <v>1</v>
      </c>
      <c r="AO426" s="215" t="s">
        <v>338</v>
      </c>
      <c r="AP426" s="215" t="s">
        <v>339</v>
      </c>
      <c r="AQ426" s="217">
        <v>106.16500000000001</v>
      </c>
      <c r="AR426" s="217" t="b">
        <v>0</v>
      </c>
      <c r="AS426" s="215" t="s">
        <v>534</v>
      </c>
      <c r="AU426" s="222" t="s">
        <v>819</v>
      </c>
    </row>
    <row r="427" spans="1:47" s="219" customFormat="1" x14ac:dyDescent="0.25">
      <c r="A427" s="245">
        <f t="shared" si="56"/>
        <v>522</v>
      </c>
      <c r="B427" s="246" t="str">
        <f t="shared" si="49"/>
        <v>Oil Field - Well</v>
      </c>
      <c r="C427" s="246" t="str">
        <f ca="1">IF(B427="","",VLOOKUP(D427,'Species Data'!B:E,4,FALSE))</f>
        <v>isopentane</v>
      </c>
      <c r="D427" s="246">
        <f t="shared" ca="1" si="50"/>
        <v>508</v>
      </c>
      <c r="E427" s="246">
        <f t="shared" ca="1" si="51"/>
        <v>8.6462000000000003</v>
      </c>
      <c r="F427" s="246" t="str">
        <f t="shared" ca="1" si="52"/>
        <v>Isopentane (2-Methylbutane)</v>
      </c>
      <c r="G427" s="246">
        <f t="shared" ca="1" si="53"/>
        <v>72.148780000000002</v>
      </c>
      <c r="H427" s="204">
        <f ca="1">IF(G427="","",IF(VLOOKUP(Well_Head!F427,'Species Data'!D:F,3,FALSE)=0,"X",IF(G427&lt;44.1,2,1)))</f>
        <v>1</v>
      </c>
      <c r="I427" s="204">
        <f t="shared" ca="1" si="54"/>
        <v>2.9334258075204316</v>
      </c>
      <c r="J427" s="247">
        <f ca="1">IF(I427="","",IF(COUNTIF($D$12:D427,D427)=1,IF(H427=1,I427*H427,IF(H427="X","X",0)),0))</f>
        <v>0</v>
      </c>
      <c r="K427" s="248">
        <f t="shared" ca="1" si="55"/>
        <v>0</v>
      </c>
      <c r="L427" s="239" t="s">
        <v>626</v>
      </c>
      <c r="M427" s="215" t="s">
        <v>448</v>
      </c>
      <c r="N427" s="215" t="s">
        <v>470</v>
      </c>
      <c r="O427" s="216">
        <v>41419</v>
      </c>
      <c r="P427" s="215" t="s">
        <v>531</v>
      </c>
      <c r="Q427" s="217">
        <v>100</v>
      </c>
      <c r="R427" s="215" t="s">
        <v>445</v>
      </c>
      <c r="S427" s="215" t="s">
        <v>532</v>
      </c>
      <c r="T427" s="215" t="s">
        <v>445</v>
      </c>
      <c r="U427" s="215" t="s">
        <v>446</v>
      </c>
      <c r="V427" s="217" t="b">
        <v>1</v>
      </c>
      <c r="W427" s="217">
        <v>1989</v>
      </c>
      <c r="X427" s="217">
        <v>5</v>
      </c>
      <c r="Y427" s="217">
        <v>2</v>
      </c>
      <c r="Z427" s="217">
        <v>4</v>
      </c>
      <c r="AA427" s="215" t="s">
        <v>447</v>
      </c>
      <c r="AB427" s="215" t="s">
        <v>531</v>
      </c>
      <c r="AC427" s="215" t="s">
        <v>533</v>
      </c>
      <c r="AD427" s="217">
        <v>1.434064</v>
      </c>
      <c r="AE427" s="217">
        <v>491</v>
      </c>
      <c r="AF427" s="217">
        <v>1.5022</v>
      </c>
      <c r="AG427" s="217">
        <v>-99</v>
      </c>
      <c r="AH427" s="215" t="s">
        <v>224</v>
      </c>
      <c r="AI427" s="215" t="s">
        <v>449</v>
      </c>
      <c r="AJ427" s="215" t="s">
        <v>268</v>
      </c>
      <c r="AK427" s="215" t="s">
        <v>531</v>
      </c>
      <c r="AL427" s="215" t="s">
        <v>375</v>
      </c>
      <c r="AM427" s="217" t="b">
        <v>1</v>
      </c>
      <c r="AN427" s="217" t="b">
        <v>0</v>
      </c>
      <c r="AO427" s="215" t="s">
        <v>269</v>
      </c>
      <c r="AP427" s="215" t="s">
        <v>270</v>
      </c>
      <c r="AQ427" s="217">
        <v>58.122199999999992</v>
      </c>
      <c r="AR427" s="217" t="b">
        <v>0</v>
      </c>
      <c r="AS427" s="215" t="s">
        <v>534</v>
      </c>
      <c r="AU427" s="222" t="s">
        <v>819</v>
      </c>
    </row>
    <row r="428" spans="1:47" s="219" customFormat="1" x14ac:dyDescent="0.25">
      <c r="A428" s="245">
        <f t="shared" si="56"/>
        <v>523</v>
      </c>
      <c r="B428" s="246" t="str">
        <f t="shared" si="49"/>
        <v>Oil Field - Well</v>
      </c>
      <c r="C428" s="246" t="str">
        <f ca="1">IF(B428="","",VLOOKUP(D428,'Species Data'!B:E,4,FALSE))</f>
        <v>isopben</v>
      </c>
      <c r="D428" s="246">
        <f t="shared" ca="1" si="50"/>
        <v>514</v>
      </c>
      <c r="E428" s="246">
        <f t="shared" ca="1" si="51"/>
        <v>5.16E-2</v>
      </c>
      <c r="F428" s="246" t="str">
        <f t="shared" ca="1" si="52"/>
        <v>Isopropylbenzene (cumene)</v>
      </c>
      <c r="G428" s="246">
        <f t="shared" ca="1" si="53"/>
        <v>120.19158</v>
      </c>
      <c r="H428" s="204">
        <f ca="1">IF(G428="","",IF(VLOOKUP(Well_Head!F428,'Species Data'!D:F,3,FALSE)=0,"X",IF(G428&lt;44.1,2,1)))</f>
        <v>1</v>
      </c>
      <c r="I428" s="204">
        <f t="shared" ca="1" si="54"/>
        <v>7.8922318682833947E-2</v>
      </c>
      <c r="J428" s="247">
        <f ca="1">IF(I428="","",IF(COUNTIF($D$12:D428,D428)=1,IF(H428=1,I428*H428,IF(H428="X","X",0)),0))</f>
        <v>0</v>
      </c>
      <c r="K428" s="248">
        <f t="shared" ca="1" si="55"/>
        <v>0</v>
      </c>
      <c r="L428" s="239" t="s">
        <v>626</v>
      </c>
      <c r="M428" s="215" t="s">
        <v>448</v>
      </c>
      <c r="N428" s="215" t="s">
        <v>470</v>
      </c>
      <c r="O428" s="216">
        <v>41419</v>
      </c>
      <c r="P428" s="215" t="s">
        <v>531</v>
      </c>
      <c r="Q428" s="217">
        <v>100</v>
      </c>
      <c r="R428" s="215" t="s">
        <v>445</v>
      </c>
      <c r="S428" s="215" t="s">
        <v>532</v>
      </c>
      <c r="T428" s="215" t="s">
        <v>445</v>
      </c>
      <c r="U428" s="215" t="s">
        <v>446</v>
      </c>
      <c r="V428" s="217" t="b">
        <v>1</v>
      </c>
      <c r="W428" s="217">
        <v>1989</v>
      </c>
      <c r="X428" s="217">
        <v>5</v>
      </c>
      <c r="Y428" s="217">
        <v>2</v>
      </c>
      <c r="Z428" s="217">
        <v>4</v>
      </c>
      <c r="AA428" s="215" t="s">
        <v>447</v>
      </c>
      <c r="AB428" s="215" t="s">
        <v>531</v>
      </c>
      <c r="AC428" s="215" t="s">
        <v>533</v>
      </c>
      <c r="AD428" s="217">
        <v>1.434064</v>
      </c>
      <c r="AE428" s="217">
        <v>499</v>
      </c>
      <c r="AF428" s="217">
        <v>0.22170000000000001</v>
      </c>
      <c r="AG428" s="217">
        <v>-99</v>
      </c>
      <c r="AH428" s="215" t="s">
        <v>224</v>
      </c>
      <c r="AI428" s="215" t="s">
        <v>449</v>
      </c>
      <c r="AJ428" s="215" t="s">
        <v>531</v>
      </c>
      <c r="AK428" s="215" t="s">
        <v>642</v>
      </c>
      <c r="AL428" s="215" t="s">
        <v>643</v>
      </c>
      <c r="AM428" s="217" t="b">
        <v>0</v>
      </c>
      <c r="AN428" s="217" t="b">
        <v>0</v>
      </c>
      <c r="AO428" s="215" t="s">
        <v>644</v>
      </c>
      <c r="AP428" s="215" t="s">
        <v>531</v>
      </c>
      <c r="AQ428" s="217">
        <v>134.21816000000001</v>
      </c>
      <c r="AR428" s="217" t="b">
        <v>0</v>
      </c>
      <c r="AS428" s="215" t="s">
        <v>534</v>
      </c>
      <c r="AU428" s="222" t="s">
        <v>819</v>
      </c>
    </row>
    <row r="429" spans="1:47" s="219" customFormat="1" x14ac:dyDescent="0.25">
      <c r="A429" s="245">
        <f t="shared" si="56"/>
        <v>524</v>
      </c>
      <c r="B429" s="246" t="str">
        <f t="shared" si="49"/>
        <v>Oil Field - Well</v>
      </c>
      <c r="C429" s="246" t="str">
        <f ca="1">IF(B429="","",VLOOKUP(D429,'Species Data'!B:E,4,FALSE))</f>
        <v>M_xylene</v>
      </c>
      <c r="D429" s="246">
        <f t="shared" ca="1" si="50"/>
        <v>524</v>
      </c>
      <c r="E429" s="246">
        <f t="shared" ca="1" si="51"/>
        <v>0.58320000000000005</v>
      </c>
      <c r="F429" s="246" t="str">
        <f t="shared" ca="1" si="52"/>
        <v>M-xylene</v>
      </c>
      <c r="G429" s="246">
        <f t="shared" ca="1" si="53"/>
        <v>106.16500000000001</v>
      </c>
      <c r="H429" s="204">
        <f ca="1">IF(G429="","",IF(VLOOKUP(Well_Head!F429,'Species Data'!D:F,3,FALSE)=0,"X",IF(G429&lt;44.1,2,1)))</f>
        <v>1</v>
      </c>
      <c r="I429" s="204">
        <f t="shared" ca="1" si="54"/>
        <v>0.21376692793735641</v>
      </c>
      <c r="J429" s="247">
        <f ca="1">IF(I429="","",IF(COUNTIF($D$12:D429,D429)=1,IF(H429=1,I429*H429,IF(H429="X","X",0)),0))</f>
        <v>0</v>
      </c>
      <c r="K429" s="248">
        <f t="shared" ca="1" si="55"/>
        <v>0</v>
      </c>
      <c r="L429" s="239" t="s">
        <v>626</v>
      </c>
      <c r="M429" s="215" t="s">
        <v>448</v>
      </c>
      <c r="N429" s="215" t="s">
        <v>470</v>
      </c>
      <c r="O429" s="216">
        <v>41419</v>
      </c>
      <c r="P429" s="215" t="s">
        <v>531</v>
      </c>
      <c r="Q429" s="217">
        <v>100</v>
      </c>
      <c r="R429" s="215" t="s">
        <v>445</v>
      </c>
      <c r="S429" s="215" t="s">
        <v>532</v>
      </c>
      <c r="T429" s="215" t="s">
        <v>445</v>
      </c>
      <c r="U429" s="215" t="s">
        <v>446</v>
      </c>
      <c r="V429" s="217" t="b">
        <v>1</v>
      </c>
      <c r="W429" s="217">
        <v>1989</v>
      </c>
      <c r="X429" s="217">
        <v>5</v>
      </c>
      <c r="Y429" s="217">
        <v>2</v>
      </c>
      <c r="Z429" s="217">
        <v>4</v>
      </c>
      <c r="AA429" s="215" t="s">
        <v>447</v>
      </c>
      <c r="AB429" s="215" t="s">
        <v>531</v>
      </c>
      <c r="AC429" s="215" t="s">
        <v>533</v>
      </c>
      <c r="AD429" s="217">
        <v>1.434064</v>
      </c>
      <c r="AE429" s="217">
        <v>508</v>
      </c>
      <c r="AF429" s="217">
        <v>1.6489</v>
      </c>
      <c r="AG429" s="217">
        <v>-99</v>
      </c>
      <c r="AH429" s="215" t="s">
        <v>224</v>
      </c>
      <c r="AI429" s="215" t="s">
        <v>449</v>
      </c>
      <c r="AJ429" s="215" t="s">
        <v>342</v>
      </c>
      <c r="AK429" s="215" t="s">
        <v>531</v>
      </c>
      <c r="AL429" s="215" t="s">
        <v>395</v>
      </c>
      <c r="AM429" s="217" t="b">
        <v>1</v>
      </c>
      <c r="AN429" s="217" t="b">
        <v>0</v>
      </c>
      <c r="AO429" s="215" t="s">
        <v>343</v>
      </c>
      <c r="AP429" s="215" t="s">
        <v>344</v>
      </c>
      <c r="AQ429" s="217">
        <v>72.148780000000002</v>
      </c>
      <c r="AR429" s="217" t="b">
        <v>0</v>
      </c>
      <c r="AS429" s="215" t="s">
        <v>534</v>
      </c>
      <c r="AU429" s="222" t="s">
        <v>819</v>
      </c>
    </row>
    <row r="430" spans="1:47" s="219" customFormat="1" x14ac:dyDescent="0.25">
      <c r="A430" s="245">
        <f t="shared" si="56"/>
        <v>525</v>
      </c>
      <c r="B430" s="246" t="str">
        <f t="shared" si="49"/>
        <v>Oil Field - Well</v>
      </c>
      <c r="C430" s="246" t="str">
        <f ca="1">IF(B430="","",VLOOKUP(D430,'Species Data'!B:E,4,FALSE))</f>
        <v>methane</v>
      </c>
      <c r="D430" s="246">
        <f t="shared" ca="1" si="50"/>
        <v>529</v>
      </c>
      <c r="E430" s="246">
        <f t="shared" ca="1" si="51"/>
        <v>9.3724000000000007</v>
      </c>
      <c r="F430" s="246" t="str">
        <f t="shared" ca="1" si="52"/>
        <v>Methane</v>
      </c>
      <c r="G430" s="246">
        <f t="shared" ca="1" si="53"/>
        <v>16.042459999999998</v>
      </c>
      <c r="H430" s="204">
        <f ca="1">IF(G430="","",IF(VLOOKUP(Well_Head!F430,'Species Data'!D:F,3,FALSE)=0,"X",IF(G430&lt;44.1,2,1)))</f>
        <v>2</v>
      </c>
      <c r="I430" s="204">
        <f t="shared" ca="1" si="54"/>
        <v>36.272299888366533</v>
      </c>
      <c r="J430" s="247">
        <f ca="1">IF(I430="","",IF(COUNTIF($D$12:D430,D430)=1,IF(H430=1,I430*H430,IF(H430="X","X",0)),0))</f>
        <v>0</v>
      </c>
      <c r="K430" s="248">
        <f t="shared" ca="1" si="55"/>
        <v>0</v>
      </c>
      <c r="L430" s="239" t="s">
        <v>626</v>
      </c>
      <c r="M430" s="215" t="s">
        <v>448</v>
      </c>
      <c r="N430" s="215" t="s">
        <v>470</v>
      </c>
      <c r="O430" s="216">
        <v>41419</v>
      </c>
      <c r="P430" s="215" t="s">
        <v>531</v>
      </c>
      <c r="Q430" s="217">
        <v>100</v>
      </c>
      <c r="R430" s="215" t="s">
        <v>445</v>
      </c>
      <c r="S430" s="215" t="s">
        <v>532</v>
      </c>
      <c r="T430" s="215" t="s">
        <v>445</v>
      </c>
      <c r="U430" s="215" t="s">
        <v>446</v>
      </c>
      <c r="V430" s="217" t="b">
        <v>1</v>
      </c>
      <c r="W430" s="217">
        <v>1989</v>
      </c>
      <c r="X430" s="217">
        <v>5</v>
      </c>
      <c r="Y430" s="217">
        <v>2</v>
      </c>
      <c r="Z430" s="217">
        <v>4</v>
      </c>
      <c r="AA430" s="215" t="s">
        <v>447</v>
      </c>
      <c r="AB430" s="215" t="s">
        <v>531</v>
      </c>
      <c r="AC430" s="215" t="s">
        <v>533</v>
      </c>
      <c r="AD430" s="217">
        <v>1.434064</v>
      </c>
      <c r="AE430" s="217">
        <v>514</v>
      </c>
      <c r="AF430" s="217">
        <v>0.16439999999999999</v>
      </c>
      <c r="AG430" s="217">
        <v>-99</v>
      </c>
      <c r="AH430" s="215" t="s">
        <v>224</v>
      </c>
      <c r="AI430" s="215" t="s">
        <v>449</v>
      </c>
      <c r="AJ430" s="215" t="s">
        <v>362</v>
      </c>
      <c r="AK430" s="215" t="s">
        <v>531</v>
      </c>
      <c r="AL430" s="215" t="s">
        <v>399</v>
      </c>
      <c r="AM430" s="217" t="b">
        <v>1</v>
      </c>
      <c r="AN430" s="217" t="b">
        <v>1</v>
      </c>
      <c r="AO430" s="215" t="s">
        <v>363</v>
      </c>
      <c r="AP430" s="215" t="s">
        <v>364</v>
      </c>
      <c r="AQ430" s="217">
        <v>120.19158</v>
      </c>
      <c r="AR430" s="217" t="b">
        <v>0</v>
      </c>
      <c r="AS430" s="215" t="s">
        <v>534</v>
      </c>
      <c r="AU430" s="222" t="s">
        <v>819</v>
      </c>
    </row>
    <row r="431" spans="1:47" s="219" customFormat="1" x14ac:dyDescent="0.25">
      <c r="A431" s="245">
        <f t="shared" si="56"/>
        <v>526</v>
      </c>
      <c r="B431" s="246" t="str">
        <f t="shared" si="49"/>
        <v>Oil Field - Well</v>
      </c>
      <c r="C431" s="246" t="str">
        <f ca="1">IF(B431="","",VLOOKUP(D431,'Species Data'!B:E,4,FALSE))</f>
        <v>methcychex</v>
      </c>
      <c r="D431" s="246">
        <f t="shared" ca="1" si="50"/>
        <v>550</v>
      </c>
      <c r="E431" s="246">
        <f t="shared" ca="1" si="51"/>
        <v>2.0390999999999999</v>
      </c>
      <c r="F431" s="246" t="str">
        <f t="shared" ca="1" si="52"/>
        <v>Methylcyclohexane</v>
      </c>
      <c r="G431" s="246">
        <f t="shared" ca="1" si="53"/>
        <v>98.186059999999998</v>
      </c>
      <c r="H431" s="204">
        <f ca="1">IF(G431="","",IF(VLOOKUP(Well_Head!F431,'Species Data'!D:F,3,FALSE)=0,"X",IF(G431&lt;44.1,2,1)))</f>
        <v>1</v>
      </c>
      <c r="I431" s="204">
        <f t="shared" ca="1" si="54"/>
        <v>0.46704501527724096</v>
      </c>
      <c r="J431" s="247">
        <f ca="1">IF(I431="","",IF(COUNTIF($D$12:D431,D431)=1,IF(H431=1,I431*H431,IF(H431="X","X",0)),0))</f>
        <v>0</v>
      </c>
      <c r="K431" s="248">
        <f t="shared" ca="1" si="55"/>
        <v>0</v>
      </c>
      <c r="L431" s="239" t="s">
        <v>626</v>
      </c>
      <c r="M431" s="215" t="s">
        <v>448</v>
      </c>
      <c r="N431" s="215" t="s">
        <v>470</v>
      </c>
      <c r="O431" s="216">
        <v>41419</v>
      </c>
      <c r="P431" s="215" t="s">
        <v>531</v>
      </c>
      <c r="Q431" s="217">
        <v>100</v>
      </c>
      <c r="R431" s="215" t="s">
        <v>445</v>
      </c>
      <c r="S431" s="215" t="s">
        <v>532</v>
      </c>
      <c r="T431" s="215" t="s">
        <v>445</v>
      </c>
      <c r="U431" s="215" t="s">
        <v>446</v>
      </c>
      <c r="V431" s="217" t="b">
        <v>1</v>
      </c>
      <c r="W431" s="217">
        <v>1989</v>
      </c>
      <c r="X431" s="217">
        <v>5</v>
      </c>
      <c r="Y431" s="217">
        <v>2</v>
      </c>
      <c r="Z431" s="217">
        <v>4</v>
      </c>
      <c r="AA431" s="215" t="s">
        <v>447</v>
      </c>
      <c r="AB431" s="215" t="s">
        <v>531</v>
      </c>
      <c r="AC431" s="215" t="s">
        <v>533</v>
      </c>
      <c r="AD431" s="217">
        <v>1.434064</v>
      </c>
      <c r="AE431" s="217">
        <v>524</v>
      </c>
      <c r="AF431" s="217">
        <v>1.0710999999999999</v>
      </c>
      <c r="AG431" s="217">
        <v>-99</v>
      </c>
      <c r="AH431" s="215" t="s">
        <v>224</v>
      </c>
      <c r="AI431" s="215" t="s">
        <v>449</v>
      </c>
      <c r="AJ431" s="215" t="s">
        <v>436</v>
      </c>
      <c r="AK431" s="215" t="s">
        <v>531</v>
      </c>
      <c r="AL431" s="215" t="s">
        <v>460</v>
      </c>
      <c r="AM431" s="217" t="b">
        <v>0</v>
      </c>
      <c r="AN431" s="217" t="b">
        <v>1</v>
      </c>
      <c r="AO431" s="215" t="s">
        <v>437</v>
      </c>
      <c r="AP431" s="215" t="s">
        <v>438</v>
      </c>
      <c r="AQ431" s="217">
        <v>106.16500000000001</v>
      </c>
      <c r="AR431" s="217" t="b">
        <v>0</v>
      </c>
      <c r="AS431" s="215" t="s">
        <v>534</v>
      </c>
      <c r="AU431" s="222" t="s">
        <v>819</v>
      </c>
    </row>
    <row r="432" spans="1:47" s="219" customFormat="1" x14ac:dyDescent="0.25">
      <c r="A432" s="245">
        <f t="shared" si="56"/>
        <v>527</v>
      </c>
      <c r="B432" s="246" t="str">
        <f t="shared" si="49"/>
        <v>Oil Field - Well</v>
      </c>
      <c r="C432" s="246" t="str">
        <f ca="1">IF(B432="","",VLOOKUP(D432,'Species Data'!B:E,4,FALSE))</f>
        <v>methcycpen</v>
      </c>
      <c r="D432" s="246">
        <f t="shared" ca="1" si="50"/>
        <v>551</v>
      </c>
      <c r="E432" s="246">
        <f t="shared" ca="1" si="51"/>
        <v>3.1383000000000001</v>
      </c>
      <c r="F432" s="246" t="str">
        <f t="shared" ca="1" si="52"/>
        <v>Methylcyclopentane</v>
      </c>
      <c r="G432" s="246">
        <f t="shared" ca="1" si="53"/>
        <v>84.159480000000002</v>
      </c>
      <c r="H432" s="204">
        <f ca="1">IF(G432="","",IF(VLOOKUP(Well_Head!F432,'Species Data'!D:F,3,FALSE)=0,"X",IF(G432&lt;44.1,2,1)))</f>
        <v>1</v>
      </c>
      <c r="I432" s="204">
        <f t="shared" ca="1" si="54"/>
        <v>0.80952321163948093</v>
      </c>
      <c r="J432" s="247">
        <f ca="1">IF(I432="","",IF(COUNTIF($D$12:D432,D432)=1,IF(H432=1,I432*H432,IF(H432="X","X",0)),0))</f>
        <v>0</v>
      </c>
      <c r="K432" s="248">
        <f t="shared" ca="1" si="55"/>
        <v>0</v>
      </c>
      <c r="L432" s="239" t="s">
        <v>626</v>
      </c>
      <c r="M432" s="215" t="s">
        <v>448</v>
      </c>
      <c r="N432" s="215" t="s">
        <v>470</v>
      </c>
      <c r="O432" s="216">
        <v>41419</v>
      </c>
      <c r="P432" s="215" t="s">
        <v>531</v>
      </c>
      <c r="Q432" s="217">
        <v>100</v>
      </c>
      <c r="R432" s="215" t="s">
        <v>445</v>
      </c>
      <c r="S432" s="215" t="s">
        <v>532</v>
      </c>
      <c r="T432" s="215" t="s">
        <v>445</v>
      </c>
      <c r="U432" s="215" t="s">
        <v>446</v>
      </c>
      <c r="V432" s="217" t="b">
        <v>1</v>
      </c>
      <c r="W432" s="217">
        <v>1989</v>
      </c>
      <c r="X432" s="217">
        <v>5</v>
      </c>
      <c r="Y432" s="217">
        <v>2</v>
      </c>
      <c r="Z432" s="217">
        <v>4</v>
      </c>
      <c r="AA432" s="215" t="s">
        <v>447</v>
      </c>
      <c r="AB432" s="215" t="s">
        <v>531</v>
      </c>
      <c r="AC432" s="215" t="s">
        <v>533</v>
      </c>
      <c r="AD432" s="217">
        <v>1.434064</v>
      </c>
      <c r="AE432" s="217">
        <v>529</v>
      </c>
      <c r="AF432" s="217">
        <v>10.0741</v>
      </c>
      <c r="AG432" s="217">
        <v>-99</v>
      </c>
      <c r="AH432" s="215" t="s">
        <v>224</v>
      </c>
      <c r="AI432" s="215" t="s">
        <v>449</v>
      </c>
      <c r="AJ432" s="215" t="s">
        <v>271</v>
      </c>
      <c r="AK432" s="215" t="s">
        <v>531</v>
      </c>
      <c r="AL432" s="215" t="s">
        <v>376</v>
      </c>
      <c r="AM432" s="217" t="b">
        <v>0</v>
      </c>
      <c r="AN432" s="217" t="b">
        <v>0</v>
      </c>
      <c r="AO432" s="215" t="s">
        <v>272</v>
      </c>
      <c r="AP432" s="215" t="s">
        <v>531</v>
      </c>
      <c r="AQ432" s="217">
        <v>16.042459999999998</v>
      </c>
      <c r="AR432" s="217" t="b">
        <v>1</v>
      </c>
      <c r="AS432" s="215" t="s">
        <v>534</v>
      </c>
      <c r="AU432" s="222" t="s">
        <v>819</v>
      </c>
    </row>
    <row r="433" spans="1:47" s="219" customFormat="1" x14ac:dyDescent="0.25">
      <c r="A433" s="245">
        <f t="shared" si="56"/>
        <v>528</v>
      </c>
      <c r="B433" s="246" t="str">
        <f t="shared" si="49"/>
        <v>Oil Field - Well</v>
      </c>
      <c r="C433" s="246" t="str">
        <f ca="1">IF(B433="","",VLOOKUP(D433,'Species Data'!B:E,4,FALSE))</f>
        <v>N_but</v>
      </c>
      <c r="D433" s="246">
        <f t="shared" ca="1" si="50"/>
        <v>592</v>
      </c>
      <c r="E433" s="246">
        <f t="shared" ca="1" si="51"/>
        <v>14.286099999999999</v>
      </c>
      <c r="F433" s="246" t="str">
        <f t="shared" ca="1" si="52"/>
        <v>N-butane</v>
      </c>
      <c r="G433" s="246">
        <f t="shared" ca="1" si="53"/>
        <v>58.122199999999992</v>
      </c>
      <c r="H433" s="204">
        <f ca="1">IF(G433="","",IF(VLOOKUP(Well_Head!F433,'Species Data'!D:F,3,FALSE)=0,"X",IF(G433&lt;44.1,2,1)))</f>
        <v>1</v>
      </c>
      <c r="I433" s="204">
        <f t="shared" ca="1" si="54"/>
        <v>6.782997179218774</v>
      </c>
      <c r="J433" s="247">
        <f ca="1">IF(I433="","",IF(COUNTIF($D$12:D433,D433)=1,IF(H433=1,I433*H433,IF(H433="X","X",0)),0))</f>
        <v>0</v>
      </c>
      <c r="K433" s="248">
        <f t="shared" ca="1" si="55"/>
        <v>0</v>
      </c>
      <c r="L433" s="239" t="s">
        <v>626</v>
      </c>
      <c r="M433" s="215" t="s">
        <v>448</v>
      </c>
      <c r="N433" s="215" t="s">
        <v>470</v>
      </c>
      <c r="O433" s="216">
        <v>41419</v>
      </c>
      <c r="P433" s="215" t="s">
        <v>531</v>
      </c>
      <c r="Q433" s="217">
        <v>100</v>
      </c>
      <c r="R433" s="215" t="s">
        <v>445</v>
      </c>
      <c r="S433" s="215" t="s">
        <v>532</v>
      </c>
      <c r="T433" s="215" t="s">
        <v>445</v>
      </c>
      <c r="U433" s="215" t="s">
        <v>446</v>
      </c>
      <c r="V433" s="217" t="b">
        <v>1</v>
      </c>
      <c r="W433" s="217">
        <v>1989</v>
      </c>
      <c r="X433" s="217">
        <v>5</v>
      </c>
      <c r="Y433" s="217">
        <v>2</v>
      </c>
      <c r="Z433" s="217">
        <v>4</v>
      </c>
      <c r="AA433" s="215" t="s">
        <v>447</v>
      </c>
      <c r="AB433" s="215" t="s">
        <v>531</v>
      </c>
      <c r="AC433" s="215" t="s">
        <v>533</v>
      </c>
      <c r="AD433" s="217">
        <v>1.434064</v>
      </c>
      <c r="AE433" s="217">
        <v>550</v>
      </c>
      <c r="AF433" s="217">
        <v>1.0305</v>
      </c>
      <c r="AG433" s="217">
        <v>-99</v>
      </c>
      <c r="AH433" s="215" t="s">
        <v>224</v>
      </c>
      <c r="AI433" s="215" t="s">
        <v>449</v>
      </c>
      <c r="AJ433" s="215" t="s">
        <v>348</v>
      </c>
      <c r="AK433" s="215" t="s">
        <v>531</v>
      </c>
      <c r="AL433" s="215" t="s">
        <v>396</v>
      </c>
      <c r="AM433" s="217" t="b">
        <v>1</v>
      </c>
      <c r="AN433" s="217" t="b">
        <v>0</v>
      </c>
      <c r="AO433" s="215" t="s">
        <v>349</v>
      </c>
      <c r="AP433" s="215" t="s">
        <v>350</v>
      </c>
      <c r="AQ433" s="217">
        <v>98.186059999999998</v>
      </c>
      <c r="AR433" s="217" t="b">
        <v>0</v>
      </c>
      <c r="AS433" s="215" t="s">
        <v>534</v>
      </c>
      <c r="AU433" s="222" t="s">
        <v>819</v>
      </c>
    </row>
    <row r="434" spans="1:47" s="219" customFormat="1" x14ac:dyDescent="0.25">
      <c r="A434" s="245">
        <f t="shared" si="56"/>
        <v>529</v>
      </c>
      <c r="B434" s="246" t="str">
        <f t="shared" si="49"/>
        <v>Oil Field - Well</v>
      </c>
      <c r="C434" s="246" t="str">
        <f ca="1">IF(B434="","",VLOOKUP(D434,'Species Data'!B:E,4,FALSE))</f>
        <v>N_hep</v>
      </c>
      <c r="D434" s="246">
        <f t="shared" ca="1" si="50"/>
        <v>600</v>
      </c>
      <c r="E434" s="246">
        <f t="shared" ca="1" si="51"/>
        <v>1.0401</v>
      </c>
      <c r="F434" s="246" t="str">
        <f t="shared" ca="1" si="52"/>
        <v>N-heptane</v>
      </c>
      <c r="G434" s="246">
        <f t="shared" ca="1" si="53"/>
        <v>100.20194000000001</v>
      </c>
      <c r="H434" s="204">
        <f ca="1">IF(G434="","",IF(VLOOKUP(Well_Head!F434,'Species Data'!D:F,3,FALSE)=0,"X",IF(G434&lt;44.1,2,1)))</f>
        <v>1</v>
      </c>
      <c r="I434" s="204">
        <f t="shared" ca="1" si="54"/>
        <v>0.42536718655989475</v>
      </c>
      <c r="J434" s="247">
        <f ca="1">IF(I434="","",IF(COUNTIF($D$12:D434,D434)=1,IF(H434=1,I434*H434,IF(H434="X","X",0)),0))</f>
        <v>0</v>
      </c>
      <c r="K434" s="248">
        <f t="shared" ca="1" si="55"/>
        <v>0</v>
      </c>
      <c r="L434" s="239" t="s">
        <v>626</v>
      </c>
      <c r="M434" s="215" t="s">
        <v>448</v>
      </c>
      <c r="N434" s="215" t="s">
        <v>470</v>
      </c>
      <c r="O434" s="216">
        <v>41419</v>
      </c>
      <c r="P434" s="215" t="s">
        <v>531</v>
      </c>
      <c r="Q434" s="217">
        <v>100</v>
      </c>
      <c r="R434" s="215" t="s">
        <v>445</v>
      </c>
      <c r="S434" s="215" t="s">
        <v>532</v>
      </c>
      <c r="T434" s="215" t="s">
        <v>445</v>
      </c>
      <c r="U434" s="215" t="s">
        <v>446</v>
      </c>
      <c r="V434" s="217" t="b">
        <v>1</v>
      </c>
      <c r="W434" s="217">
        <v>1989</v>
      </c>
      <c r="X434" s="217">
        <v>5</v>
      </c>
      <c r="Y434" s="217">
        <v>2</v>
      </c>
      <c r="Z434" s="217">
        <v>4</v>
      </c>
      <c r="AA434" s="215" t="s">
        <v>447</v>
      </c>
      <c r="AB434" s="215" t="s">
        <v>531</v>
      </c>
      <c r="AC434" s="215" t="s">
        <v>533</v>
      </c>
      <c r="AD434" s="217">
        <v>1.434064</v>
      </c>
      <c r="AE434" s="217">
        <v>551</v>
      </c>
      <c r="AF434" s="217">
        <v>1.2395</v>
      </c>
      <c r="AG434" s="217">
        <v>-99</v>
      </c>
      <c r="AH434" s="215" t="s">
        <v>224</v>
      </c>
      <c r="AI434" s="215" t="s">
        <v>449</v>
      </c>
      <c r="AJ434" s="215" t="s">
        <v>351</v>
      </c>
      <c r="AK434" s="215" t="s">
        <v>531</v>
      </c>
      <c r="AL434" s="215" t="s">
        <v>397</v>
      </c>
      <c r="AM434" s="217" t="b">
        <v>1</v>
      </c>
      <c r="AN434" s="217" t="b">
        <v>0</v>
      </c>
      <c r="AO434" s="215" t="s">
        <v>352</v>
      </c>
      <c r="AP434" s="215" t="s">
        <v>353</v>
      </c>
      <c r="AQ434" s="217">
        <v>84.159480000000002</v>
      </c>
      <c r="AR434" s="217" t="b">
        <v>0</v>
      </c>
      <c r="AS434" s="215" t="s">
        <v>534</v>
      </c>
      <c r="AU434" s="222" t="s">
        <v>819</v>
      </c>
    </row>
    <row r="435" spans="1:47" s="219" customFormat="1" x14ac:dyDescent="0.25">
      <c r="A435" s="245">
        <f t="shared" si="56"/>
        <v>530</v>
      </c>
      <c r="B435" s="246" t="str">
        <f t="shared" si="49"/>
        <v>Oil Field - Well</v>
      </c>
      <c r="C435" s="246" t="str">
        <f ca="1">IF(B435="","",VLOOKUP(D435,'Species Data'!B:E,4,FALSE))</f>
        <v>N_hex</v>
      </c>
      <c r="D435" s="246">
        <f t="shared" ca="1" si="50"/>
        <v>601</v>
      </c>
      <c r="E435" s="246">
        <f t="shared" ca="1" si="51"/>
        <v>1.9154</v>
      </c>
      <c r="F435" s="246" t="str">
        <f t="shared" ca="1" si="52"/>
        <v>N-hexane</v>
      </c>
      <c r="G435" s="246">
        <f t="shared" ca="1" si="53"/>
        <v>86.175359999999998</v>
      </c>
      <c r="H435" s="204">
        <f ca="1">IF(G435="","",IF(VLOOKUP(Well_Head!F435,'Species Data'!D:F,3,FALSE)=0,"X",IF(G435&lt;44.1,2,1)))</f>
        <v>1</v>
      </c>
      <c r="I435" s="204">
        <f t="shared" ca="1" si="54"/>
        <v>0.89334553631121094</v>
      </c>
      <c r="J435" s="247">
        <f ca="1">IF(I435="","",IF(COUNTIF($D$12:D435,D435)=1,IF(H435=1,I435*H435,IF(H435="X","X",0)),0))</f>
        <v>0</v>
      </c>
      <c r="K435" s="248">
        <f t="shared" ca="1" si="55"/>
        <v>0</v>
      </c>
      <c r="L435" s="239" t="s">
        <v>626</v>
      </c>
      <c r="M435" s="215" t="s">
        <v>448</v>
      </c>
      <c r="N435" s="215" t="s">
        <v>470</v>
      </c>
      <c r="O435" s="216">
        <v>41419</v>
      </c>
      <c r="P435" s="215" t="s">
        <v>531</v>
      </c>
      <c r="Q435" s="217">
        <v>100</v>
      </c>
      <c r="R435" s="215" t="s">
        <v>445</v>
      </c>
      <c r="S435" s="215" t="s">
        <v>532</v>
      </c>
      <c r="T435" s="215" t="s">
        <v>445</v>
      </c>
      <c r="U435" s="215" t="s">
        <v>446</v>
      </c>
      <c r="V435" s="217" t="b">
        <v>1</v>
      </c>
      <c r="W435" s="217">
        <v>1989</v>
      </c>
      <c r="X435" s="217">
        <v>5</v>
      </c>
      <c r="Y435" s="217">
        <v>2</v>
      </c>
      <c r="Z435" s="217">
        <v>4</v>
      </c>
      <c r="AA435" s="215" t="s">
        <v>447</v>
      </c>
      <c r="AB435" s="215" t="s">
        <v>531</v>
      </c>
      <c r="AC435" s="215" t="s">
        <v>533</v>
      </c>
      <c r="AD435" s="217">
        <v>1.434064</v>
      </c>
      <c r="AE435" s="217">
        <v>592</v>
      </c>
      <c r="AF435" s="217">
        <v>4.444</v>
      </c>
      <c r="AG435" s="217">
        <v>-99</v>
      </c>
      <c r="AH435" s="215" t="s">
        <v>224</v>
      </c>
      <c r="AI435" s="215" t="s">
        <v>449</v>
      </c>
      <c r="AJ435" s="215" t="s">
        <v>273</v>
      </c>
      <c r="AK435" s="215" t="s">
        <v>531</v>
      </c>
      <c r="AL435" s="215" t="s">
        <v>377</v>
      </c>
      <c r="AM435" s="217" t="b">
        <v>1</v>
      </c>
      <c r="AN435" s="217" t="b">
        <v>0</v>
      </c>
      <c r="AO435" s="215" t="s">
        <v>274</v>
      </c>
      <c r="AP435" s="215" t="s">
        <v>275</v>
      </c>
      <c r="AQ435" s="217">
        <v>58.122199999999992</v>
      </c>
      <c r="AR435" s="217" t="b">
        <v>0</v>
      </c>
      <c r="AS435" s="215" t="s">
        <v>534</v>
      </c>
      <c r="AU435" s="222" t="s">
        <v>819</v>
      </c>
    </row>
    <row r="436" spans="1:47" s="219" customFormat="1" x14ac:dyDescent="0.25">
      <c r="A436" s="245">
        <f t="shared" si="56"/>
        <v>531</v>
      </c>
      <c r="B436" s="246" t="str">
        <f t="shared" si="49"/>
        <v>Oil Field - Well</v>
      </c>
      <c r="C436" s="246" t="str">
        <f ca="1">IF(B436="","",VLOOKUP(D436,'Species Data'!B:E,4,FALSE))</f>
        <v>N_nonane</v>
      </c>
      <c r="D436" s="246">
        <f t="shared" ca="1" si="50"/>
        <v>603</v>
      </c>
      <c r="E436" s="246">
        <f t="shared" ca="1" si="51"/>
        <v>0.35249999999999998</v>
      </c>
      <c r="F436" s="246" t="str">
        <f t="shared" ca="1" si="52"/>
        <v>N-nonane</v>
      </c>
      <c r="G436" s="246">
        <f t="shared" ca="1" si="53"/>
        <v>128.2551</v>
      </c>
      <c r="H436" s="204">
        <f ca="1">IF(G436="","",IF(VLOOKUP(Well_Head!F436,'Species Data'!D:F,3,FALSE)=0,"X",IF(G436&lt;44.1,2,1)))</f>
        <v>1</v>
      </c>
      <c r="I436" s="204">
        <f t="shared" ca="1" si="54"/>
        <v>0.35487821151781407</v>
      </c>
      <c r="J436" s="247">
        <f ca="1">IF(I436="","",IF(COUNTIF($D$12:D436,D436)=1,IF(H436=1,I436*H436,IF(H436="X","X",0)),0))</f>
        <v>0</v>
      </c>
      <c r="K436" s="248">
        <f t="shared" ca="1" si="55"/>
        <v>0</v>
      </c>
      <c r="L436" s="239" t="s">
        <v>626</v>
      </c>
      <c r="M436" s="215" t="s">
        <v>448</v>
      </c>
      <c r="N436" s="215" t="s">
        <v>470</v>
      </c>
      <c r="O436" s="216">
        <v>41419</v>
      </c>
      <c r="P436" s="215" t="s">
        <v>531</v>
      </c>
      <c r="Q436" s="217">
        <v>100</v>
      </c>
      <c r="R436" s="215" t="s">
        <v>445</v>
      </c>
      <c r="S436" s="215" t="s">
        <v>532</v>
      </c>
      <c r="T436" s="215" t="s">
        <v>445</v>
      </c>
      <c r="U436" s="215" t="s">
        <v>446</v>
      </c>
      <c r="V436" s="217" t="b">
        <v>1</v>
      </c>
      <c r="W436" s="217">
        <v>1989</v>
      </c>
      <c r="X436" s="217">
        <v>5</v>
      </c>
      <c r="Y436" s="217">
        <v>2</v>
      </c>
      <c r="Z436" s="217">
        <v>4</v>
      </c>
      <c r="AA436" s="215" t="s">
        <v>447</v>
      </c>
      <c r="AB436" s="215" t="s">
        <v>531</v>
      </c>
      <c r="AC436" s="215" t="s">
        <v>533</v>
      </c>
      <c r="AD436" s="217">
        <v>1.434064</v>
      </c>
      <c r="AE436" s="217">
        <v>598</v>
      </c>
      <c r="AF436" s="217">
        <v>6.9400000000000003E-2</v>
      </c>
      <c r="AG436" s="217">
        <v>-99</v>
      </c>
      <c r="AH436" s="215" t="s">
        <v>224</v>
      </c>
      <c r="AI436" s="215" t="s">
        <v>449</v>
      </c>
      <c r="AJ436" s="215" t="s">
        <v>414</v>
      </c>
      <c r="AK436" s="215" t="s">
        <v>531</v>
      </c>
      <c r="AL436" s="215" t="s">
        <v>452</v>
      </c>
      <c r="AM436" s="217" t="b">
        <v>1</v>
      </c>
      <c r="AN436" s="217" t="b">
        <v>0</v>
      </c>
      <c r="AO436" s="215" t="s">
        <v>415</v>
      </c>
      <c r="AP436" s="215" t="s">
        <v>416</v>
      </c>
      <c r="AQ436" s="217">
        <v>142.28167999999999</v>
      </c>
      <c r="AR436" s="217" t="b">
        <v>0</v>
      </c>
      <c r="AS436" s="215" t="s">
        <v>534</v>
      </c>
      <c r="AU436" s="222" t="s">
        <v>819</v>
      </c>
    </row>
    <row r="437" spans="1:47" s="219" customFormat="1" x14ac:dyDescent="0.25">
      <c r="A437" s="245">
        <f t="shared" si="56"/>
        <v>532</v>
      </c>
      <c r="B437" s="246" t="str">
        <f t="shared" si="49"/>
        <v>Oil Field - Well</v>
      </c>
      <c r="C437" s="246" t="str">
        <f ca="1">IF(B437="","",VLOOKUP(D437,'Species Data'!B:E,4,FALSE))</f>
        <v>N_octane</v>
      </c>
      <c r="D437" s="246">
        <f t="shared" ca="1" si="50"/>
        <v>604</v>
      </c>
      <c r="E437" s="246">
        <f t="shared" ca="1" si="51"/>
        <v>0.67269999999999996</v>
      </c>
      <c r="F437" s="246" t="str">
        <f t="shared" ca="1" si="52"/>
        <v>N-octane</v>
      </c>
      <c r="G437" s="246">
        <f t="shared" ca="1" si="53"/>
        <v>114.22852</v>
      </c>
      <c r="H437" s="204">
        <f ca="1">IF(G437="","",IF(VLOOKUP(Well_Head!F437,'Species Data'!D:F,3,FALSE)=0,"X",IF(G437&lt;44.1,2,1)))</f>
        <v>1</v>
      </c>
      <c r="I437" s="204">
        <f t="shared" ca="1" si="54"/>
        <v>0.67063415299729812</v>
      </c>
      <c r="J437" s="247">
        <f ca="1">IF(I437="","",IF(COUNTIF($D$12:D437,D437)=1,IF(H437=1,I437*H437,IF(H437="X","X",0)),0))</f>
        <v>0</v>
      </c>
      <c r="K437" s="248">
        <f t="shared" ca="1" si="55"/>
        <v>0</v>
      </c>
      <c r="L437" s="239" t="s">
        <v>626</v>
      </c>
      <c r="M437" s="215" t="s">
        <v>448</v>
      </c>
      <c r="N437" s="215" t="s">
        <v>470</v>
      </c>
      <c r="O437" s="216">
        <v>41419</v>
      </c>
      <c r="P437" s="215" t="s">
        <v>531</v>
      </c>
      <c r="Q437" s="217">
        <v>100</v>
      </c>
      <c r="R437" s="215" t="s">
        <v>445</v>
      </c>
      <c r="S437" s="215" t="s">
        <v>532</v>
      </c>
      <c r="T437" s="215" t="s">
        <v>445</v>
      </c>
      <c r="U437" s="215" t="s">
        <v>446</v>
      </c>
      <c r="V437" s="217" t="b">
        <v>1</v>
      </c>
      <c r="W437" s="217">
        <v>1989</v>
      </c>
      <c r="X437" s="217">
        <v>5</v>
      </c>
      <c r="Y437" s="217">
        <v>2</v>
      </c>
      <c r="Z437" s="217">
        <v>4</v>
      </c>
      <c r="AA437" s="215" t="s">
        <v>447</v>
      </c>
      <c r="AB437" s="215" t="s">
        <v>531</v>
      </c>
      <c r="AC437" s="215" t="s">
        <v>533</v>
      </c>
      <c r="AD437" s="217">
        <v>1.434064</v>
      </c>
      <c r="AE437" s="217">
        <v>600</v>
      </c>
      <c r="AF437" s="217">
        <v>0.92400000000000004</v>
      </c>
      <c r="AG437" s="217">
        <v>-99</v>
      </c>
      <c r="AH437" s="215" t="s">
        <v>224</v>
      </c>
      <c r="AI437" s="215" t="s">
        <v>449</v>
      </c>
      <c r="AJ437" s="215" t="s">
        <v>276</v>
      </c>
      <c r="AK437" s="215" t="s">
        <v>531</v>
      </c>
      <c r="AL437" s="215" t="s">
        <v>378</v>
      </c>
      <c r="AM437" s="217" t="b">
        <v>1</v>
      </c>
      <c r="AN437" s="217" t="b">
        <v>0</v>
      </c>
      <c r="AO437" s="215" t="s">
        <v>277</v>
      </c>
      <c r="AP437" s="215" t="s">
        <v>278</v>
      </c>
      <c r="AQ437" s="217">
        <v>100.20194000000001</v>
      </c>
      <c r="AR437" s="217" t="b">
        <v>0</v>
      </c>
      <c r="AS437" s="215" t="s">
        <v>534</v>
      </c>
      <c r="AU437" s="222" t="s">
        <v>819</v>
      </c>
    </row>
    <row r="438" spans="1:47" s="219" customFormat="1" x14ac:dyDescent="0.25">
      <c r="A438" s="245">
        <f t="shared" si="56"/>
        <v>533</v>
      </c>
      <c r="B438" s="246" t="str">
        <f t="shared" si="49"/>
        <v>Oil Field - Well</v>
      </c>
      <c r="C438" s="246" t="str">
        <f ca="1">IF(B438="","",VLOOKUP(D438,'Species Data'!B:E,4,FALSE))</f>
        <v>N_pentane</v>
      </c>
      <c r="D438" s="246">
        <f t="shared" ca="1" si="50"/>
        <v>605</v>
      </c>
      <c r="E438" s="246">
        <f t="shared" ca="1" si="51"/>
        <v>5.4645000000000001</v>
      </c>
      <c r="F438" s="246" t="str">
        <f t="shared" ca="1" si="52"/>
        <v>N-pentane</v>
      </c>
      <c r="G438" s="246">
        <f t="shared" ca="1" si="53"/>
        <v>72.148780000000002</v>
      </c>
      <c r="H438" s="204">
        <f ca="1">IF(G438="","",IF(VLOOKUP(Well_Head!F438,'Species Data'!D:F,3,FALSE)=0,"X",IF(G438&lt;44.1,2,1)))</f>
        <v>1</v>
      </c>
      <c r="I438" s="204">
        <f t="shared" ca="1" si="54"/>
        <v>2.2200360467107241</v>
      </c>
      <c r="J438" s="247">
        <f ca="1">IF(I438="","",IF(COUNTIF($D$12:D438,D438)=1,IF(H438=1,I438*H438,IF(H438="X","X",0)),0))</f>
        <v>0</v>
      </c>
      <c r="K438" s="248">
        <f t="shared" ca="1" si="55"/>
        <v>0</v>
      </c>
      <c r="L438" s="239" t="s">
        <v>626</v>
      </c>
      <c r="M438" s="215" t="s">
        <v>448</v>
      </c>
      <c r="N438" s="215" t="s">
        <v>470</v>
      </c>
      <c r="O438" s="216">
        <v>41419</v>
      </c>
      <c r="P438" s="215" t="s">
        <v>531</v>
      </c>
      <c r="Q438" s="217">
        <v>100</v>
      </c>
      <c r="R438" s="215" t="s">
        <v>445</v>
      </c>
      <c r="S438" s="215" t="s">
        <v>532</v>
      </c>
      <c r="T438" s="215" t="s">
        <v>445</v>
      </c>
      <c r="U438" s="215" t="s">
        <v>446</v>
      </c>
      <c r="V438" s="217" t="b">
        <v>1</v>
      </c>
      <c r="W438" s="217">
        <v>1989</v>
      </c>
      <c r="X438" s="217">
        <v>5</v>
      </c>
      <c r="Y438" s="217">
        <v>2</v>
      </c>
      <c r="Z438" s="217">
        <v>4</v>
      </c>
      <c r="AA438" s="215" t="s">
        <v>447</v>
      </c>
      <c r="AB438" s="215" t="s">
        <v>531</v>
      </c>
      <c r="AC438" s="215" t="s">
        <v>533</v>
      </c>
      <c r="AD438" s="217">
        <v>1.434064</v>
      </c>
      <c r="AE438" s="217">
        <v>601</v>
      </c>
      <c r="AF438" s="217">
        <v>0.90600000000000003</v>
      </c>
      <c r="AG438" s="217">
        <v>-99</v>
      </c>
      <c r="AH438" s="215" t="s">
        <v>224</v>
      </c>
      <c r="AI438" s="215" t="s">
        <v>449</v>
      </c>
      <c r="AJ438" s="215" t="s">
        <v>279</v>
      </c>
      <c r="AK438" s="215" t="s">
        <v>531</v>
      </c>
      <c r="AL438" s="215" t="s">
        <v>379</v>
      </c>
      <c r="AM438" s="217" t="b">
        <v>1</v>
      </c>
      <c r="AN438" s="217" t="b">
        <v>1</v>
      </c>
      <c r="AO438" s="215" t="s">
        <v>280</v>
      </c>
      <c r="AP438" s="215" t="s">
        <v>281</v>
      </c>
      <c r="AQ438" s="217">
        <v>86.175359999999998</v>
      </c>
      <c r="AR438" s="217" t="b">
        <v>0</v>
      </c>
      <c r="AS438" s="215" t="s">
        <v>534</v>
      </c>
      <c r="AU438" s="222" t="s">
        <v>819</v>
      </c>
    </row>
    <row r="439" spans="1:47" s="219" customFormat="1" x14ac:dyDescent="0.25">
      <c r="A439" s="245">
        <f t="shared" si="56"/>
        <v>534</v>
      </c>
      <c r="B439" s="246" t="str">
        <f t="shared" si="49"/>
        <v>Oil Field - Well</v>
      </c>
      <c r="C439" s="246" t="str">
        <f ca="1">IF(B439="","",VLOOKUP(D439,'Species Data'!B:E,4,FALSE))</f>
        <v>N_proben</v>
      </c>
      <c r="D439" s="246">
        <f t="shared" ca="1" si="50"/>
        <v>608</v>
      </c>
      <c r="E439" s="246">
        <f t="shared" ca="1" si="51"/>
        <v>0.1527</v>
      </c>
      <c r="F439" s="246" t="str">
        <f t="shared" ca="1" si="52"/>
        <v>N-propylbenzene</v>
      </c>
      <c r="G439" s="246">
        <f t="shared" ca="1" si="53"/>
        <v>120.19158</v>
      </c>
      <c r="H439" s="204">
        <f ca="1">IF(G439="","",IF(VLOOKUP(Well_Head!F439,'Species Data'!D:F,3,FALSE)=0,"X",IF(G439&lt;44.1,2,1)))</f>
        <v>1</v>
      </c>
      <c r="I439" s="204">
        <f t="shared" ca="1" si="54"/>
        <v>0.16350019983357761</v>
      </c>
      <c r="J439" s="247">
        <f ca="1">IF(I439="","",IF(COUNTIF($D$12:D439,D439)=1,IF(H439=1,I439*H439,IF(H439="X","X",0)),0))</f>
        <v>0</v>
      </c>
      <c r="K439" s="248">
        <f t="shared" ca="1" si="55"/>
        <v>0</v>
      </c>
      <c r="L439" s="239" t="s">
        <v>626</v>
      </c>
      <c r="M439" s="215" t="s">
        <v>448</v>
      </c>
      <c r="N439" s="215" t="s">
        <v>470</v>
      </c>
      <c r="O439" s="216">
        <v>41419</v>
      </c>
      <c r="P439" s="215" t="s">
        <v>531</v>
      </c>
      <c r="Q439" s="217">
        <v>100</v>
      </c>
      <c r="R439" s="215" t="s">
        <v>445</v>
      </c>
      <c r="S439" s="215" t="s">
        <v>532</v>
      </c>
      <c r="T439" s="215" t="s">
        <v>445</v>
      </c>
      <c r="U439" s="215" t="s">
        <v>446</v>
      </c>
      <c r="V439" s="217" t="b">
        <v>1</v>
      </c>
      <c r="W439" s="217">
        <v>1989</v>
      </c>
      <c r="X439" s="217">
        <v>5</v>
      </c>
      <c r="Y439" s="217">
        <v>2</v>
      </c>
      <c r="Z439" s="217">
        <v>4</v>
      </c>
      <c r="AA439" s="215" t="s">
        <v>447</v>
      </c>
      <c r="AB439" s="215" t="s">
        <v>531</v>
      </c>
      <c r="AC439" s="215" t="s">
        <v>533</v>
      </c>
      <c r="AD439" s="217">
        <v>1.434064</v>
      </c>
      <c r="AE439" s="217">
        <v>603</v>
      </c>
      <c r="AF439" s="217">
        <v>1.5824</v>
      </c>
      <c r="AG439" s="217">
        <v>-99</v>
      </c>
      <c r="AH439" s="215" t="s">
        <v>224</v>
      </c>
      <c r="AI439" s="215" t="s">
        <v>449</v>
      </c>
      <c r="AJ439" s="215" t="s">
        <v>417</v>
      </c>
      <c r="AK439" s="215" t="s">
        <v>531</v>
      </c>
      <c r="AL439" s="215" t="s">
        <v>453</v>
      </c>
      <c r="AM439" s="217" t="b">
        <v>1</v>
      </c>
      <c r="AN439" s="217" t="b">
        <v>0</v>
      </c>
      <c r="AO439" s="215" t="s">
        <v>418</v>
      </c>
      <c r="AP439" s="215" t="s">
        <v>419</v>
      </c>
      <c r="AQ439" s="217">
        <v>128.2551</v>
      </c>
      <c r="AR439" s="217" t="b">
        <v>0</v>
      </c>
      <c r="AS439" s="215" t="s">
        <v>534</v>
      </c>
      <c r="AU439" s="222" t="s">
        <v>819</v>
      </c>
    </row>
    <row r="440" spans="1:47" s="219" customFormat="1" x14ac:dyDescent="0.25">
      <c r="A440" s="245">
        <f t="shared" si="56"/>
        <v>535</v>
      </c>
      <c r="B440" s="246" t="str">
        <f t="shared" si="49"/>
        <v>Oil Field - Well</v>
      </c>
      <c r="C440" s="246" t="str">
        <f ca="1">IF(B440="","",VLOOKUP(D440,'Species Data'!B:E,4,FALSE))</f>
        <v>O_xylene</v>
      </c>
      <c r="D440" s="246">
        <f t="shared" ca="1" si="50"/>
        <v>620</v>
      </c>
      <c r="E440" s="246">
        <f t="shared" ca="1" si="51"/>
        <v>0.2485</v>
      </c>
      <c r="F440" s="246" t="str">
        <f t="shared" ca="1" si="52"/>
        <v>O-xylene</v>
      </c>
      <c r="G440" s="246">
        <f t="shared" ca="1" si="53"/>
        <v>106.16500000000001</v>
      </c>
      <c r="H440" s="204">
        <f ca="1">IF(G440="","",IF(VLOOKUP(Well_Head!F440,'Species Data'!D:F,3,FALSE)=0,"X",IF(G440&lt;44.1,2,1)))</f>
        <v>1</v>
      </c>
      <c r="I440" s="204">
        <f t="shared" ca="1" si="54"/>
        <v>0.25780031508927398</v>
      </c>
      <c r="J440" s="247">
        <f ca="1">IF(I440="","",IF(COUNTIF($D$12:D440,D440)=1,IF(H440=1,I440*H440,IF(H440="X","X",0)),0))</f>
        <v>0</v>
      </c>
      <c r="K440" s="248">
        <f t="shared" ca="1" si="55"/>
        <v>0</v>
      </c>
      <c r="L440" s="239" t="s">
        <v>626</v>
      </c>
      <c r="M440" s="215" t="s">
        <v>448</v>
      </c>
      <c r="N440" s="215" t="s">
        <v>470</v>
      </c>
      <c r="O440" s="216">
        <v>41419</v>
      </c>
      <c r="P440" s="215" t="s">
        <v>531</v>
      </c>
      <c r="Q440" s="217">
        <v>100</v>
      </c>
      <c r="R440" s="215" t="s">
        <v>445</v>
      </c>
      <c r="S440" s="215" t="s">
        <v>532</v>
      </c>
      <c r="T440" s="215" t="s">
        <v>445</v>
      </c>
      <c r="U440" s="215" t="s">
        <v>446</v>
      </c>
      <c r="V440" s="217" t="b">
        <v>1</v>
      </c>
      <c r="W440" s="217">
        <v>1989</v>
      </c>
      <c r="X440" s="217">
        <v>5</v>
      </c>
      <c r="Y440" s="217">
        <v>2</v>
      </c>
      <c r="Z440" s="217">
        <v>4</v>
      </c>
      <c r="AA440" s="215" t="s">
        <v>447</v>
      </c>
      <c r="AB440" s="215" t="s">
        <v>531</v>
      </c>
      <c r="AC440" s="215" t="s">
        <v>533</v>
      </c>
      <c r="AD440" s="217">
        <v>1.434064</v>
      </c>
      <c r="AE440" s="217">
        <v>604</v>
      </c>
      <c r="AF440" s="217">
        <v>1.1482000000000001</v>
      </c>
      <c r="AG440" s="217">
        <v>-99</v>
      </c>
      <c r="AH440" s="215" t="s">
        <v>224</v>
      </c>
      <c r="AI440" s="215" t="s">
        <v>449</v>
      </c>
      <c r="AJ440" s="215" t="s">
        <v>282</v>
      </c>
      <c r="AK440" s="215" t="s">
        <v>531</v>
      </c>
      <c r="AL440" s="215" t="s">
        <v>380</v>
      </c>
      <c r="AM440" s="217" t="b">
        <v>1</v>
      </c>
      <c r="AN440" s="217" t="b">
        <v>0</v>
      </c>
      <c r="AO440" s="215" t="s">
        <v>283</v>
      </c>
      <c r="AP440" s="215" t="s">
        <v>284</v>
      </c>
      <c r="AQ440" s="217">
        <v>114.22852</v>
      </c>
      <c r="AR440" s="217" t="b">
        <v>0</v>
      </c>
      <c r="AS440" s="215" t="s">
        <v>534</v>
      </c>
      <c r="AU440" s="222" t="s">
        <v>819</v>
      </c>
    </row>
    <row r="441" spans="1:47" s="219" customFormat="1" x14ac:dyDescent="0.25">
      <c r="A441" s="245">
        <f t="shared" si="56"/>
        <v>536</v>
      </c>
      <c r="B441" s="246" t="str">
        <f t="shared" si="49"/>
        <v>Oil Field - Well</v>
      </c>
      <c r="C441" s="246" t="str">
        <f ca="1">IF(B441="","",VLOOKUP(D441,'Species Data'!B:E,4,FALSE))</f>
        <v>propane</v>
      </c>
      <c r="D441" s="246">
        <f t="shared" ca="1" si="50"/>
        <v>671</v>
      </c>
      <c r="E441" s="246">
        <f t="shared" ca="1" si="51"/>
        <v>3.7709000000000001</v>
      </c>
      <c r="F441" s="246" t="str">
        <f t="shared" ca="1" si="52"/>
        <v>Propane</v>
      </c>
      <c r="G441" s="246">
        <f t="shared" ca="1" si="53"/>
        <v>44.095619999999997</v>
      </c>
      <c r="H441" s="204">
        <f ca="1">IF(G441="","",IF(VLOOKUP(Well_Head!F441,'Species Data'!D:F,3,FALSE)=0,"X",IF(G441&lt;44.1,2,1)))</f>
        <v>2</v>
      </c>
      <c r="I441" s="204">
        <f t="shared" ca="1" si="54"/>
        <v>8.8717997321996727</v>
      </c>
      <c r="J441" s="247">
        <f ca="1">IF(I441="","",IF(COUNTIF($D$12:D441,D441)=1,IF(H441=1,I441*H441,IF(H441="X","X",0)),0))</f>
        <v>0</v>
      </c>
      <c r="K441" s="248">
        <f t="shared" ca="1" si="55"/>
        <v>0</v>
      </c>
      <c r="L441" s="239" t="s">
        <v>626</v>
      </c>
      <c r="M441" s="215" t="s">
        <v>448</v>
      </c>
      <c r="N441" s="215" t="s">
        <v>470</v>
      </c>
      <c r="O441" s="216">
        <v>41419</v>
      </c>
      <c r="P441" s="215" t="s">
        <v>531</v>
      </c>
      <c r="Q441" s="217">
        <v>100</v>
      </c>
      <c r="R441" s="215" t="s">
        <v>445</v>
      </c>
      <c r="S441" s="215" t="s">
        <v>532</v>
      </c>
      <c r="T441" s="215" t="s">
        <v>445</v>
      </c>
      <c r="U441" s="215" t="s">
        <v>446</v>
      </c>
      <c r="V441" s="217" t="b">
        <v>1</v>
      </c>
      <c r="W441" s="217">
        <v>1989</v>
      </c>
      <c r="X441" s="217">
        <v>5</v>
      </c>
      <c r="Y441" s="217">
        <v>2</v>
      </c>
      <c r="Z441" s="217">
        <v>4</v>
      </c>
      <c r="AA441" s="215" t="s">
        <v>447</v>
      </c>
      <c r="AB441" s="215" t="s">
        <v>531</v>
      </c>
      <c r="AC441" s="215" t="s">
        <v>533</v>
      </c>
      <c r="AD441" s="217">
        <v>1.434064</v>
      </c>
      <c r="AE441" s="217">
        <v>605</v>
      </c>
      <c r="AF441" s="217">
        <v>1.6241000000000001</v>
      </c>
      <c r="AG441" s="217">
        <v>-99</v>
      </c>
      <c r="AH441" s="215" t="s">
        <v>224</v>
      </c>
      <c r="AI441" s="215" t="s">
        <v>449</v>
      </c>
      <c r="AJ441" s="215" t="s">
        <v>285</v>
      </c>
      <c r="AK441" s="215" t="s">
        <v>531</v>
      </c>
      <c r="AL441" s="215" t="s">
        <v>381</v>
      </c>
      <c r="AM441" s="217" t="b">
        <v>1</v>
      </c>
      <c r="AN441" s="217" t="b">
        <v>0</v>
      </c>
      <c r="AO441" s="215" t="s">
        <v>286</v>
      </c>
      <c r="AP441" s="215" t="s">
        <v>287</v>
      </c>
      <c r="AQ441" s="217">
        <v>72.148780000000002</v>
      </c>
      <c r="AR441" s="217" t="b">
        <v>0</v>
      </c>
      <c r="AS441" s="215" t="s">
        <v>534</v>
      </c>
      <c r="AU441" s="222" t="s">
        <v>819</v>
      </c>
    </row>
    <row r="442" spans="1:47" s="219" customFormat="1" x14ac:dyDescent="0.25">
      <c r="A442" s="245">
        <f t="shared" si="56"/>
        <v>537</v>
      </c>
      <c r="B442" s="246" t="str">
        <f t="shared" si="49"/>
        <v>Oil Field - Well</v>
      </c>
      <c r="C442" s="246" t="str">
        <f ca="1">IF(B442="","",VLOOKUP(D442,'Species Data'!B:E,4,FALSE))</f>
        <v>toluene</v>
      </c>
      <c r="D442" s="246">
        <f t="shared" ca="1" si="50"/>
        <v>717</v>
      </c>
      <c r="E442" s="246">
        <f t="shared" ca="1" si="51"/>
        <v>0.18049999999999999</v>
      </c>
      <c r="F442" s="246" t="str">
        <f t="shared" ca="1" si="52"/>
        <v>Toluene</v>
      </c>
      <c r="G442" s="246">
        <f t="shared" ca="1" si="53"/>
        <v>92.138419999999996</v>
      </c>
      <c r="H442" s="204">
        <f ca="1">IF(G442="","",IF(VLOOKUP(Well_Head!F442,'Species Data'!D:F,3,FALSE)=0,"X",IF(G442&lt;44.1,2,1)))</f>
        <v>1</v>
      </c>
      <c r="I442" s="204">
        <f t="shared" ca="1" si="54"/>
        <v>0.47057835292909805</v>
      </c>
      <c r="J442" s="247">
        <f ca="1">IF(I442="","",IF(COUNTIF($D$12:D442,D442)=1,IF(H442=1,I442*H442,IF(H442="X","X",0)),0))</f>
        <v>0</v>
      </c>
      <c r="K442" s="248">
        <f t="shared" ca="1" si="55"/>
        <v>0</v>
      </c>
      <c r="L442" s="239" t="s">
        <v>626</v>
      </c>
      <c r="M442" s="215" t="s">
        <v>448</v>
      </c>
      <c r="N442" s="215" t="s">
        <v>470</v>
      </c>
      <c r="O442" s="216">
        <v>41419</v>
      </c>
      <c r="P442" s="215" t="s">
        <v>531</v>
      </c>
      <c r="Q442" s="217">
        <v>100</v>
      </c>
      <c r="R442" s="215" t="s">
        <v>445</v>
      </c>
      <c r="S442" s="215" t="s">
        <v>532</v>
      </c>
      <c r="T442" s="215" t="s">
        <v>445</v>
      </c>
      <c r="U442" s="215" t="s">
        <v>446</v>
      </c>
      <c r="V442" s="217" t="b">
        <v>1</v>
      </c>
      <c r="W442" s="217">
        <v>1989</v>
      </c>
      <c r="X442" s="217">
        <v>5</v>
      </c>
      <c r="Y442" s="217">
        <v>2</v>
      </c>
      <c r="Z442" s="217">
        <v>4</v>
      </c>
      <c r="AA442" s="215" t="s">
        <v>447</v>
      </c>
      <c r="AB442" s="215" t="s">
        <v>531</v>
      </c>
      <c r="AC442" s="215" t="s">
        <v>533</v>
      </c>
      <c r="AD442" s="217">
        <v>1.434064</v>
      </c>
      <c r="AE442" s="217">
        <v>608</v>
      </c>
      <c r="AF442" s="217">
        <v>0.50080000000000002</v>
      </c>
      <c r="AG442" s="217">
        <v>-99</v>
      </c>
      <c r="AH442" s="215" t="s">
        <v>224</v>
      </c>
      <c r="AI442" s="215" t="s">
        <v>449</v>
      </c>
      <c r="AJ442" s="215" t="s">
        <v>420</v>
      </c>
      <c r="AK442" s="215" t="s">
        <v>531</v>
      </c>
      <c r="AL442" s="215" t="s">
        <v>454</v>
      </c>
      <c r="AM442" s="217" t="b">
        <v>1</v>
      </c>
      <c r="AN442" s="217" t="b">
        <v>0</v>
      </c>
      <c r="AO442" s="215" t="s">
        <v>421</v>
      </c>
      <c r="AP442" s="215" t="s">
        <v>422</v>
      </c>
      <c r="AQ442" s="217">
        <v>120.19158</v>
      </c>
      <c r="AR442" s="217" t="b">
        <v>0</v>
      </c>
      <c r="AS442" s="215" t="s">
        <v>534</v>
      </c>
      <c r="AU442" s="222" t="s">
        <v>819</v>
      </c>
    </row>
    <row r="443" spans="1:47" s="219" customFormat="1" x14ac:dyDescent="0.25">
      <c r="A443" s="245">
        <f t="shared" si="56"/>
        <v>538</v>
      </c>
      <c r="B443" s="246" t="str">
        <f t="shared" si="49"/>
        <v>Oil Field - Well</v>
      </c>
      <c r="C443" s="246" t="str">
        <f ca="1">IF(B443="","",VLOOKUP(D443,'Species Data'!B:E,4,FALSE))</f>
        <v>c10_comp</v>
      </c>
      <c r="D443" s="246">
        <f t="shared" ca="1" si="50"/>
        <v>1924</v>
      </c>
      <c r="E443" s="246">
        <f t="shared" ca="1" si="51"/>
        <v>0.65980000000000005</v>
      </c>
      <c r="F443" s="246" t="str">
        <f t="shared" ca="1" si="52"/>
        <v>C-10 Compounds</v>
      </c>
      <c r="G443" s="246">
        <f t="shared" ca="1" si="53"/>
        <v>142.28167999999999</v>
      </c>
      <c r="H443" s="204" t="str">
        <f ca="1">IF(G443="","",IF(VLOOKUP(Well_Head!F443,'Species Data'!D:F,3,FALSE)=0,"X",IF(G443&lt;44.1,2,1)))</f>
        <v>X</v>
      </c>
      <c r="I443" s="204">
        <f t="shared" ca="1" si="54"/>
        <v>2.3240139515726077</v>
      </c>
      <c r="J443" s="247">
        <f ca="1">IF(I443="","",IF(COUNTIF($D$12:D443,D443)=1,IF(H443=1,I443*H443,IF(H443="X","X",0)),0))</f>
        <v>0</v>
      </c>
      <c r="K443" s="248">
        <f t="shared" ca="1" si="55"/>
        <v>0</v>
      </c>
      <c r="L443" s="239" t="s">
        <v>626</v>
      </c>
      <c r="M443" s="215" t="s">
        <v>448</v>
      </c>
      <c r="N443" s="215" t="s">
        <v>470</v>
      </c>
      <c r="O443" s="216">
        <v>41419</v>
      </c>
      <c r="P443" s="215" t="s">
        <v>531</v>
      </c>
      <c r="Q443" s="217">
        <v>100</v>
      </c>
      <c r="R443" s="215" t="s">
        <v>445</v>
      </c>
      <c r="S443" s="215" t="s">
        <v>532</v>
      </c>
      <c r="T443" s="215" t="s">
        <v>445</v>
      </c>
      <c r="U443" s="215" t="s">
        <v>446</v>
      </c>
      <c r="V443" s="217" t="b">
        <v>1</v>
      </c>
      <c r="W443" s="217">
        <v>1989</v>
      </c>
      <c r="X443" s="217">
        <v>5</v>
      </c>
      <c r="Y443" s="217">
        <v>2</v>
      </c>
      <c r="Z443" s="217">
        <v>4</v>
      </c>
      <c r="AA443" s="215" t="s">
        <v>447</v>
      </c>
      <c r="AB443" s="215" t="s">
        <v>531</v>
      </c>
      <c r="AC443" s="215" t="s">
        <v>533</v>
      </c>
      <c r="AD443" s="217">
        <v>1.434064</v>
      </c>
      <c r="AE443" s="217">
        <v>610</v>
      </c>
      <c r="AF443" s="217">
        <v>1.2176</v>
      </c>
      <c r="AG443" s="217">
        <v>-99</v>
      </c>
      <c r="AH443" s="215" t="s">
        <v>224</v>
      </c>
      <c r="AI443" s="215" t="s">
        <v>449</v>
      </c>
      <c r="AJ443" s="215" t="s">
        <v>430</v>
      </c>
      <c r="AK443" s="215" t="s">
        <v>531</v>
      </c>
      <c r="AL443" s="215" t="s">
        <v>458</v>
      </c>
      <c r="AM443" s="217" t="b">
        <v>1</v>
      </c>
      <c r="AN443" s="217" t="b">
        <v>0</v>
      </c>
      <c r="AO443" s="215" t="s">
        <v>431</v>
      </c>
      <c r="AP443" s="215" t="s">
        <v>432</v>
      </c>
      <c r="AQ443" s="217">
        <v>156.30826000000002</v>
      </c>
      <c r="AR443" s="217" t="b">
        <v>0</v>
      </c>
      <c r="AS443" s="215" t="s">
        <v>534</v>
      </c>
      <c r="AU443" s="222" t="s">
        <v>819</v>
      </c>
    </row>
    <row r="444" spans="1:47" s="219" customFormat="1" x14ac:dyDescent="0.25">
      <c r="A444" s="245">
        <f t="shared" si="56"/>
        <v>539</v>
      </c>
      <c r="B444" s="246" t="str">
        <f t="shared" si="49"/>
        <v>Oil Field - Well</v>
      </c>
      <c r="C444" s="246" t="str">
        <f ca="1">IF(B444="","",VLOOKUP(D444,'Species Data'!B:E,4,FALSE))</f>
        <v>c11_comp</v>
      </c>
      <c r="D444" s="246">
        <f t="shared" ca="1" si="50"/>
        <v>1929</v>
      </c>
      <c r="E444" s="246">
        <f t="shared" ca="1" si="51"/>
        <v>0.1404</v>
      </c>
      <c r="F444" s="246" t="str">
        <f t="shared" ca="1" si="52"/>
        <v>C-11 Compounds</v>
      </c>
      <c r="G444" s="246">
        <f t="shared" ca="1" si="53"/>
        <v>156.30826000000002</v>
      </c>
      <c r="H444" s="204" t="str">
        <f ca="1">IF(G444="","",IF(VLOOKUP(Well_Head!F444,'Species Data'!D:F,3,FALSE)=0,"X",IF(G444&lt;44.1,2,1)))</f>
        <v>X</v>
      </c>
      <c r="I444" s="204">
        <f t="shared" ca="1" si="54"/>
        <v>0.83128990490988375</v>
      </c>
      <c r="J444" s="247">
        <f ca="1">IF(I444="","",IF(COUNTIF($D$12:D444,D444)=1,IF(H444=1,I444*H444,IF(H444="X","X",0)),0))</f>
        <v>0</v>
      </c>
      <c r="K444" s="248">
        <f t="shared" ca="1" si="55"/>
        <v>0</v>
      </c>
      <c r="L444" s="239" t="s">
        <v>626</v>
      </c>
      <c r="M444" s="215" t="s">
        <v>448</v>
      </c>
      <c r="N444" s="215" t="s">
        <v>470</v>
      </c>
      <c r="O444" s="216">
        <v>41419</v>
      </c>
      <c r="P444" s="215" t="s">
        <v>531</v>
      </c>
      <c r="Q444" s="217">
        <v>100</v>
      </c>
      <c r="R444" s="215" t="s">
        <v>445</v>
      </c>
      <c r="S444" s="215" t="s">
        <v>532</v>
      </c>
      <c r="T444" s="215" t="s">
        <v>445</v>
      </c>
      <c r="U444" s="215" t="s">
        <v>446</v>
      </c>
      <c r="V444" s="217" t="b">
        <v>1</v>
      </c>
      <c r="W444" s="217">
        <v>1989</v>
      </c>
      <c r="X444" s="217">
        <v>5</v>
      </c>
      <c r="Y444" s="217">
        <v>2</v>
      </c>
      <c r="Z444" s="217">
        <v>4</v>
      </c>
      <c r="AA444" s="215" t="s">
        <v>447</v>
      </c>
      <c r="AB444" s="215" t="s">
        <v>531</v>
      </c>
      <c r="AC444" s="215" t="s">
        <v>533</v>
      </c>
      <c r="AD444" s="217">
        <v>1.434064</v>
      </c>
      <c r="AE444" s="217">
        <v>620</v>
      </c>
      <c r="AF444" s="217">
        <v>0.70889999999999997</v>
      </c>
      <c r="AG444" s="217">
        <v>-99</v>
      </c>
      <c r="AH444" s="215" t="s">
        <v>224</v>
      </c>
      <c r="AI444" s="215" t="s">
        <v>449</v>
      </c>
      <c r="AJ444" s="215" t="s">
        <v>354</v>
      </c>
      <c r="AK444" s="215" t="s">
        <v>531</v>
      </c>
      <c r="AL444" s="215" t="s">
        <v>398</v>
      </c>
      <c r="AM444" s="217" t="b">
        <v>1</v>
      </c>
      <c r="AN444" s="217" t="b">
        <v>1</v>
      </c>
      <c r="AO444" s="215" t="s">
        <v>355</v>
      </c>
      <c r="AP444" s="215" t="s">
        <v>356</v>
      </c>
      <c r="AQ444" s="217">
        <v>106.16500000000001</v>
      </c>
      <c r="AR444" s="217" t="b">
        <v>0</v>
      </c>
      <c r="AS444" s="215" t="s">
        <v>534</v>
      </c>
      <c r="AU444" s="222" t="s">
        <v>819</v>
      </c>
    </row>
    <row r="445" spans="1:47" s="219" customFormat="1" x14ac:dyDescent="0.25">
      <c r="A445" s="245">
        <f t="shared" si="56"/>
        <v>540</v>
      </c>
      <c r="B445" s="246" t="str">
        <f t="shared" si="49"/>
        <v>Oil Field - Well</v>
      </c>
      <c r="C445" s="246" t="str">
        <f ca="1">IF(B445="","",VLOOKUP(D445,'Species Data'!B:E,4,FALSE))</f>
        <v>c5_comp</v>
      </c>
      <c r="D445" s="246">
        <f t="shared" ca="1" si="50"/>
        <v>1986</v>
      </c>
      <c r="E445" s="246">
        <f t="shared" ca="1" si="51"/>
        <v>0.96340000000000003</v>
      </c>
      <c r="F445" s="246" t="str">
        <f t="shared" ca="1" si="52"/>
        <v>C-5 Compounds</v>
      </c>
      <c r="G445" s="246">
        <f t="shared" ca="1" si="53"/>
        <v>72.148780000000002</v>
      </c>
      <c r="H445" s="204" t="str">
        <f ca="1">IF(G445="","",IF(VLOOKUP(Well_Head!F445,'Species Data'!D:F,3,FALSE)=0,"X",IF(G445&lt;44.1,2,1)))</f>
        <v>X</v>
      </c>
      <c r="I445" s="204">
        <f t="shared" ca="1" si="54"/>
        <v>0.76984538536658209</v>
      </c>
      <c r="J445" s="247">
        <f ca="1">IF(I445="","",IF(COUNTIF($D$12:D445,D445)=1,IF(H445=1,I445*H445,IF(H445="X","X",0)),0))</f>
        <v>0</v>
      </c>
      <c r="K445" s="248">
        <f t="shared" ca="1" si="55"/>
        <v>0</v>
      </c>
      <c r="L445" s="239" t="s">
        <v>626</v>
      </c>
      <c r="M445" s="215" t="s">
        <v>448</v>
      </c>
      <c r="N445" s="215" t="s">
        <v>470</v>
      </c>
      <c r="O445" s="216">
        <v>41419</v>
      </c>
      <c r="P445" s="215" t="s">
        <v>531</v>
      </c>
      <c r="Q445" s="217">
        <v>100</v>
      </c>
      <c r="R445" s="215" t="s">
        <v>445</v>
      </c>
      <c r="S445" s="215" t="s">
        <v>532</v>
      </c>
      <c r="T445" s="215" t="s">
        <v>445</v>
      </c>
      <c r="U445" s="215" t="s">
        <v>446</v>
      </c>
      <c r="V445" s="217" t="b">
        <v>1</v>
      </c>
      <c r="W445" s="217">
        <v>1989</v>
      </c>
      <c r="X445" s="217">
        <v>5</v>
      </c>
      <c r="Y445" s="217">
        <v>2</v>
      </c>
      <c r="Z445" s="217">
        <v>4</v>
      </c>
      <c r="AA445" s="215" t="s">
        <v>447</v>
      </c>
      <c r="AB445" s="215" t="s">
        <v>531</v>
      </c>
      <c r="AC445" s="215" t="s">
        <v>533</v>
      </c>
      <c r="AD445" s="217">
        <v>1.434064</v>
      </c>
      <c r="AE445" s="217">
        <v>648</v>
      </c>
      <c r="AF445" s="217">
        <v>0.35620000000000002</v>
      </c>
      <c r="AG445" s="217">
        <v>-99</v>
      </c>
      <c r="AH445" s="215" t="s">
        <v>224</v>
      </c>
      <c r="AI445" s="215" t="s">
        <v>449</v>
      </c>
      <c r="AJ445" s="215" t="s">
        <v>433</v>
      </c>
      <c r="AK445" s="215" t="s">
        <v>531</v>
      </c>
      <c r="AL445" s="215" t="s">
        <v>459</v>
      </c>
      <c r="AM445" s="217" t="b">
        <v>0</v>
      </c>
      <c r="AN445" s="217" t="b">
        <v>1</v>
      </c>
      <c r="AO445" s="215" t="s">
        <v>434</v>
      </c>
      <c r="AP445" s="215" t="s">
        <v>435</v>
      </c>
      <c r="AQ445" s="217">
        <v>106.16500000000001</v>
      </c>
      <c r="AR445" s="217" t="b">
        <v>0</v>
      </c>
      <c r="AS445" s="215" t="s">
        <v>534</v>
      </c>
      <c r="AU445" s="222" t="s">
        <v>819</v>
      </c>
    </row>
    <row r="446" spans="1:47" s="219" customFormat="1" x14ac:dyDescent="0.25">
      <c r="A446" s="245">
        <f t="shared" si="56"/>
        <v>541</v>
      </c>
      <c r="B446" s="246" t="str">
        <f t="shared" si="49"/>
        <v>Oil Field - Well</v>
      </c>
      <c r="C446" s="246" t="str">
        <f ca="1">IF(B446="","",VLOOKUP(D446,'Species Data'!B:E,4,FALSE))</f>
        <v>c6_comp</v>
      </c>
      <c r="D446" s="246">
        <f t="shared" ca="1" si="50"/>
        <v>1999</v>
      </c>
      <c r="E446" s="246">
        <f t="shared" ca="1" si="51"/>
        <v>5.6425999999999998</v>
      </c>
      <c r="F446" s="246" t="str">
        <f t="shared" ca="1" si="52"/>
        <v>C-6 Compounds</v>
      </c>
      <c r="G446" s="246">
        <f t="shared" ca="1" si="53"/>
        <v>86.175359999999998</v>
      </c>
      <c r="H446" s="204" t="str">
        <f ca="1">IF(G446="","",IF(VLOOKUP(Well_Head!F446,'Species Data'!D:F,3,FALSE)=0,"X",IF(G446&lt;44.1,2,1)))</f>
        <v>X</v>
      </c>
      <c r="I446" s="204">
        <f t="shared" ca="1" si="54"/>
        <v>2.1343803864649171</v>
      </c>
      <c r="J446" s="247">
        <f ca="1">IF(I446="","",IF(COUNTIF($D$12:D446,D446)=1,IF(H446=1,I446*H446,IF(H446="X","X",0)),0))</f>
        <v>0</v>
      </c>
      <c r="K446" s="248">
        <f t="shared" ca="1" si="55"/>
        <v>0</v>
      </c>
      <c r="L446" s="239" t="s">
        <v>626</v>
      </c>
      <c r="M446" s="215" t="s">
        <v>448</v>
      </c>
      <c r="N446" s="215" t="s">
        <v>470</v>
      </c>
      <c r="O446" s="216">
        <v>41419</v>
      </c>
      <c r="P446" s="215" t="s">
        <v>531</v>
      </c>
      <c r="Q446" s="217">
        <v>100</v>
      </c>
      <c r="R446" s="215" t="s">
        <v>445</v>
      </c>
      <c r="S446" s="215" t="s">
        <v>532</v>
      </c>
      <c r="T446" s="215" t="s">
        <v>445</v>
      </c>
      <c r="U446" s="215" t="s">
        <v>446</v>
      </c>
      <c r="V446" s="217" t="b">
        <v>1</v>
      </c>
      <c r="W446" s="217">
        <v>1989</v>
      </c>
      <c r="X446" s="217">
        <v>5</v>
      </c>
      <c r="Y446" s="217">
        <v>2</v>
      </c>
      <c r="Z446" s="217">
        <v>4</v>
      </c>
      <c r="AA446" s="215" t="s">
        <v>447</v>
      </c>
      <c r="AB446" s="215" t="s">
        <v>531</v>
      </c>
      <c r="AC446" s="215" t="s">
        <v>533</v>
      </c>
      <c r="AD446" s="217">
        <v>1.434064</v>
      </c>
      <c r="AE446" s="217">
        <v>671</v>
      </c>
      <c r="AF446" s="217">
        <v>11.3004</v>
      </c>
      <c r="AG446" s="217">
        <v>-99</v>
      </c>
      <c r="AH446" s="215" t="s">
        <v>224</v>
      </c>
      <c r="AI446" s="215" t="s">
        <v>449</v>
      </c>
      <c r="AJ446" s="215" t="s">
        <v>288</v>
      </c>
      <c r="AK446" s="215" t="s">
        <v>531</v>
      </c>
      <c r="AL446" s="215" t="s">
        <v>382</v>
      </c>
      <c r="AM446" s="217" t="b">
        <v>1</v>
      </c>
      <c r="AN446" s="217" t="b">
        <v>0</v>
      </c>
      <c r="AO446" s="215" t="s">
        <v>289</v>
      </c>
      <c r="AP446" s="215" t="s">
        <v>290</v>
      </c>
      <c r="AQ446" s="217">
        <v>44.095619999999997</v>
      </c>
      <c r="AR446" s="217" t="b">
        <v>0</v>
      </c>
      <c r="AS446" s="215" t="s">
        <v>534</v>
      </c>
      <c r="AU446" s="222" t="s">
        <v>819</v>
      </c>
    </row>
    <row r="447" spans="1:47" s="219" customFormat="1" x14ac:dyDescent="0.25">
      <c r="A447" s="245">
        <f t="shared" si="56"/>
        <v>542</v>
      </c>
      <c r="B447" s="246" t="str">
        <f t="shared" si="49"/>
        <v>Oil Field - Well</v>
      </c>
      <c r="C447" s="246" t="str">
        <f ca="1">IF(B447="","",VLOOKUP(D447,'Species Data'!B:E,4,FALSE))</f>
        <v>c7_comp</v>
      </c>
      <c r="D447" s="246">
        <f t="shared" ca="1" si="50"/>
        <v>2005</v>
      </c>
      <c r="E447" s="246">
        <f t="shared" ca="1" si="51"/>
        <v>5.4870000000000001</v>
      </c>
      <c r="F447" s="246" t="str">
        <f t="shared" ca="1" si="52"/>
        <v>C-7 Compounds</v>
      </c>
      <c r="G447" s="246">
        <f t="shared" ca="1" si="53"/>
        <v>100.20194000000001</v>
      </c>
      <c r="H447" s="204" t="str">
        <f ca="1">IF(G447="","",IF(VLOOKUP(Well_Head!F447,'Species Data'!D:F,3,FALSE)=0,"X",IF(G447&lt;44.1,2,1)))</f>
        <v>X</v>
      </c>
      <c r="I447" s="204">
        <f t="shared" ca="1" si="54"/>
        <v>4.8450170327985953</v>
      </c>
      <c r="J447" s="247">
        <f ca="1">IF(I447="","",IF(COUNTIF($D$12:D447,D447)=1,IF(H447=1,I447*H447,IF(H447="X","X",0)),0))</f>
        <v>0</v>
      </c>
      <c r="K447" s="248">
        <f t="shared" ca="1" si="55"/>
        <v>0</v>
      </c>
      <c r="L447" s="239" t="s">
        <v>626</v>
      </c>
      <c r="M447" s="215" t="s">
        <v>448</v>
      </c>
      <c r="N447" s="215" t="s">
        <v>470</v>
      </c>
      <c r="O447" s="216">
        <v>41419</v>
      </c>
      <c r="P447" s="215" t="s">
        <v>531</v>
      </c>
      <c r="Q447" s="217">
        <v>100</v>
      </c>
      <c r="R447" s="215" t="s">
        <v>445</v>
      </c>
      <c r="S447" s="215" t="s">
        <v>532</v>
      </c>
      <c r="T447" s="215" t="s">
        <v>445</v>
      </c>
      <c r="U447" s="215" t="s">
        <v>446</v>
      </c>
      <c r="V447" s="217" t="b">
        <v>1</v>
      </c>
      <c r="W447" s="217">
        <v>1989</v>
      </c>
      <c r="X447" s="217">
        <v>5</v>
      </c>
      <c r="Y447" s="217">
        <v>2</v>
      </c>
      <c r="Z447" s="217">
        <v>4</v>
      </c>
      <c r="AA447" s="215" t="s">
        <v>447</v>
      </c>
      <c r="AB447" s="215" t="s">
        <v>531</v>
      </c>
      <c r="AC447" s="215" t="s">
        <v>533</v>
      </c>
      <c r="AD447" s="217">
        <v>1.434064</v>
      </c>
      <c r="AE447" s="217">
        <v>703</v>
      </c>
      <c r="AF447" s="217">
        <v>0.25219999999999998</v>
      </c>
      <c r="AG447" s="217">
        <v>-99</v>
      </c>
      <c r="AH447" s="215" t="s">
        <v>224</v>
      </c>
      <c r="AI447" s="215" t="s">
        <v>449</v>
      </c>
      <c r="AJ447" s="215" t="s">
        <v>423</v>
      </c>
      <c r="AK447" s="215" t="s">
        <v>531</v>
      </c>
      <c r="AL447" s="215" t="s">
        <v>455</v>
      </c>
      <c r="AM447" s="217" t="b">
        <v>0</v>
      </c>
      <c r="AN447" s="217" t="b">
        <v>0</v>
      </c>
      <c r="AO447" s="215" t="s">
        <v>424</v>
      </c>
      <c r="AP447" s="215" t="s">
        <v>531</v>
      </c>
      <c r="AQ447" s="217">
        <v>134.21816000000001</v>
      </c>
      <c r="AR447" s="217" t="b">
        <v>0</v>
      </c>
      <c r="AS447" s="215" t="s">
        <v>534</v>
      </c>
      <c r="AU447" s="222" t="s">
        <v>819</v>
      </c>
    </row>
    <row r="448" spans="1:47" s="219" customFormat="1" x14ac:dyDescent="0.25">
      <c r="A448" s="245">
        <f t="shared" si="56"/>
        <v>543</v>
      </c>
      <c r="B448" s="246" t="str">
        <f t="shared" si="49"/>
        <v>Oil Field - Well</v>
      </c>
      <c r="C448" s="246" t="str">
        <f ca="1">IF(B448="","",VLOOKUP(D448,'Species Data'!B:E,4,FALSE))</f>
        <v>c8_comp</v>
      </c>
      <c r="D448" s="246">
        <f t="shared" ca="1" si="50"/>
        <v>2011</v>
      </c>
      <c r="E448" s="246">
        <f t="shared" ca="1" si="51"/>
        <v>5.4825999999999997</v>
      </c>
      <c r="F448" s="246" t="str">
        <f t="shared" ca="1" si="52"/>
        <v>C-8 Compounds</v>
      </c>
      <c r="G448" s="246">
        <f t="shared" ca="1" si="53"/>
        <v>113.21160686946486</v>
      </c>
      <c r="H448" s="204" t="str">
        <f ca="1">IF(G448="","",IF(VLOOKUP(Well_Head!F448,'Species Data'!D:F,3,FALSE)=0,"X",IF(G448&lt;44.1,2,1)))</f>
        <v>X</v>
      </c>
      <c r="I448" s="204">
        <f t="shared" ca="1" si="54"/>
        <v>5.0392950480272818</v>
      </c>
      <c r="J448" s="247">
        <f ca="1">IF(I448="","",IF(COUNTIF($D$12:D448,D448)=1,IF(H448=1,I448*H448,IF(H448="X","X",0)),0))</f>
        <v>0</v>
      </c>
      <c r="K448" s="248">
        <f t="shared" ca="1" si="55"/>
        <v>0</v>
      </c>
      <c r="L448" s="239" t="s">
        <v>626</v>
      </c>
      <c r="M448" s="215" t="s">
        <v>448</v>
      </c>
      <c r="N448" s="215" t="s">
        <v>470</v>
      </c>
      <c r="O448" s="216">
        <v>41419</v>
      </c>
      <c r="P448" s="215" t="s">
        <v>531</v>
      </c>
      <c r="Q448" s="217">
        <v>100</v>
      </c>
      <c r="R448" s="215" t="s">
        <v>445</v>
      </c>
      <c r="S448" s="215" t="s">
        <v>532</v>
      </c>
      <c r="T448" s="215" t="s">
        <v>445</v>
      </c>
      <c r="U448" s="215" t="s">
        <v>446</v>
      </c>
      <c r="V448" s="217" t="b">
        <v>1</v>
      </c>
      <c r="W448" s="217">
        <v>1989</v>
      </c>
      <c r="X448" s="217">
        <v>5</v>
      </c>
      <c r="Y448" s="217">
        <v>2</v>
      </c>
      <c r="Z448" s="217">
        <v>4</v>
      </c>
      <c r="AA448" s="215" t="s">
        <v>447</v>
      </c>
      <c r="AB448" s="215" t="s">
        <v>531</v>
      </c>
      <c r="AC448" s="215" t="s">
        <v>533</v>
      </c>
      <c r="AD448" s="217">
        <v>1.434064</v>
      </c>
      <c r="AE448" s="217">
        <v>717</v>
      </c>
      <c r="AF448" s="217">
        <v>2.8142999999999998</v>
      </c>
      <c r="AG448" s="217">
        <v>-99</v>
      </c>
      <c r="AH448" s="215" t="s">
        <v>224</v>
      </c>
      <c r="AI448" s="215" t="s">
        <v>449</v>
      </c>
      <c r="AJ448" s="215" t="s">
        <v>294</v>
      </c>
      <c r="AK448" s="215" t="s">
        <v>531</v>
      </c>
      <c r="AL448" s="215" t="s">
        <v>383</v>
      </c>
      <c r="AM448" s="217" t="b">
        <v>1</v>
      </c>
      <c r="AN448" s="217" t="b">
        <v>1</v>
      </c>
      <c r="AO448" s="215" t="s">
        <v>295</v>
      </c>
      <c r="AP448" s="215" t="s">
        <v>296</v>
      </c>
      <c r="AQ448" s="217">
        <v>92.138419999999996</v>
      </c>
      <c r="AR448" s="217" t="b">
        <v>0</v>
      </c>
      <c r="AS448" s="215" t="s">
        <v>534</v>
      </c>
      <c r="AU448" s="222" t="s">
        <v>819</v>
      </c>
    </row>
    <row r="449" spans="1:47" s="219" customFormat="1" x14ac:dyDescent="0.25">
      <c r="A449" s="245">
        <f t="shared" si="56"/>
        <v>544</v>
      </c>
      <c r="B449" s="246" t="str">
        <f t="shared" si="49"/>
        <v>Oil Field - Well</v>
      </c>
      <c r="C449" s="246" t="str">
        <f ca="1">IF(B449="","",VLOOKUP(D449,'Species Data'!B:E,4,FALSE))</f>
        <v>c9_comp</v>
      </c>
      <c r="D449" s="246">
        <f t="shared" ca="1" si="50"/>
        <v>2018</v>
      </c>
      <c r="E449" s="246">
        <f t="shared" ca="1" si="51"/>
        <v>2.7414999999999998</v>
      </c>
      <c r="F449" s="246" t="str">
        <f t="shared" ca="1" si="52"/>
        <v>C-9 Compounds</v>
      </c>
      <c r="G449" s="246">
        <f t="shared" ca="1" si="53"/>
        <v>127.23917598649743</v>
      </c>
      <c r="H449" s="204" t="str">
        <f ca="1">IF(G449="","",IF(VLOOKUP(Well_Head!F449,'Species Data'!D:F,3,FALSE)=0,"X",IF(G449&lt;44.1,2,1)))</f>
        <v>X</v>
      </c>
      <c r="I449" s="204">
        <f t="shared" ca="1" si="54"/>
        <v>4.5871944954599391</v>
      </c>
      <c r="J449" s="247">
        <f ca="1">IF(I449="","",IF(COUNTIF($D$12:D449,D449)=1,IF(H449=1,I449*H449,IF(H449="X","X",0)),0))</f>
        <v>0</v>
      </c>
      <c r="K449" s="248">
        <f t="shared" ca="1" si="55"/>
        <v>0</v>
      </c>
      <c r="L449" s="239" t="s">
        <v>626</v>
      </c>
      <c r="M449" s="215" t="s">
        <v>448</v>
      </c>
      <c r="N449" s="215" t="s">
        <v>470</v>
      </c>
      <c r="O449" s="216">
        <v>41419</v>
      </c>
      <c r="P449" s="215" t="s">
        <v>531</v>
      </c>
      <c r="Q449" s="217">
        <v>100</v>
      </c>
      <c r="R449" s="215" t="s">
        <v>445</v>
      </c>
      <c r="S449" s="215" t="s">
        <v>532</v>
      </c>
      <c r="T449" s="215" t="s">
        <v>445</v>
      </c>
      <c r="U449" s="215" t="s">
        <v>446</v>
      </c>
      <c r="V449" s="217" t="b">
        <v>1</v>
      </c>
      <c r="W449" s="217">
        <v>1989</v>
      </c>
      <c r="X449" s="217">
        <v>5</v>
      </c>
      <c r="Y449" s="217">
        <v>2</v>
      </c>
      <c r="Z449" s="217">
        <v>4</v>
      </c>
      <c r="AA449" s="215" t="s">
        <v>447</v>
      </c>
      <c r="AB449" s="215" t="s">
        <v>531</v>
      </c>
      <c r="AC449" s="215" t="s">
        <v>533</v>
      </c>
      <c r="AD449" s="217">
        <v>1.434064</v>
      </c>
      <c r="AE449" s="217">
        <v>981</v>
      </c>
      <c r="AF449" s="217">
        <v>0.17519999999999999</v>
      </c>
      <c r="AG449" s="217">
        <v>-99</v>
      </c>
      <c r="AH449" s="215" t="s">
        <v>224</v>
      </c>
      <c r="AI449" s="215" t="s">
        <v>449</v>
      </c>
      <c r="AJ449" s="215" t="s">
        <v>645</v>
      </c>
      <c r="AK449" s="215" t="s">
        <v>531</v>
      </c>
      <c r="AL449" s="215" t="s">
        <v>531</v>
      </c>
      <c r="AM449" s="217" t="b">
        <v>0</v>
      </c>
      <c r="AN449" s="217" t="b">
        <v>0</v>
      </c>
      <c r="AO449" s="215" t="s">
        <v>646</v>
      </c>
      <c r="AP449" s="215" t="s">
        <v>647</v>
      </c>
      <c r="AQ449" s="217">
        <v>134.21816000000001</v>
      </c>
      <c r="AR449" s="217" t="b">
        <v>0</v>
      </c>
      <c r="AS449" s="215" t="s">
        <v>534</v>
      </c>
      <c r="AU449" s="222" t="s">
        <v>819</v>
      </c>
    </row>
    <row r="450" spans="1:47" s="219" customFormat="1" ht="15.75" thickBot="1" x14ac:dyDescent="0.3">
      <c r="A450" s="249" t="str">
        <f t="shared" si="56"/>
        <v/>
      </c>
      <c r="B450" s="250" t="str">
        <f t="shared" si="49"/>
        <v/>
      </c>
      <c r="C450" s="250" t="str">
        <f>IF(B450="","",VLOOKUP(D450,'Species Data'!B:E,4,FALSE))</f>
        <v/>
      </c>
      <c r="D450" s="250" t="str">
        <f t="shared" ca="1" si="50"/>
        <v/>
      </c>
      <c r="E450" s="250" t="str">
        <f t="shared" ca="1" si="51"/>
        <v/>
      </c>
      <c r="F450" s="250" t="str">
        <f t="shared" ca="1" si="52"/>
        <v/>
      </c>
      <c r="G450" s="250" t="str">
        <f t="shared" ca="1" si="53"/>
        <v/>
      </c>
      <c r="H450" s="251" t="str">
        <f ca="1">IF(G450="","",IF(VLOOKUP(Well_Head!F450,'Species Data'!D:F,3,FALSE)=0,"X",IF(G450&lt;44.1,2,1)))</f>
        <v/>
      </c>
      <c r="I450" s="251" t="str">
        <f t="shared" ca="1" si="54"/>
        <v/>
      </c>
      <c r="J450" s="252" t="str">
        <f ca="1">IF(I450="","",IF(COUNTIF($D$12:D450,D450)=1,IF(H450=1,I450*H450,IF(H450="X","X",0)),0))</f>
        <v/>
      </c>
      <c r="K450" s="253" t="str">
        <f t="shared" ca="1" si="55"/>
        <v/>
      </c>
      <c r="L450" s="239" t="s">
        <v>626</v>
      </c>
      <c r="M450" s="215" t="s">
        <v>448</v>
      </c>
      <c r="N450" s="215" t="s">
        <v>470</v>
      </c>
      <c r="O450" s="216">
        <v>41419</v>
      </c>
      <c r="P450" s="215" t="s">
        <v>531</v>
      </c>
      <c r="Q450" s="217">
        <v>100</v>
      </c>
      <c r="R450" s="215" t="s">
        <v>445</v>
      </c>
      <c r="S450" s="215" t="s">
        <v>532</v>
      </c>
      <c r="T450" s="215" t="s">
        <v>445</v>
      </c>
      <c r="U450" s="215" t="s">
        <v>446</v>
      </c>
      <c r="V450" s="217" t="b">
        <v>1</v>
      </c>
      <c r="W450" s="217">
        <v>1989</v>
      </c>
      <c r="X450" s="217">
        <v>5</v>
      </c>
      <c r="Y450" s="217">
        <v>2</v>
      </c>
      <c r="Z450" s="217">
        <v>4</v>
      </c>
      <c r="AA450" s="215" t="s">
        <v>447</v>
      </c>
      <c r="AB450" s="215" t="s">
        <v>531</v>
      </c>
      <c r="AC450" s="215" t="s">
        <v>533</v>
      </c>
      <c r="AD450" s="217">
        <v>1.434064</v>
      </c>
      <c r="AE450" s="217">
        <v>1924</v>
      </c>
      <c r="AF450" s="217">
        <v>5.1143999999999998</v>
      </c>
      <c r="AG450" s="217">
        <v>-99</v>
      </c>
      <c r="AH450" s="215" t="s">
        <v>224</v>
      </c>
      <c r="AI450" s="215" t="s">
        <v>449</v>
      </c>
      <c r="AJ450" s="215" t="s">
        <v>224</v>
      </c>
      <c r="AK450" s="215" t="s">
        <v>531</v>
      </c>
      <c r="AL450" s="215" t="s">
        <v>466</v>
      </c>
      <c r="AM450" s="217" t="b">
        <v>0</v>
      </c>
      <c r="AN450" s="217" t="b">
        <v>0</v>
      </c>
      <c r="AO450" s="215" t="s">
        <v>535</v>
      </c>
      <c r="AP450" s="215" t="s">
        <v>536</v>
      </c>
      <c r="AQ450" s="217">
        <v>142.28167999999999</v>
      </c>
      <c r="AR450" s="217" t="b">
        <v>0</v>
      </c>
      <c r="AS450" s="215" t="s">
        <v>534</v>
      </c>
      <c r="AU450" s="222" t="s">
        <v>819</v>
      </c>
    </row>
    <row r="451" spans="1:47" s="219" customFormat="1" x14ac:dyDescent="0.25">
      <c r="B451" s="218"/>
      <c r="C451" s="218"/>
      <c r="D451" s="218"/>
      <c r="E451" s="218"/>
      <c r="F451" s="218"/>
      <c r="G451" s="218"/>
      <c r="H451" s="218"/>
      <c r="I451" s="218"/>
      <c r="J451" s="223" t="str">
        <f>IF(I451="","",IF(COUNTIF($D$5:D451,D451)=1,IF(H451=2,0,I451*H451),0))</f>
        <v/>
      </c>
      <c r="K451" s="221"/>
      <c r="L451" s="215" t="s">
        <v>626</v>
      </c>
      <c r="M451" s="215" t="s">
        <v>448</v>
      </c>
      <c r="N451" s="215" t="s">
        <v>470</v>
      </c>
      <c r="O451" s="216">
        <v>41419</v>
      </c>
      <c r="P451" s="215" t="s">
        <v>531</v>
      </c>
      <c r="Q451" s="217">
        <v>100</v>
      </c>
      <c r="R451" s="215" t="s">
        <v>445</v>
      </c>
      <c r="S451" s="215" t="s">
        <v>532</v>
      </c>
      <c r="T451" s="215" t="s">
        <v>445</v>
      </c>
      <c r="U451" s="215" t="s">
        <v>446</v>
      </c>
      <c r="V451" s="217" t="b">
        <v>1</v>
      </c>
      <c r="W451" s="217">
        <v>1989</v>
      </c>
      <c r="X451" s="217">
        <v>5</v>
      </c>
      <c r="Y451" s="217">
        <v>2</v>
      </c>
      <c r="Z451" s="217">
        <v>4</v>
      </c>
      <c r="AA451" s="215" t="s">
        <v>447</v>
      </c>
      <c r="AB451" s="215" t="s">
        <v>531</v>
      </c>
      <c r="AC451" s="215" t="s">
        <v>533</v>
      </c>
      <c r="AD451" s="217">
        <v>1.434064</v>
      </c>
      <c r="AE451" s="217">
        <v>1929</v>
      </c>
      <c r="AF451" s="217">
        <v>1.7402</v>
      </c>
      <c r="AG451" s="217">
        <v>-99</v>
      </c>
      <c r="AH451" s="215" t="s">
        <v>224</v>
      </c>
      <c r="AI451" s="215" t="s">
        <v>449</v>
      </c>
      <c r="AJ451" s="215" t="s">
        <v>224</v>
      </c>
      <c r="AK451" s="215" t="s">
        <v>531</v>
      </c>
      <c r="AL451" s="215" t="s">
        <v>467</v>
      </c>
      <c r="AM451" s="217" t="b">
        <v>0</v>
      </c>
      <c r="AN451" s="217" t="b">
        <v>0</v>
      </c>
      <c r="AO451" s="215" t="s">
        <v>468</v>
      </c>
      <c r="AP451" s="215" t="s">
        <v>469</v>
      </c>
      <c r="AQ451" s="217">
        <v>156.30826000000002</v>
      </c>
      <c r="AR451" s="217" t="b">
        <v>0</v>
      </c>
      <c r="AS451" s="215" t="s">
        <v>534</v>
      </c>
      <c r="AU451" s="222" t="s">
        <v>819</v>
      </c>
    </row>
    <row r="452" spans="1:47" s="219" customFormat="1" x14ac:dyDescent="0.25">
      <c r="B452" s="218"/>
      <c r="C452" s="218"/>
      <c r="D452" s="218"/>
      <c r="E452" s="218"/>
      <c r="F452" s="218"/>
      <c r="G452" s="218"/>
      <c r="H452" s="218"/>
      <c r="I452" s="218"/>
      <c r="J452" s="218"/>
      <c r="K452" s="221"/>
      <c r="L452" s="215" t="s">
        <v>626</v>
      </c>
      <c r="M452" s="215" t="s">
        <v>448</v>
      </c>
      <c r="N452" s="215" t="s">
        <v>470</v>
      </c>
      <c r="O452" s="216">
        <v>41419</v>
      </c>
      <c r="P452" s="215" t="s">
        <v>531</v>
      </c>
      <c r="Q452" s="217">
        <v>100</v>
      </c>
      <c r="R452" s="215" t="s">
        <v>445</v>
      </c>
      <c r="S452" s="215" t="s">
        <v>532</v>
      </c>
      <c r="T452" s="215" t="s">
        <v>445</v>
      </c>
      <c r="U452" s="215" t="s">
        <v>446</v>
      </c>
      <c r="V452" s="217" t="b">
        <v>1</v>
      </c>
      <c r="W452" s="217">
        <v>1989</v>
      </c>
      <c r="X452" s="217">
        <v>5</v>
      </c>
      <c r="Y452" s="217">
        <v>2</v>
      </c>
      <c r="Z452" s="217">
        <v>4</v>
      </c>
      <c r="AA452" s="215" t="s">
        <v>447</v>
      </c>
      <c r="AB452" s="215" t="s">
        <v>531</v>
      </c>
      <c r="AC452" s="215" t="s">
        <v>533</v>
      </c>
      <c r="AD452" s="217">
        <v>1.434064</v>
      </c>
      <c r="AE452" s="217">
        <v>1986</v>
      </c>
      <c r="AF452" s="217">
        <v>0.60619999999999996</v>
      </c>
      <c r="AG452" s="217">
        <v>-99</v>
      </c>
      <c r="AH452" s="215" t="s">
        <v>224</v>
      </c>
      <c r="AI452" s="215" t="s">
        <v>449</v>
      </c>
      <c r="AJ452" s="215" t="s">
        <v>224</v>
      </c>
      <c r="AK452" s="215" t="s">
        <v>531</v>
      </c>
      <c r="AL452" s="215" t="s">
        <v>537</v>
      </c>
      <c r="AM452" s="217" t="b">
        <v>0</v>
      </c>
      <c r="AN452" s="217" t="b">
        <v>0</v>
      </c>
      <c r="AO452" s="215" t="s">
        <v>538</v>
      </c>
      <c r="AP452" s="215" t="s">
        <v>539</v>
      </c>
      <c r="AQ452" s="217">
        <v>72.148780000000002</v>
      </c>
      <c r="AR452" s="217" t="b">
        <v>0</v>
      </c>
      <c r="AS452" s="215" t="s">
        <v>534</v>
      </c>
      <c r="AU452" s="222" t="s">
        <v>819</v>
      </c>
    </row>
    <row r="453" spans="1:47" s="219" customFormat="1" x14ac:dyDescent="0.25">
      <c r="B453" s="218"/>
      <c r="C453" s="218"/>
      <c r="D453" s="218"/>
      <c r="E453" s="218"/>
      <c r="F453" s="218"/>
      <c r="G453" s="218"/>
      <c r="H453" s="218"/>
      <c r="I453" s="218"/>
      <c r="J453" s="218"/>
      <c r="K453" s="221"/>
      <c r="L453" s="215" t="s">
        <v>626</v>
      </c>
      <c r="M453" s="215" t="s">
        <v>448</v>
      </c>
      <c r="N453" s="215" t="s">
        <v>470</v>
      </c>
      <c r="O453" s="216">
        <v>41419</v>
      </c>
      <c r="P453" s="215" t="s">
        <v>531</v>
      </c>
      <c r="Q453" s="217">
        <v>100</v>
      </c>
      <c r="R453" s="215" t="s">
        <v>445</v>
      </c>
      <c r="S453" s="215" t="s">
        <v>532</v>
      </c>
      <c r="T453" s="215" t="s">
        <v>445</v>
      </c>
      <c r="U453" s="215" t="s">
        <v>446</v>
      </c>
      <c r="V453" s="217" t="b">
        <v>1</v>
      </c>
      <c r="W453" s="217">
        <v>1989</v>
      </c>
      <c r="X453" s="217">
        <v>5</v>
      </c>
      <c r="Y453" s="217">
        <v>2</v>
      </c>
      <c r="Z453" s="217">
        <v>4</v>
      </c>
      <c r="AA453" s="215" t="s">
        <v>447</v>
      </c>
      <c r="AB453" s="215" t="s">
        <v>531</v>
      </c>
      <c r="AC453" s="215" t="s">
        <v>533</v>
      </c>
      <c r="AD453" s="217">
        <v>1.434064</v>
      </c>
      <c r="AE453" s="217">
        <v>1999</v>
      </c>
      <c r="AF453" s="217">
        <v>2.0726</v>
      </c>
      <c r="AG453" s="217">
        <v>-99</v>
      </c>
      <c r="AH453" s="215" t="s">
        <v>224</v>
      </c>
      <c r="AI453" s="215" t="s">
        <v>449</v>
      </c>
      <c r="AJ453" s="215" t="s">
        <v>224</v>
      </c>
      <c r="AK453" s="215" t="s">
        <v>531</v>
      </c>
      <c r="AL453" s="215" t="s">
        <v>540</v>
      </c>
      <c r="AM453" s="217" t="b">
        <v>0</v>
      </c>
      <c r="AN453" s="217" t="b">
        <v>0</v>
      </c>
      <c r="AO453" s="215" t="s">
        <v>541</v>
      </c>
      <c r="AP453" s="215" t="s">
        <v>542</v>
      </c>
      <c r="AQ453" s="217">
        <v>86.175359999999998</v>
      </c>
      <c r="AR453" s="217" t="b">
        <v>0</v>
      </c>
      <c r="AS453" s="215" t="s">
        <v>534</v>
      </c>
      <c r="AU453" s="222" t="s">
        <v>819</v>
      </c>
    </row>
    <row r="454" spans="1:47" s="219" customFormat="1" x14ac:dyDescent="0.25">
      <c r="B454" s="218"/>
      <c r="C454" s="218"/>
      <c r="D454" s="218"/>
      <c r="E454" s="218"/>
      <c r="F454" s="218"/>
      <c r="G454" s="218"/>
      <c r="H454" s="218"/>
      <c r="I454" s="218"/>
      <c r="J454" s="218"/>
      <c r="K454" s="221"/>
      <c r="L454" s="215" t="s">
        <v>626</v>
      </c>
      <c r="M454" s="215" t="s">
        <v>448</v>
      </c>
      <c r="N454" s="215" t="s">
        <v>470</v>
      </c>
      <c r="O454" s="216">
        <v>41419</v>
      </c>
      <c r="P454" s="215" t="s">
        <v>531</v>
      </c>
      <c r="Q454" s="217">
        <v>100</v>
      </c>
      <c r="R454" s="215" t="s">
        <v>445</v>
      </c>
      <c r="S454" s="215" t="s">
        <v>532</v>
      </c>
      <c r="T454" s="215" t="s">
        <v>445</v>
      </c>
      <c r="U454" s="215" t="s">
        <v>446</v>
      </c>
      <c r="V454" s="217" t="b">
        <v>1</v>
      </c>
      <c r="W454" s="217">
        <v>1989</v>
      </c>
      <c r="X454" s="217">
        <v>5</v>
      </c>
      <c r="Y454" s="217">
        <v>2</v>
      </c>
      <c r="Z454" s="217">
        <v>4</v>
      </c>
      <c r="AA454" s="215" t="s">
        <v>447</v>
      </c>
      <c r="AB454" s="215" t="s">
        <v>531</v>
      </c>
      <c r="AC454" s="215" t="s">
        <v>533</v>
      </c>
      <c r="AD454" s="217">
        <v>1.434064</v>
      </c>
      <c r="AE454" s="217">
        <v>2005</v>
      </c>
      <c r="AF454" s="217">
        <v>2.4994999999999998</v>
      </c>
      <c r="AG454" s="217">
        <v>-99</v>
      </c>
      <c r="AH454" s="215" t="s">
        <v>224</v>
      </c>
      <c r="AI454" s="215" t="s">
        <v>449</v>
      </c>
      <c r="AJ454" s="215" t="s">
        <v>224</v>
      </c>
      <c r="AK454" s="215" t="s">
        <v>531</v>
      </c>
      <c r="AL454" s="215" t="s">
        <v>543</v>
      </c>
      <c r="AM454" s="217" t="b">
        <v>0</v>
      </c>
      <c r="AN454" s="217" t="b">
        <v>0</v>
      </c>
      <c r="AO454" s="215" t="s">
        <v>544</v>
      </c>
      <c r="AP454" s="215" t="s">
        <v>545</v>
      </c>
      <c r="AQ454" s="217">
        <v>100.20194000000001</v>
      </c>
      <c r="AR454" s="217" t="b">
        <v>0</v>
      </c>
      <c r="AS454" s="215" t="s">
        <v>534</v>
      </c>
      <c r="AU454" s="222" t="s">
        <v>819</v>
      </c>
    </row>
    <row r="455" spans="1:47" s="219" customFormat="1" x14ac:dyDescent="0.25">
      <c r="B455" s="218"/>
      <c r="C455" s="218"/>
      <c r="D455" s="218"/>
      <c r="E455" s="218"/>
      <c r="F455" s="218"/>
      <c r="G455" s="218"/>
      <c r="H455" s="218"/>
      <c r="I455" s="218"/>
      <c r="J455" s="218"/>
      <c r="K455" s="221"/>
      <c r="L455" s="215" t="s">
        <v>626</v>
      </c>
      <c r="M455" s="215" t="s">
        <v>448</v>
      </c>
      <c r="N455" s="215" t="s">
        <v>470</v>
      </c>
      <c r="O455" s="216">
        <v>41419</v>
      </c>
      <c r="P455" s="215" t="s">
        <v>531</v>
      </c>
      <c r="Q455" s="217">
        <v>100</v>
      </c>
      <c r="R455" s="215" t="s">
        <v>445</v>
      </c>
      <c r="S455" s="215" t="s">
        <v>532</v>
      </c>
      <c r="T455" s="215" t="s">
        <v>445</v>
      </c>
      <c r="U455" s="215" t="s">
        <v>446</v>
      </c>
      <c r="V455" s="217" t="b">
        <v>1</v>
      </c>
      <c r="W455" s="217">
        <v>1989</v>
      </c>
      <c r="X455" s="217">
        <v>5</v>
      </c>
      <c r="Y455" s="217">
        <v>2</v>
      </c>
      <c r="Z455" s="217">
        <v>4</v>
      </c>
      <c r="AA455" s="215" t="s">
        <v>447</v>
      </c>
      <c r="AB455" s="215" t="s">
        <v>531</v>
      </c>
      <c r="AC455" s="215" t="s">
        <v>533</v>
      </c>
      <c r="AD455" s="217">
        <v>1.434064</v>
      </c>
      <c r="AE455" s="217">
        <v>2011</v>
      </c>
      <c r="AF455" s="217">
        <v>5.4748000000000001</v>
      </c>
      <c r="AG455" s="217">
        <v>-99</v>
      </c>
      <c r="AH455" s="215" t="s">
        <v>224</v>
      </c>
      <c r="AI455" s="215" t="s">
        <v>449</v>
      </c>
      <c r="AJ455" s="215" t="s">
        <v>224</v>
      </c>
      <c r="AK455" s="215" t="s">
        <v>531</v>
      </c>
      <c r="AL455" s="215" t="s">
        <v>546</v>
      </c>
      <c r="AM455" s="217" t="b">
        <v>0</v>
      </c>
      <c r="AN455" s="217" t="b">
        <v>0</v>
      </c>
      <c r="AO455" s="215" t="s">
        <v>547</v>
      </c>
      <c r="AP455" s="215" t="s">
        <v>548</v>
      </c>
      <c r="AQ455" s="217">
        <v>113.21160686946486</v>
      </c>
      <c r="AR455" s="217" t="b">
        <v>0</v>
      </c>
      <c r="AS455" s="215" t="s">
        <v>534</v>
      </c>
      <c r="AU455" s="222" t="s">
        <v>819</v>
      </c>
    </row>
    <row r="456" spans="1:47" s="219" customFormat="1" x14ac:dyDescent="0.25">
      <c r="B456" s="218"/>
      <c r="C456" s="218"/>
      <c r="D456" s="218"/>
      <c r="E456" s="218"/>
      <c r="F456" s="218"/>
      <c r="G456" s="218"/>
      <c r="H456" s="218"/>
      <c r="I456" s="218"/>
      <c r="J456" s="218"/>
      <c r="K456" s="221"/>
      <c r="L456" s="215" t="s">
        <v>626</v>
      </c>
      <c r="M456" s="215" t="s">
        <v>448</v>
      </c>
      <c r="N456" s="215" t="s">
        <v>470</v>
      </c>
      <c r="O456" s="216">
        <v>41419</v>
      </c>
      <c r="P456" s="215" t="s">
        <v>531</v>
      </c>
      <c r="Q456" s="217">
        <v>100</v>
      </c>
      <c r="R456" s="215" t="s">
        <v>445</v>
      </c>
      <c r="S456" s="215" t="s">
        <v>532</v>
      </c>
      <c r="T456" s="215" t="s">
        <v>445</v>
      </c>
      <c r="U456" s="215" t="s">
        <v>446</v>
      </c>
      <c r="V456" s="217" t="b">
        <v>1</v>
      </c>
      <c r="W456" s="217">
        <v>1989</v>
      </c>
      <c r="X456" s="217">
        <v>5</v>
      </c>
      <c r="Y456" s="217">
        <v>2</v>
      </c>
      <c r="Z456" s="217">
        <v>4</v>
      </c>
      <c r="AA456" s="215" t="s">
        <v>447</v>
      </c>
      <c r="AB456" s="215" t="s">
        <v>531</v>
      </c>
      <c r="AC456" s="215" t="s">
        <v>533</v>
      </c>
      <c r="AD456" s="217">
        <v>1.434064</v>
      </c>
      <c r="AE456" s="217">
        <v>2018</v>
      </c>
      <c r="AF456" s="217">
        <v>8.4376999999999995</v>
      </c>
      <c r="AG456" s="217">
        <v>-99</v>
      </c>
      <c r="AH456" s="215" t="s">
        <v>224</v>
      </c>
      <c r="AI456" s="215" t="s">
        <v>449</v>
      </c>
      <c r="AJ456" s="215" t="s">
        <v>224</v>
      </c>
      <c r="AK456" s="215" t="s">
        <v>531</v>
      </c>
      <c r="AL456" s="215" t="s">
        <v>464</v>
      </c>
      <c r="AM456" s="217" t="b">
        <v>0</v>
      </c>
      <c r="AN456" s="217" t="b">
        <v>0</v>
      </c>
      <c r="AO456" s="215" t="s">
        <v>549</v>
      </c>
      <c r="AP456" s="215" t="s">
        <v>550</v>
      </c>
      <c r="AQ456" s="217">
        <v>127.23917598649743</v>
      </c>
      <c r="AR456" s="217" t="b">
        <v>0</v>
      </c>
      <c r="AS456" s="215" t="s">
        <v>534</v>
      </c>
      <c r="AU456" s="222" t="s">
        <v>819</v>
      </c>
    </row>
    <row r="457" spans="1:47" s="219" customFormat="1" x14ac:dyDescent="0.25">
      <c r="B457" s="218"/>
      <c r="C457" s="218"/>
      <c r="D457" s="218"/>
      <c r="E457" s="218"/>
      <c r="F457" s="218"/>
      <c r="G457" s="218"/>
      <c r="H457" s="218"/>
      <c r="I457" s="218"/>
      <c r="J457" s="218"/>
      <c r="K457" s="221"/>
      <c r="L457" s="215" t="s">
        <v>626</v>
      </c>
      <c r="M457" s="215" t="s">
        <v>448</v>
      </c>
      <c r="N457" s="215" t="s">
        <v>470</v>
      </c>
      <c r="O457" s="216">
        <v>41419</v>
      </c>
      <c r="P457" s="215" t="s">
        <v>531</v>
      </c>
      <c r="Q457" s="217">
        <v>100</v>
      </c>
      <c r="R457" s="215" t="s">
        <v>445</v>
      </c>
      <c r="S457" s="215" t="s">
        <v>532</v>
      </c>
      <c r="T457" s="215" t="s">
        <v>445</v>
      </c>
      <c r="U457" s="215" t="s">
        <v>446</v>
      </c>
      <c r="V457" s="217" t="b">
        <v>1</v>
      </c>
      <c r="W457" s="217">
        <v>1989</v>
      </c>
      <c r="X457" s="217">
        <v>5</v>
      </c>
      <c r="Y457" s="217">
        <v>2</v>
      </c>
      <c r="Z457" s="217">
        <v>4</v>
      </c>
      <c r="AA457" s="215" t="s">
        <v>447</v>
      </c>
      <c r="AB457" s="215" t="s">
        <v>531</v>
      </c>
      <c r="AC457" s="215" t="s">
        <v>533</v>
      </c>
      <c r="AD457" s="217">
        <v>1.476477</v>
      </c>
      <c r="AE457" s="217">
        <v>122</v>
      </c>
      <c r="AF457" s="217">
        <v>5.1999999999999998E-2</v>
      </c>
      <c r="AG457" s="217">
        <v>-99</v>
      </c>
      <c r="AH457" s="215" t="s">
        <v>224</v>
      </c>
      <c r="AI457" s="215" t="s">
        <v>449</v>
      </c>
      <c r="AJ457" s="215" t="s">
        <v>301</v>
      </c>
      <c r="AK457" s="215" t="s">
        <v>531</v>
      </c>
      <c r="AL457" s="215" t="s">
        <v>384</v>
      </c>
      <c r="AM457" s="217" t="b">
        <v>1</v>
      </c>
      <c r="AN457" s="217" t="b">
        <v>0</v>
      </c>
      <c r="AO457" s="215" t="s">
        <v>302</v>
      </c>
      <c r="AP457" s="215" t="s">
        <v>303</v>
      </c>
      <c r="AQ457" s="217">
        <v>86.175359999999998</v>
      </c>
      <c r="AR457" s="217" t="b">
        <v>0</v>
      </c>
      <c r="AS457" s="215" t="s">
        <v>534</v>
      </c>
      <c r="AU457" s="222" t="s">
        <v>819</v>
      </c>
    </row>
    <row r="458" spans="1:47" s="219" customFormat="1" x14ac:dyDescent="0.25">
      <c r="B458" s="218"/>
      <c r="C458" s="218"/>
      <c r="D458" s="218"/>
      <c r="E458" s="218"/>
      <c r="F458" s="218"/>
      <c r="G458" s="218"/>
      <c r="H458" s="218"/>
      <c r="I458" s="218"/>
      <c r="J458" s="218"/>
      <c r="K458" s="221"/>
      <c r="L458" s="215" t="s">
        <v>626</v>
      </c>
      <c r="M458" s="215" t="s">
        <v>448</v>
      </c>
      <c r="N458" s="215" t="s">
        <v>470</v>
      </c>
      <c r="O458" s="216">
        <v>41419</v>
      </c>
      <c r="P458" s="215" t="s">
        <v>531</v>
      </c>
      <c r="Q458" s="217">
        <v>100</v>
      </c>
      <c r="R458" s="215" t="s">
        <v>445</v>
      </c>
      <c r="S458" s="215" t="s">
        <v>532</v>
      </c>
      <c r="T458" s="215" t="s">
        <v>445</v>
      </c>
      <c r="U458" s="215" t="s">
        <v>446</v>
      </c>
      <c r="V458" s="217" t="b">
        <v>1</v>
      </c>
      <c r="W458" s="217">
        <v>1989</v>
      </c>
      <c r="X458" s="217">
        <v>5</v>
      </c>
      <c r="Y458" s="217">
        <v>2</v>
      </c>
      <c r="Z458" s="217">
        <v>4</v>
      </c>
      <c r="AA458" s="215" t="s">
        <v>447</v>
      </c>
      <c r="AB458" s="215" t="s">
        <v>531</v>
      </c>
      <c r="AC458" s="215" t="s">
        <v>533</v>
      </c>
      <c r="AD458" s="217">
        <v>1.476477</v>
      </c>
      <c r="AE458" s="217">
        <v>127</v>
      </c>
      <c r="AF458" s="217">
        <v>1.6199999999999999E-2</v>
      </c>
      <c r="AG458" s="217">
        <v>-99</v>
      </c>
      <c r="AH458" s="215" t="s">
        <v>224</v>
      </c>
      <c r="AI458" s="215" t="s">
        <v>449</v>
      </c>
      <c r="AJ458" s="215" t="s">
        <v>441</v>
      </c>
      <c r="AK458" s="215" t="s">
        <v>531</v>
      </c>
      <c r="AL458" s="215" t="s">
        <v>462</v>
      </c>
      <c r="AM458" s="217" t="b">
        <v>0</v>
      </c>
      <c r="AN458" s="217" t="b">
        <v>0</v>
      </c>
      <c r="AO458" s="215" t="s">
        <v>442</v>
      </c>
      <c r="AP458" s="215" t="s">
        <v>531</v>
      </c>
      <c r="AQ458" s="217">
        <v>72.148780000000002</v>
      </c>
      <c r="AR458" s="217" t="b">
        <v>0</v>
      </c>
      <c r="AS458" s="215" t="s">
        <v>534</v>
      </c>
      <c r="AU458" s="222" t="s">
        <v>819</v>
      </c>
    </row>
    <row r="459" spans="1:47" s="219" customFormat="1" x14ac:dyDescent="0.25">
      <c r="B459" s="218"/>
      <c r="C459" s="218"/>
      <c r="D459" s="218"/>
      <c r="E459" s="218"/>
      <c r="F459" s="218"/>
      <c r="G459" s="218"/>
      <c r="H459" s="218"/>
      <c r="I459" s="218"/>
      <c r="J459" s="218"/>
      <c r="K459" s="221"/>
      <c r="L459" s="215" t="s">
        <v>626</v>
      </c>
      <c r="M459" s="215" t="s">
        <v>448</v>
      </c>
      <c r="N459" s="215" t="s">
        <v>470</v>
      </c>
      <c r="O459" s="216">
        <v>41419</v>
      </c>
      <c r="P459" s="215" t="s">
        <v>531</v>
      </c>
      <c r="Q459" s="217">
        <v>100</v>
      </c>
      <c r="R459" s="215" t="s">
        <v>445</v>
      </c>
      <c r="S459" s="215" t="s">
        <v>532</v>
      </c>
      <c r="T459" s="215" t="s">
        <v>445</v>
      </c>
      <c r="U459" s="215" t="s">
        <v>446</v>
      </c>
      <c r="V459" s="217" t="b">
        <v>1</v>
      </c>
      <c r="W459" s="217">
        <v>1989</v>
      </c>
      <c r="X459" s="217">
        <v>5</v>
      </c>
      <c r="Y459" s="217">
        <v>2</v>
      </c>
      <c r="Z459" s="217">
        <v>4</v>
      </c>
      <c r="AA459" s="215" t="s">
        <v>447</v>
      </c>
      <c r="AB459" s="215" t="s">
        <v>531</v>
      </c>
      <c r="AC459" s="215" t="s">
        <v>533</v>
      </c>
      <c r="AD459" s="217">
        <v>1.476477</v>
      </c>
      <c r="AE459" s="217">
        <v>136</v>
      </c>
      <c r="AF459" s="217">
        <v>1.1875</v>
      </c>
      <c r="AG459" s="217">
        <v>-99</v>
      </c>
      <c r="AH459" s="215" t="s">
        <v>224</v>
      </c>
      <c r="AI459" s="215" t="s">
        <v>449</v>
      </c>
      <c r="AJ459" s="215" t="s">
        <v>304</v>
      </c>
      <c r="AK459" s="215" t="s">
        <v>531</v>
      </c>
      <c r="AL459" s="215" t="s">
        <v>620</v>
      </c>
      <c r="AM459" s="217" t="b">
        <v>1</v>
      </c>
      <c r="AN459" s="217" t="b">
        <v>0</v>
      </c>
      <c r="AO459" s="215" t="s">
        <v>305</v>
      </c>
      <c r="AP459" s="215" t="s">
        <v>306</v>
      </c>
      <c r="AQ459" s="217">
        <v>86.175359999999998</v>
      </c>
      <c r="AR459" s="217" t="b">
        <v>0</v>
      </c>
      <c r="AS459" s="215" t="s">
        <v>534</v>
      </c>
      <c r="AU459" s="222" t="s">
        <v>819</v>
      </c>
    </row>
    <row r="460" spans="1:47" s="219" customFormat="1" x14ac:dyDescent="0.25">
      <c r="B460" s="218"/>
      <c r="C460" s="218"/>
      <c r="D460" s="218"/>
      <c r="E460" s="218"/>
      <c r="F460" s="218"/>
      <c r="G460" s="218"/>
      <c r="H460" s="218"/>
      <c r="I460" s="218"/>
      <c r="J460" s="218"/>
      <c r="K460" s="221"/>
      <c r="L460" s="215" t="s">
        <v>626</v>
      </c>
      <c r="M460" s="215" t="s">
        <v>448</v>
      </c>
      <c r="N460" s="215" t="s">
        <v>470</v>
      </c>
      <c r="O460" s="216">
        <v>41419</v>
      </c>
      <c r="P460" s="215" t="s">
        <v>531</v>
      </c>
      <c r="Q460" s="217">
        <v>100</v>
      </c>
      <c r="R460" s="215" t="s">
        <v>445</v>
      </c>
      <c r="S460" s="215" t="s">
        <v>532</v>
      </c>
      <c r="T460" s="215" t="s">
        <v>445</v>
      </c>
      <c r="U460" s="215" t="s">
        <v>446</v>
      </c>
      <c r="V460" s="217" t="b">
        <v>1</v>
      </c>
      <c r="W460" s="217">
        <v>1989</v>
      </c>
      <c r="X460" s="217">
        <v>5</v>
      </c>
      <c r="Y460" s="217">
        <v>2</v>
      </c>
      <c r="Z460" s="217">
        <v>4</v>
      </c>
      <c r="AA460" s="215" t="s">
        <v>447</v>
      </c>
      <c r="AB460" s="215" t="s">
        <v>531</v>
      </c>
      <c r="AC460" s="215" t="s">
        <v>533</v>
      </c>
      <c r="AD460" s="217">
        <v>1.476477</v>
      </c>
      <c r="AE460" s="217">
        <v>138</v>
      </c>
      <c r="AF460" s="217">
        <v>7.1000000000000004E-3</v>
      </c>
      <c r="AG460" s="217">
        <v>-99</v>
      </c>
      <c r="AH460" s="215" t="s">
        <v>224</v>
      </c>
      <c r="AI460" s="215" t="s">
        <v>449</v>
      </c>
      <c r="AJ460" s="215" t="s">
        <v>443</v>
      </c>
      <c r="AK460" s="215" t="s">
        <v>531</v>
      </c>
      <c r="AL460" s="215" t="s">
        <v>463</v>
      </c>
      <c r="AM460" s="217" t="b">
        <v>0</v>
      </c>
      <c r="AN460" s="217" t="b">
        <v>0</v>
      </c>
      <c r="AO460" s="215" t="s">
        <v>444</v>
      </c>
      <c r="AP460" s="215" t="s">
        <v>531</v>
      </c>
      <c r="AQ460" s="217">
        <v>114.22852</v>
      </c>
      <c r="AR460" s="217" t="b">
        <v>0</v>
      </c>
      <c r="AS460" s="215" t="s">
        <v>534</v>
      </c>
      <c r="AU460" s="222" t="s">
        <v>819</v>
      </c>
    </row>
    <row r="461" spans="1:47" s="219" customFormat="1" x14ac:dyDescent="0.25">
      <c r="B461" s="218"/>
      <c r="C461" s="218"/>
      <c r="D461" s="218"/>
      <c r="E461" s="218"/>
      <c r="F461" s="218"/>
      <c r="G461" s="218"/>
      <c r="H461" s="218"/>
      <c r="I461" s="218"/>
      <c r="J461" s="218"/>
      <c r="K461" s="221"/>
      <c r="L461" s="215" t="s">
        <v>626</v>
      </c>
      <c r="M461" s="215" t="s">
        <v>448</v>
      </c>
      <c r="N461" s="215" t="s">
        <v>470</v>
      </c>
      <c r="O461" s="216">
        <v>41419</v>
      </c>
      <c r="P461" s="215" t="s">
        <v>531</v>
      </c>
      <c r="Q461" s="217">
        <v>100</v>
      </c>
      <c r="R461" s="215" t="s">
        <v>445</v>
      </c>
      <c r="S461" s="215" t="s">
        <v>532</v>
      </c>
      <c r="T461" s="215" t="s">
        <v>445</v>
      </c>
      <c r="U461" s="215" t="s">
        <v>446</v>
      </c>
      <c r="V461" s="217" t="b">
        <v>1</v>
      </c>
      <c r="W461" s="217">
        <v>1989</v>
      </c>
      <c r="X461" s="217">
        <v>5</v>
      </c>
      <c r="Y461" s="217">
        <v>2</v>
      </c>
      <c r="Z461" s="217">
        <v>4</v>
      </c>
      <c r="AA461" s="215" t="s">
        <v>447</v>
      </c>
      <c r="AB461" s="215" t="s">
        <v>531</v>
      </c>
      <c r="AC461" s="215" t="s">
        <v>533</v>
      </c>
      <c r="AD461" s="217">
        <v>1.476477</v>
      </c>
      <c r="AE461" s="217">
        <v>140</v>
      </c>
      <c r="AF461" s="217">
        <v>8.43E-2</v>
      </c>
      <c r="AG461" s="217">
        <v>-99</v>
      </c>
      <c r="AH461" s="215" t="s">
        <v>224</v>
      </c>
      <c r="AI461" s="215" t="s">
        <v>449</v>
      </c>
      <c r="AJ461" s="215" t="s">
        <v>307</v>
      </c>
      <c r="AK461" s="215" t="s">
        <v>531</v>
      </c>
      <c r="AL461" s="215" t="s">
        <v>385</v>
      </c>
      <c r="AM461" s="217" t="b">
        <v>1</v>
      </c>
      <c r="AN461" s="217" t="b">
        <v>0</v>
      </c>
      <c r="AO461" s="215" t="s">
        <v>308</v>
      </c>
      <c r="AP461" s="215" t="s">
        <v>309</v>
      </c>
      <c r="AQ461" s="217">
        <v>100.20194000000001</v>
      </c>
      <c r="AR461" s="217" t="b">
        <v>0</v>
      </c>
      <c r="AS461" s="215" t="s">
        <v>534</v>
      </c>
      <c r="AU461" s="222" t="s">
        <v>819</v>
      </c>
    </row>
    <row r="462" spans="1:47" s="219" customFormat="1" x14ac:dyDescent="0.25">
      <c r="B462" s="218"/>
      <c r="C462" s="218"/>
      <c r="D462" s="218"/>
      <c r="E462" s="218"/>
      <c r="F462" s="218"/>
      <c r="G462" s="218"/>
      <c r="H462" s="218"/>
      <c r="I462" s="218"/>
      <c r="J462" s="218"/>
      <c r="K462" s="221"/>
      <c r="L462" s="215" t="s">
        <v>626</v>
      </c>
      <c r="M462" s="215" t="s">
        <v>448</v>
      </c>
      <c r="N462" s="215" t="s">
        <v>470</v>
      </c>
      <c r="O462" s="216">
        <v>41419</v>
      </c>
      <c r="P462" s="215" t="s">
        <v>531</v>
      </c>
      <c r="Q462" s="217">
        <v>100</v>
      </c>
      <c r="R462" s="215" t="s">
        <v>445</v>
      </c>
      <c r="S462" s="215" t="s">
        <v>532</v>
      </c>
      <c r="T462" s="215" t="s">
        <v>445</v>
      </c>
      <c r="U462" s="215" t="s">
        <v>446</v>
      </c>
      <c r="V462" s="217" t="b">
        <v>1</v>
      </c>
      <c r="W462" s="217">
        <v>1989</v>
      </c>
      <c r="X462" s="217">
        <v>5</v>
      </c>
      <c r="Y462" s="217">
        <v>2</v>
      </c>
      <c r="Z462" s="217">
        <v>4</v>
      </c>
      <c r="AA462" s="215" t="s">
        <v>447</v>
      </c>
      <c r="AB462" s="215" t="s">
        <v>531</v>
      </c>
      <c r="AC462" s="215" t="s">
        <v>533</v>
      </c>
      <c r="AD462" s="217">
        <v>1.476477</v>
      </c>
      <c r="AE462" s="217">
        <v>149</v>
      </c>
      <c r="AF462" s="217">
        <v>8.6999999999999994E-3</v>
      </c>
      <c r="AG462" s="217">
        <v>-99</v>
      </c>
      <c r="AH462" s="215" t="s">
        <v>224</v>
      </c>
      <c r="AI462" s="215" t="s">
        <v>449</v>
      </c>
      <c r="AJ462" s="215" t="s">
        <v>427</v>
      </c>
      <c r="AK462" s="215" t="s">
        <v>531</v>
      </c>
      <c r="AL462" s="215" t="s">
        <v>457</v>
      </c>
      <c r="AM462" s="217" t="b">
        <v>0</v>
      </c>
      <c r="AN462" s="217" t="b">
        <v>0</v>
      </c>
      <c r="AO462" s="215" t="s">
        <v>428</v>
      </c>
      <c r="AP462" s="215" t="s">
        <v>429</v>
      </c>
      <c r="AQ462" s="217">
        <v>114.22852</v>
      </c>
      <c r="AR462" s="217" t="b">
        <v>0</v>
      </c>
      <c r="AS462" s="215" t="s">
        <v>534</v>
      </c>
      <c r="AU462" s="222" t="s">
        <v>819</v>
      </c>
    </row>
    <row r="463" spans="1:47" s="219" customFormat="1" x14ac:dyDescent="0.25">
      <c r="B463" s="218"/>
      <c r="C463" s="218"/>
      <c r="D463" s="218"/>
      <c r="E463" s="218"/>
      <c r="F463" s="218"/>
      <c r="G463" s="218"/>
      <c r="H463" s="218"/>
      <c r="I463" s="218"/>
      <c r="J463" s="218"/>
      <c r="K463" s="221"/>
      <c r="L463" s="215" t="s">
        <v>626</v>
      </c>
      <c r="M463" s="215" t="s">
        <v>448</v>
      </c>
      <c r="N463" s="215" t="s">
        <v>470</v>
      </c>
      <c r="O463" s="216">
        <v>41419</v>
      </c>
      <c r="P463" s="215" t="s">
        <v>531</v>
      </c>
      <c r="Q463" s="217">
        <v>100</v>
      </c>
      <c r="R463" s="215" t="s">
        <v>445</v>
      </c>
      <c r="S463" s="215" t="s">
        <v>532</v>
      </c>
      <c r="T463" s="215" t="s">
        <v>445</v>
      </c>
      <c r="U463" s="215" t="s">
        <v>446</v>
      </c>
      <c r="V463" s="217" t="b">
        <v>1</v>
      </c>
      <c r="W463" s="217">
        <v>1989</v>
      </c>
      <c r="X463" s="217">
        <v>5</v>
      </c>
      <c r="Y463" s="217">
        <v>2</v>
      </c>
      <c r="Z463" s="217">
        <v>4</v>
      </c>
      <c r="AA463" s="215" t="s">
        <v>447</v>
      </c>
      <c r="AB463" s="215" t="s">
        <v>531</v>
      </c>
      <c r="AC463" s="215" t="s">
        <v>533</v>
      </c>
      <c r="AD463" s="217">
        <v>1.476477</v>
      </c>
      <c r="AE463" s="217">
        <v>152</v>
      </c>
      <c r="AF463" s="217">
        <v>3.2500000000000001E-2</v>
      </c>
      <c r="AG463" s="217">
        <v>-99</v>
      </c>
      <c r="AH463" s="215" t="s">
        <v>224</v>
      </c>
      <c r="AI463" s="215" t="s">
        <v>449</v>
      </c>
      <c r="AJ463" s="215" t="s">
        <v>310</v>
      </c>
      <c r="AK463" s="215" t="s">
        <v>531</v>
      </c>
      <c r="AL463" s="215" t="s">
        <v>386</v>
      </c>
      <c r="AM463" s="217" t="b">
        <v>1</v>
      </c>
      <c r="AN463" s="217" t="b">
        <v>0</v>
      </c>
      <c r="AO463" s="215" t="s">
        <v>311</v>
      </c>
      <c r="AP463" s="215" t="s">
        <v>312</v>
      </c>
      <c r="AQ463" s="217">
        <v>100.20194000000001</v>
      </c>
      <c r="AR463" s="217" t="b">
        <v>0</v>
      </c>
      <c r="AS463" s="215" t="s">
        <v>534</v>
      </c>
      <c r="AU463" s="222" t="s">
        <v>819</v>
      </c>
    </row>
    <row r="464" spans="1:47" s="219" customFormat="1" x14ac:dyDescent="0.25">
      <c r="B464" s="218"/>
      <c r="C464" s="218"/>
      <c r="D464" s="218"/>
      <c r="E464" s="218"/>
      <c r="F464" s="218"/>
      <c r="G464" s="218"/>
      <c r="H464" s="218"/>
      <c r="I464" s="218"/>
      <c r="J464" s="218"/>
      <c r="K464" s="221"/>
      <c r="L464" s="215" t="s">
        <v>626</v>
      </c>
      <c r="M464" s="215" t="s">
        <v>448</v>
      </c>
      <c r="N464" s="215" t="s">
        <v>470</v>
      </c>
      <c r="O464" s="216">
        <v>41419</v>
      </c>
      <c r="P464" s="215" t="s">
        <v>531</v>
      </c>
      <c r="Q464" s="217">
        <v>100</v>
      </c>
      <c r="R464" s="215" t="s">
        <v>445</v>
      </c>
      <c r="S464" s="215" t="s">
        <v>532</v>
      </c>
      <c r="T464" s="215" t="s">
        <v>445</v>
      </c>
      <c r="U464" s="215" t="s">
        <v>446</v>
      </c>
      <c r="V464" s="217" t="b">
        <v>1</v>
      </c>
      <c r="W464" s="217">
        <v>1989</v>
      </c>
      <c r="X464" s="217">
        <v>5</v>
      </c>
      <c r="Y464" s="217">
        <v>2</v>
      </c>
      <c r="Z464" s="217">
        <v>4</v>
      </c>
      <c r="AA464" s="215" t="s">
        <v>447</v>
      </c>
      <c r="AB464" s="215" t="s">
        <v>531</v>
      </c>
      <c r="AC464" s="215" t="s">
        <v>533</v>
      </c>
      <c r="AD464" s="217">
        <v>1.476477</v>
      </c>
      <c r="AE464" s="217">
        <v>194</v>
      </c>
      <c r="AF464" s="217">
        <v>0.15989999999999999</v>
      </c>
      <c r="AG464" s="217">
        <v>-99</v>
      </c>
      <c r="AH464" s="215" t="s">
        <v>224</v>
      </c>
      <c r="AI464" s="215" t="s">
        <v>449</v>
      </c>
      <c r="AJ464" s="215" t="s">
        <v>316</v>
      </c>
      <c r="AK464" s="215" t="s">
        <v>531</v>
      </c>
      <c r="AL464" s="215" t="s">
        <v>388</v>
      </c>
      <c r="AM464" s="217" t="b">
        <v>1</v>
      </c>
      <c r="AN464" s="217" t="b">
        <v>0</v>
      </c>
      <c r="AO464" s="215" t="s">
        <v>317</v>
      </c>
      <c r="AP464" s="215" t="s">
        <v>318</v>
      </c>
      <c r="AQ464" s="217">
        <v>100.20194000000001</v>
      </c>
      <c r="AR464" s="217" t="b">
        <v>0</v>
      </c>
      <c r="AS464" s="215" t="s">
        <v>534</v>
      </c>
      <c r="AU464" s="222" t="s">
        <v>819</v>
      </c>
    </row>
    <row r="465" spans="2:47" s="219" customFormat="1" x14ac:dyDescent="0.25">
      <c r="B465" s="218"/>
      <c r="C465" s="218"/>
      <c r="D465" s="218"/>
      <c r="E465" s="218"/>
      <c r="F465" s="218"/>
      <c r="G465" s="218"/>
      <c r="H465" s="218"/>
      <c r="I465" s="218"/>
      <c r="J465" s="218"/>
      <c r="K465" s="221"/>
      <c r="L465" s="215" t="s">
        <v>626</v>
      </c>
      <c r="M465" s="215" t="s">
        <v>448</v>
      </c>
      <c r="N465" s="215" t="s">
        <v>470</v>
      </c>
      <c r="O465" s="216">
        <v>41419</v>
      </c>
      <c r="P465" s="215" t="s">
        <v>531</v>
      </c>
      <c r="Q465" s="217">
        <v>100</v>
      </c>
      <c r="R465" s="215" t="s">
        <v>445</v>
      </c>
      <c r="S465" s="215" t="s">
        <v>532</v>
      </c>
      <c r="T465" s="215" t="s">
        <v>445</v>
      </c>
      <c r="U465" s="215" t="s">
        <v>446</v>
      </c>
      <c r="V465" s="217" t="b">
        <v>1</v>
      </c>
      <c r="W465" s="217">
        <v>1989</v>
      </c>
      <c r="X465" s="217">
        <v>5</v>
      </c>
      <c r="Y465" s="217">
        <v>2</v>
      </c>
      <c r="Z465" s="217">
        <v>4</v>
      </c>
      <c r="AA465" s="215" t="s">
        <v>447</v>
      </c>
      <c r="AB465" s="215" t="s">
        <v>531</v>
      </c>
      <c r="AC465" s="215" t="s">
        <v>533</v>
      </c>
      <c r="AD465" s="217">
        <v>1.476477</v>
      </c>
      <c r="AE465" s="217">
        <v>199</v>
      </c>
      <c r="AF465" s="217">
        <v>7.1000000000000004E-3</v>
      </c>
      <c r="AG465" s="217">
        <v>-99</v>
      </c>
      <c r="AH465" s="215" t="s">
        <v>224</v>
      </c>
      <c r="AI465" s="215" t="s">
        <v>449</v>
      </c>
      <c r="AJ465" s="215" t="s">
        <v>319</v>
      </c>
      <c r="AK465" s="215" t="s">
        <v>531</v>
      </c>
      <c r="AL465" s="215" t="s">
        <v>389</v>
      </c>
      <c r="AM465" s="217" t="b">
        <v>1</v>
      </c>
      <c r="AN465" s="217" t="b">
        <v>0</v>
      </c>
      <c r="AO465" s="215" t="s">
        <v>320</v>
      </c>
      <c r="AP465" s="215" t="s">
        <v>321</v>
      </c>
      <c r="AQ465" s="217">
        <v>86.175359999999998</v>
      </c>
      <c r="AR465" s="217" t="b">
        <v>0</v>
      </c>
      <c r="AS465" s="215" t="s">
        <v>534</v>
      </c>
      <c r="AU465" s="222" t="s">
        <v>819</v>
      </c>
    </row>
    <row r="466" spans="2:47" s="219" customFormat="1" x14ac:dyDescent="0.25">
      <c r="B466" s="218"/>
      <c r="C466" s="218"/>
      <c r="D466" s="218"/>
      <c r="E466" s="218"/>
      <c r="F466" s="218"/>
      <c r="G466" s="218"/>
      <c r="H466" s="218"/>
      <c r="I466" s="218"/>
      <c r="J466" s="218"/>
      <c r="K466" s="221"/>
      <c r="L466" s="215" t="s">
        <v>626</v>
      </c>
      <c r="M466" s="215" t="s">
        <v>448</v>
      </c>
      <c r="N466" s="215" t="s">
        <v>470</v>
      </c>
      <c r="O466" s="216">
        <v>41419</v>
      </c>
      <c r="P466" s="215" t="s">
        <v>531</v>
      </c>
      <c r="Q466" s="217">
        <v>100</v>
      </c>
      <c r="R466" s="215" t="s">
        <v>445</v>
      </c>
      <c r="S466" s="215" t="s">
        <v>532</v>
      </c>
      <c r="T466" s="215" t="s">
        <v>445</v>
      </c>
      <c r="U466" s="215" t="s">
        <v>446</v>
      </c>
      <c r="V466" s="217" t="b">
        <v>1</v>
      </c>
      <c r="W466" s="217">
        <v>1989</v>
      </c>
      <c r="X466" s="217">
        <v>5</v>
      </c>
      <c r="Y466" s="217">
        <v>2</v>
      </c>
      <c r="Z466" s="217">
        <v>4</v>
      </c>
      <c r="AA466" s="215" t="s">
        <v>447</v>
      </c>
      <c r="AB466" s="215" t="s">
        <v>531</v>
      </c>
      <c r="AC466" s="215" t="s">
        <v>533</v>
      </c>
      <c r="AD466" s="217">
        <v>1.476477</v>
      </c>
      <c r="AE466" s="217">
        <v>245</v>
      </c>
      <c r="AF466" s="217">
        <v>0.23710000000000001</v>
      </c>
      <c r="AG466" s="217">
        <v>-99</v>
      </c>
      <c r="AH466" s="215" t="s">
        <v>224</v>
      </c>
      <c r="AI466" s="215" t="s">
        <v>449</v>
      </c>
      <c r="AJ466" s="215" t="s">
        <v>325</v>
      </c>
      <c r="AK466" s="215" t="s">
        <v>531</v>
      </c>
      <c r="AL466" s="215" t="s">
        <v>390</v>
      </c>
      <c r="AM466" s="217" t="b">
        <v>1</v>
      </c>
      <c r="AN466" s="217" t="b">
        <v>0</v>
      </c>
      <c r="AO466" s="215" t="s">
        <v>326</v>
      </c>
      <c r="AP466" s="215" t="s">
        <v>327</v>
      </c>
      <c r="AQ466" s="217">
        <v>100.20194000000001</v>
      </c>
      <c r="AR466" s="217" t="b">
        <v>0</v>
      </c>
      <c r="AS466" s="215" t="s">
        <v>534</v>
      </c>
      <c r="AU466" s="222" t="s">
        <v>819</v>
      </c>
    </row>
    <row r="467" spans="2:47" s="219" customFormat="1" x14ac:dyDescent="0.25">
      <c r="B467" s="218"/>
      <c r="C467" s="218"/>
      <c r="D467" s="218"/>
      <c r="E467" s="218"/>
      <c r="F467" s="218"/>
      <c r="G467" s="218"/>
      <c r="H467" s="218"/>
      <c r="I467" s="218"/>
      <c r="J467" s="218"/>
      <c r="K467" s="221"/>
      <c r="L467" s="215" t="s">
        <v>626</v>
      </c>
      <c r="M467" s="215" t="s">
        <v>448</v>
      </c>
      <c r="N467" s="215" t="s">
        <v>470</v>
      </c>
      <c r="O467" s="216">
        <v>41419</v>
      </c>
      <c r="P467" s="215" t="s">
        <v>531</v>
      </c>
      <c r="Q467" s="217">
        <v>100</v>
      </c>
      <c r="R467" s="215" t="s">
        <v>445</v>
      </c>
      <c r="S467" s="215" t="s">
        <v>532</v>
      </c>
      <c r="T467" s="215" t="s">
        <v>445</v>
      </c>
      <c r="U467" s="215" t="s">
        <v>446</v>
      </c>
      <c r="V467" s="217" t="b">
        <v>1</v>
      </c>
      <c r="W467" s="217">
        <v>1989</v>
      </c>
      <c r="X467" s="217">
        <v>5</v>
      </c>
      <c r="Y467" s="217">
        <v>2</v>
      </c>
      <c r="Z467" s="217">
        <v>4</v>
      </c>
      <c r="AA467" s="215" t="s">
        <v>447</v>
      </c>
      <c r="AB467" s="215" t="s">
        <v>531</v>
      </c>
      <c r="AC467" s="215" t="s">
        <v>533</v>
      </c>
      <c r="AD467" s="217">
        <v>1.476477</v>
      </c>
      <c r="AE467" s="217">
        <v>248</v>
      </c>
      <c r="AF467" s="217">
        <v>0.8659</v>
      </c>
      <c r="AG467" s="217">
        <v>-99</v>
      </c>
      <c r="AH467" s="215" t="s">
        <v>224</v>
      </c>
      <c r="AI467" s="215" t="s">
        <v>449</v>
      </c>
      <c r="AJ467" s="215" t="s">
        <v>328</v>
      </c>
      <c r="AK467" s="215" t="s">
        <v>531</v>
      </c>
      <c r="AL467" s="215" t="s">
        <v>391</v>
      </c>
      <c r="AM467" s="217" t="b">
        <v>1</v>
      </c>
      <c r="AN467" s="217" t="b">
        <v>0</v>
      </c>
      <c r="AO467" s="215" t="s">
        <v>329</v>
      </c>
      <c r="AP467" s="215" t="s">
        <v>330</v>
      </c>
      <c r="AQ467" s="217">
        <v>86.175359999999998</v>
      </c>
      <c r="AR467" s="217" t="b">
        <v>0</v>
      </c>
      <c r="AS467" s="215" t="s">
        <v>534</v>
      </c>
      <c r="AU467" s="222" t="s">
        <v>819</v>
      </c>
    </row>
    <row r="468" spans="2:47" s="219" customFormat="1" x14ac:dyDescent="0.25">
      <c r="B468" s="218"/>
      <c r="C468" s="218"/>
      <c r="D468" s="218"/>
      <c r="E468" s="218"/>
      <c r="F468" s="218"/>
      <c r="G468" s="218"/>
      <c r="H468" s="218"/>
      <c r="I468" s="218"/>
      <c r="J468" s="218"/>
      <c r="K468" s="221"/>
      <c r="L468" s="215" t="s">
        <v>626</v>
      </c>
      <c r="M468" s="215" t="s">
        <v>448</v>
      </c>
      <c r="N468" s="215" t="s">
        <v>470</v>
      </c>
      <c r="O468" s="216">
        <v>41419</v>
      </c>
      <c r="P468" s="215" t="s">
        <v>531</v>
      </c>
      <c r="Q468" s="217">
        <v>100</v>
      </c>
      <c r="R468" s="215" t="s">
        <v>445</v>
      </c>
      <c r="S468" s="215" t="s">
        <v>532</v>
      </c>
      <c r="T468" s="215" t="s">
        <v>445</v>
      </c>
      <c r="U468" s="215" t="s">
        <v>446</v>
      </c>
      <c r="V468" s="217" t="b">
        <v>1</v>
      </c>
      <c r="W468" s="217">
        <v>1989</v>
      </c>
      <c r="X468" s="217">
        <v>5</v>
      </c>
      <c r="Y468" s="217">
        <v>2</v>
      </c>
      <c r="Z468" s="217">
        <v>4</v>
      </c>
      <c r="AA468" s="215" t="s">
        <v>447</v>
      </c>
      <c r="AB468" s="215" t="s">
        <v>531</v>
      </c>
      <c r="AC468" s="215" t="s">
        <v>533</v>
      </c>
      <c r="AD468" s="217">
        <v>1.476477</v>
      </c>
      <c r="AE468" s="217">
        <v>302</v>
      </c>
      <c r="AF468" s="217">
        <v>0.31280000000000002</v>
      </c>
      <c r="AG468" s="217">
        <v>-99</v>
      </c>
      <c r="AH468" s="215" t="s">
        <v>224</v>
      </c>
      <c r="AI468" s="215" t="s">
        <v>449</v>
      </c>
      <c r="AJ468" s="215" t="s">
        <v>262</v>
      </c>
      <c r="AK468" s="215" t="s">
        <v>531</v>
      </c>
      <c r="AL468" s="215" t="s">
        <v>373</v>
      </c>
      <c r="AM468" s="217" t="b">
        <v>1</v>
      </c>
      <c r="AN468" s="217" t="b">
        <v>1</v>
      </c>
      <c r="AO468" s="215" t="s">
        <v>263</v>
      </c>
      <c r="AP468" s="215" t="s">
        <v>264</v>
      </c>
      <c r="AQ468" s="217">
        <v>78.111840000000001</v>
      </c>
      <c r="AR468" s="217" t="b">
        <v>0</v>
      </c>
      <c r="AS468" s="215" t="s">
        <v>534</v>
      </c>
      <c r="AU468" s="222" t="s">
        <v>819</v>
      </c>
    </row>
    <row r="469" spans="2:47" s="219" customFormat="1" x14ac:dyDescent="0.25">
      <c r="B469" s="218"/>
      <c r="C469" s="218"/>
      <c r="D469" s="218"/>
      <c r="E469" s="218"/>
      <c r="F469" s="218"/>
      <c r="G469" s="218"/>
      <c r="H469" s="218"/>
      <c r="I469" s="218"/>
      <c r="J469" s="218"/>
      <c r="K469" s="221"/>
      <c r="L469" s="215" t="s">
        <v>626</v>
      </c>
      <c r="M469" s="215" t="s">
        <v>448</v>
      </c>
      <c r="N469" s="215" t="s">
        <v>470</v>
      </c>
      <c r="O469" s="216">
        <v>41419</v>
      </c>
      <c r="P469" s="215" t="s">
        <v>531</v>
      </c>
      <c r="Q469" s="217">
        <v>100</v>
      </c>
      <c r="R469" s="215" t="s">
        <v>445</v>
      </c>
      <c r="S469" s="215" t="s">
        <v>532</v>
      </c>
      <c r="T469" s="215" t="s">
        <v>445</v>
      </c>
      <c r="U469" s="215" t="s">
        <v>446</v>
      </c>
      <c r="V469" s="217" t="b">
        <v>1</v>
      </c>
      <c r="W469" s="217">
        <v>1989</v>
      </c>
      <c r="X469" s="217">
        <v>5</v>
      </c>
      <c r="Y469" s="217">
        <v>2</v>
      </c>
      <c r="Z469" s="217">
        <v>4</v>
      </c>
      <c r="AA469" s="215" t="s">
        <v>447</v>
      </c>
      <c r="AB469" s="215" t="s">
        <v>531</v>
      </c>
      <c r="AC469" s="215" t="s">
        <v>533</v>
      </c>
      <c r="AD469" s="217">
        <v>1.476477</v>
      </c>
      <c r="AE469" s="217">
        <v>438</v>
      </c>
      <c r="AF469" s="217">
        <v>7.5007999999999999</v>
      </c>
      <c r="AG469" s="217">
        <v>-99</v>
      </c>
      <c r="AH469" s="215" t="s">
        <v>224</v>
      </c>
      <c r="AI469" s="215" t="s">
        <v>449</v>
      </c>
      <c r="AJ469" s="215" t="s">
        <v>265</v>
      </c>
      <c r="AK469" s="215" t="s">
        <v>531</v>
      </c>
      <c r="AL469" s="215" t="s">
        <v>374</v>
      </c>
      <c r="AM469" s="217" t="b">
        <v>1</v>
      </c>
      <c r="AN469" s="217" t="b">
        <v>0</v>
      </c>
      <c r="AO469" s="215" t="s">
        <v>266</v>
      </c>
      <c r="AP469" s="215" t="s">
        <v>267</v>
      </c>
      <c r="AQ469" s="217">
        <v>30.069040000000005</v>
      </c>
      <c r="AR469" s="217" t="b">
        <v>1</v>
      </c>
      <c r="AS469" s="215" t="s">
        <v>534</v>
      </c>
      <c r="AU469" s="222" t="s">
        <v>819</v>
      </c>
    </row>
    <row r="470" spans="2:47" s="219" customFormat="1" x14ac:dyDescent="0.25">
      <c r="J470" s="223"/>
      <c r="K470" s="222"/>
      <c r="L470" s="215" t="s">
        <v>626</v>
      </c>
      <c r="M470" s="215" t="s">
        <v>448</v>
      </c>
      <c r="N470" s="215" t="s">
        <v>470</v>
      </c>
      <c r="O470" s="216">
        <v>41419</v>
      </c>
      <c r="P470" s="215" t="s">
        <v>531</v>
      </c>
      <c r="Q470" s="217">
        <v>100</v>
      </c>
      <c r="R470" s="215" t="s">
        <v>445</v>
      </c>
      <c r="S470" s="215" t="s">
        <v>532</v>
      </c>
      <c r="T470" s="215" t="s">
        <v>445</v>
      </c>
      <c r="U470" s="215" t="s">
        <v>446</v>
      </c>
      <c r="V470" s="217" t="b">
        <v>1</v>
      </c>
      <c r="W470" s="217">
        <v>1989</v>
      </c>
      <c r="X470" s="217">
        <v>5</v>
      </c>
      <c r="Y470" s="217">
        <v>2</v>
      </c>
      <c r="Z470" s="217">
        <v>4</v>
      </c>
      <c r="AA470" s="215" t="s">
        <v>447</v>
      </c>
      <c r="AB470" s="215" t="s">
        <v>531</v>
      </c>
      <c r="AC470" s="215" t="s">
        <v>533</v>
      </c>
      <c r="AD470" s="217">
        <v>1.476477</v>
      </c>
      <c r="AE470" s="217">
        <v>449</v>
      </c>
      <c r="AF470" s="217">
        <v>9.7600000000000006E-2</v>
      </c>
      <c r="AG470" s="217">
        <v>-99</v>
      </c>
      <c r="AH470" s="215" t="s">
        <v>224</v>
      </c>
      <c r="AI470" s="215" t="s">
        <v>449</v>
      </c>
      <c r="AJ470" s="215" t="s">
        <v>337</v>
      </c>
      <c r="AK470" s="215" t="s">
        <v>531</v>
      </c>
      <c r="AL470" s="215" t="s">
        <v>394</v>
      </c>
      <c r="AM470" s="217" t="b">
        <v>1</v>
      </c>
      <c r="AN470" s="217" t="b">
        <v>1</v>
      </c>
      <c r="AO470" s="215" t="s">
        <v>338</v>
      </c>
      <c r="AP470" s="215" t="s">
        <v>339</v>
      </c>
      <c r="AQ470" s="217">
        <v>106.16500000000001</v>
      </c>
      <c r="AR470" s="217" t="b">
        <v>0</v>
      </c>
      <c r="AS470" s="215" t="s">
        <v>534</v>
      </c>
      <c r="AU470" s="222" t="s">
        <v>819</v>
      </c>
    </row>
    <row r="471" spans="2:47" s="219" customFormat="1" x14ac:dyDescent="0.25">
      <c r="J471" s="223"/>
      <c r="K471" s="222"/>
      <c r="L471" s="215" t="s">
        <v>626</v>
      </c>
      <c r="M471" s="215" t="s">
        <v>448</v>
      </c>
      <c r="N471" s="215" t="s">
        <v>470</v>
      </c>
      <c r="O471" s="216">
        <v>41419</v>
      </c>
      <c r="P471" s="215" t="s">
        <v>531</v>
      </c>
      <c r="Q471" s="217">
        <v>100</v>
      </c>
      <c r="R471" s="215" t="s">
        <v>445</v>
      </c>
      <c r="S471" s="215" t="s">
        <v>532</v>
      </c>
      <c r="T471" s="215" t="s">
        <v>445</v>
      </c>
      <c r="U471" s="215" t="s">
        <v>446</v>
      </c>
      <c r="V471" s="217" t="b">
        <v>1</v>
      </c>
      <c r="W471" s="217">
        <v>1989</v>
      </c>
      <c r="X471" s="217">
        <v>5</v>
      </c>
      <c r="Y471" s="217">
        <v>2</v>
      </c>
      <c r="Z471" s="217">
        <v>4</v>
      </c>
      <c r="AA471" s="215" t="s">
        <v>447</v>
      </c>
      <c r="AB471" s="215" t="s">
        <v>531</v>
      </c>
      <c r="AC471" s="215" t="s">
        <v>533</v>
      </c>
      <c r="AD471" s="217">
        <v>1.476477</v>
      </c>
      <c r="AE471" s="217">
        <v>491</v>
      </c>
      <c r="AF471" s="217">
        <v>7.6460999999999997</v>
      </c>
      <c r="AG471" s="217">
        <v>-99</v>
      </c>
      <c r="AH471" s="215" t="s">
        <v>224</v>
      </c>
      <c r="AI471" s="215" t="s">
        <v>449</v>
      </c>
      <c r="AJ471" s="215" t="s">
        <v>268</v>
      </c>
      <c r="AK471" s="215" t="s">
        <v>531</v>
      </c>
      <c r="AL471" s="215" t="s">
        <v>375</v>
      </c>
      <c r="AM471" s="217" t="b">
        <v>1</v>
      </c>
      <c r="AN471" s="217" t="b">
        <v>0</v>
      </c>
      <c r="AO471" s="215" t="s">
        <v>269</v>
      </c>
      <c r="AP471" s="215" t="s">
        <v>270</v>
      </c>
      <c r="AQ471" s="217">
        <v>58.122199999999992</v>
      </c>
      <c r="AR471" s="217" t="b">
        <v>0</v>
      </c>
      <c r="AS471" s="215" t="s">
        <v>534</v>
      </c>
      <c r="AU471" s="222" t="s">
        <v>819</v>
      </c>
    </row>
    <row r="472" spans="2:47" s="219" customFormat="1" x14ac:dyDescent="0.25">
      <c r="J472" s="223"/>
      <c r="K472" s="222"/>
      <c r="L472" s="215" t="s">
        <v>626</v>
      </c>
      <c r="M472" s="215" t="s">
        <v>448</v>
      </c>
      <c r="N472" s="215" t="s">
        <v>470</v>
      </c>
      <c r="O472" s="216">
        <v>41419</v>
      </c>
      <c r="P472" s="215" t="s">
        <v>531</v>
      </c>
      <c r="Q472" s="217">
        <v>100</v>
      </c>
      <c r="R472" s="215" t="s">
        <v>445</v>
      </c>
      <c r="S472" s="215" t="s">
        <v>532</v>
      </c>
      <c r="T472" s="215" t="s">
        <v>445</v>
      </c>
      <c r="U472" s="215" t="s">
        <v>446</v>
      </c>
      <c r="V472" s="217" t="b">
        <v>1</v>
      </c>
      <c r="W472" s="217">
        <v>1989</v>
      </c>
      <c r="X472" s="217">
        <v>5</v>
      </c>
      <c r="Y472" s="217">
        <v>2</v>
      </c>
      <c r="Z472" s="217">
        <v>4</v>
      </c>
      <c r="AA472" s="215" t="s">
        <v>447</v>
      </c>
      <c r="AB472" s="215" t="s">
        <v>531</v>
      </c>
      <c r="AC472" s="215" t="s">
        <v>533</v>
      </c>
      <c r="AD472" s="217">
        <v>1.476477</v>
      </c>
      <c r="AE472" s="217">
        <v>508</v>
      </c>
      <c r="AF472" s="217">
        <v>5.7925000000000004</v>
      </c>
      <c r="AG472" s="217">
        <v>-99</v>
      </c>
      <c r="AH472" s="215" t="s">
        <v>224</v>
      </c>
      <c r="AI472" s="215" t="s">
        <v>449</v>
      </c>
      <c r="AJ472" s="215" t="s">
        <v>342</v>
      </c>
      <c r="AK472" s="215" t="s">
        <v>531</v>
      </c>
      <c r="AL472" s="215" t="s">
        <v>395</v>
      </c>
      <c r="AM472" s="217" t="b">
        <v>1</v>
      </c>
      <c r="AN472" s="217" t="b">
        <v>0</v>
      </c>
      <c r="AO472" s="215" t="s">
        <v>343</v>
      </c>
      <c r="AP472" s="215" t="s">
        <v>344</v>
      </c>
      <c r="AQ472" s="217">
        <v>72.148780000000002</v>
      </c>
      <c r="AR472" s="217" t="b">
        <v>0</v>
      </c>
      <c r="AS472" s="215" t="s">
        <v>534</v>
      </c>
      <c r="AU472" s="222" t="s">
        <v>819</v>
      </c>
    </row>
    <row r="473" spans="2:47" s="219" customFormat="1" x14ac:dyDescent="0.25">
      <c r="J473" s="223"/>
      <c r="K473" s="222"/>
      <c r="L473" s="215" t="s">
        <v>626</v>
      </c>
      <c r="M473" s="215" t="s">
        <v>448</v>
      </c>
      <c r="N473" s="215" t="s">
        <v>470</v>
      </c>
      <c r="O473" s="216">
        <v>41419</v>
      </c>
      <c r="P473" s="215" t="s">
        <v>531</v>
      </c>
      <c r="Q473" s="217">
        <v>100</v>
      </c>
      <c r="R473" s="215" t="s">
        <v>445</v>
      </c>
      <c r="S473" s="215" t="s">
        <v>532</v>
      </c>
      <c r="T473" s="215" t="s">
        <v>445</v>
      </c>
      <c r="U473" s="215" t="s">
        <v>446</v>
      </c>
      <c r="V473" s="217" t="b">
        <v>1</v>
      </c>
      <c r="W473" s="217">
        <v>1989</v>
      </c>
      <c r="X473" s="217">
        <v>5</v>
      </c>
      <c r="Y473" s="217">
        <v>2</v>
      </c>
      <c r="Z473" s="217">
        <v>4</v>
      </c>
      <c r="AA473" s="215" t="s">
        <v>447</v>
      </c>
      <c r="AB473" s="215" t="s">
        <v>531</v>
      </c>
      <c r="AC473" s="215" t="s">
        <v>533</v>
      </c>
      <c r="AD473" s="217">
        <v>1.476477</v>
      </c>
      <c r="AE473" s="217">
        <v>529</v>
      </c>
      <c r="AF473" s="217">
        <v>24.770399999999999</v>
      </c>
      <c r="AG473" s="217">
        <v>-99</v>
      </c>
      <c r="AH473" s="215" t="s">
        <v>224</v>
      </c>
      <c r="AI473" s="215" t="s">
        <v>449</v>
      </c>
      <c r="AJ473" s="215" t="s">
        <v>271</v>
      </c>
      <c r="AK473" s="215" t="s">
        <v>531</v>
      </c>
      <c r="AL473" s="215" t="s">
        <v>376</v>
      </c>
      <c r="AM473" s="217" t="b">
        <v>0</v>
      </c>
      <c r="AN473" s="217" t="b">
        <v>0</v>
      </c>
      <c r="AO473" s="215" t="s">
        <v>272</v>
      </c>
      <c r="AP473" s="215" t="s">
        <v>531</v>
      </c>
      <c r="AQ473" s="217">
        <v>16.042459999999998</v>
      </c>
      <c r="AR473" s="217" t="b">
        <v>1</v>
      </c>
      <c r="AS473" s="215" t="s">
        <v>534</v>
      </c>
      <c r="AU473" s="222" t="s">
        <v>819</v>
      </c>
    </row>
    <row r="474" spans="2:47" s="219" customFormat="1" x14ac:dyDescent="0.25">
      <c r="J474" s="223"/>
      <c r="K474" s="222"/>
      <c r="L474" s="215" t="s">
        <v>626</v>
      </c>
      <c r="M474" s="215" t="s">
        <v>448</v>
      </c>
      <c r="N474" s="215" t="s">
        <v>470</v>
      </c>
      <c r="O474" s="216">
        <v>41419</v>
      </c>
      <c r="P474" s="215" t="s">
        <v>531</v>
      </c>
      <c r="Q474" s="217">
        <v>100</v>
      </c>
      <c r="R474" s="215" t="s">
        <v>445</v>
      </c>
      <c r="S474" s="215" t="s">
        <v>532</v>
      </c>
      <c r="T474" s="215" t="s">
        <v>445</v>
      </c>
      <c r="U474" s="215" t="s">
        <v>446</v>
      </c>
      <c r="V474" s="217" t="b">
        <v>1</v>
      </c>
      <c r="W474" s="217">
        <v>1989</v>
      </c>
      <c r="X474" s="217">
        <v>5</v>
      </c>
      <c r="Y474" s="217">
        <v>2</v>
      </c>
      <c r="Z474" s="217">
        <v>4</v>
      </c>
      <c r="AA474" s="215" t="s">
        <v>447</v>
      </c>
      <c r="AB474" s="215" t="s">
        <v>531</v>
      </c>
      <c r="AC474" s="215" t="s">
        <v>533</v>
      </c>
      <c r="AD474" s="217">
        <v>1.476477</v>
      </c>
      <c r="AE474" s="217">
        <v>550</v>
      </c>
      <c r="AF474" s="217">
        <v>0.22700000000000001</v>
      </c>
      <c r="AG474" s="217">
        <v>-99</v>
      </c>
      <c r="AH474" s="215" t="s">
        <v>224</v>
      </c>
      <c r="AI474" s="215" t="s">
        <v>449</v>
      </c>
      <c r="AJ474" s="215" t="s">
        <v>348</v>
      </c>
      <c r="AK474" s="215" t="s">
        <v>531</v>
      </c>
      <c r="AL474" s="215" t="s">
        <v>396</v>
      </c>
      <c r="AM474" s="217" t="b">
        <v>1</v>
      </c>
      <c r="AN474" s="217" t="b">
        <v>0</v>
      </c>
      <c r="AO474" s="215" t="s">
        <v>349</v>
      </c>
      <c r="AP474" s="215" t="s">
        <v>350</v>
      </c>
      <c r="AQ474" s="217">
        <v>98.186059999999998</v>
      </c>
      <c r="AR474" s="217" t="b">
        <v>0</v>
      </c>
      <c r="AS474" s="215" t="s">
        <v>534</v>
      </c>
      <c r="AU474" s="222" t="s">
        <v>819</v>
      </c>
    </row>
    <row r="475" spans="2:47" s="219" customFormat="1" x14ac:dyDescent="0.25">
      <c r="J475" s="223"/>
      <c r="K475" s="222"/>
      <c r="L475" s="215" t="s">
        <v>626</v>
      </c>
      <c r="M475" s="215" t="s">
        <v>448</v>
      </c>
      <c r="N475" s="215" t="s">
        <v>470</v>
      </c>
      <c r="O475" s="216">
        <v>41419</v>
      </c>
      <c r="P475" s="215" t="s">
        <v>531</v>
      </c>
      <c r="Q475" s="217">
        <v>100</v>
      </c>
      <c r="R475" s="215" t="s">
        <v>445</v>
      </c>
      <c r="S475" s="215" t="s">
        <v>532</v>
      </c>
      <c r="T475" s="215" t="s">
        <v>445</v>
      </c>
      <c r="U475" s="215" t="s">
        <v>446</v>
      </c>
      <c r="V475" s="217" t="b">
        <v>1</v>
      </c>
      <c r="W475" s="217">
        <v>1989</v>
      </c>
      <c r="X475" s="217">
        <v>5</v>
      </c>
      <c r="Y475" s="217">
        <v>2</v>
      </c>
      <c r="Z475" s="217">
        <v>4</v>
      </c>
      <c r="AA475" s="215" t="s">
        <v>447</v>
      </c>
      <c r="AB475" s="215" t="s">
        <v>531</v>
      </c>
      <c r="AC475" s="215" t="s">
        <v>533</v>
      </c>
      <c r="AD475" s="217">
        <v>1.476477</v>
      </c>
      <c r="AE475" s="217">
        <v>551</v>
      </c>
      <c r="AF475" s="217">
        <v>1.2884</v>
      </c>
      <c r="AG475" s="217">
        <v>-99</v>
      </c>
      <c r="AH475" s="215" t="s">
        <v>224</v>
      </c>
      <c r="AI475" s="215" t="s">
        <v>449</v>
      </c>
      <c r="AJ475" s="215" t="s">
        <v>351</v>
      </c>
      <c r="AK475" s="215" t="s">
        <v>531</v>
      </c>
      <c r="AL475" s="215" t="s">
        <v>397</v>
      </c>
      <c r="AM475" s="217" t="b">
        <v>1</v>
      </c>
      <c r="AN475" s="217" t="b">
        <v>0</v>
      </c>
      <c r="AO475" s="215" t="s">
        <v>352</v>
      </c>
      <c r="AP475" s="215" t="s">
        <v>353</v>
      </c>
      <c r="AQ475" s="217">
        <v>84.159480000000002</v>
      </c>
      <c r="AR475" s="217" t="b">
        <v>0</v>
      </c>
      <c r="AS475" s="215" t="s">
        <v>534</v>
      </c>
      <c r="AU475" s="222" t="s">
        <v>819</v>
      </c>
    </row>
    <row r="476" spans="2:47" s="219" customFormat="1" x14ac:dyDescent="0.25">
      <c r="J476" s="223"/>
      <c r="K476" s="222"/>
      <c r="L476" s="215" t="s">
        <v>626</v>
      </c>
      <c r="M476" s="215" t="s">
        <v>448</v>
      </c>
      <c r="N476" s="215" t="s">
        <v>470</v>
      </c>
      <c r="O476" s="216">
        <v>41419</v>
      </c>
      <c r="P476" s="215" t="s">
        <v>531</v>
      </c>
      <c r="Q476" s="217">
        <v>100</v>
      </c>
      <c r="R476" s="215" t="s">
        <v>445</v>
      </c>
      <c r="S476" s="215" t="s">
        <v>532</v>
      </c>
      <c r="T476" s="215" t="s">
        <v>445</v>
      </c>
      <c r="U476" s="215" t="s">
        <v>446</v>
      </c>
      <c r="V476" s="217" t="b">
        <v>1</v>
      </c>
      <c r="W476" s="217">
        <v>1989</v>
      </c>
      <c r="X476" s="217">
        <v>5</v>
      </c>
      <c r="Y476" s="217">
        <v>2</v>
      </c>
      <c r="Z476" s="217">
        <v>4</v>
      </c>
      <c r="AA476" s="215" t="s">
        <v>447</v>
      </c>
      <c r="AB476" s="215" t="s">
        <v>531</v>
      </c>
      <c r="AC476" s="215" t="s">
        <v>533</v>
      </c>
      <c r="AD476" s="217">
        <v>1.476477</v>
      </c>
      <c r="AE476" s="217">
        <v>592</v>
      </c>
      <c r="AF476" s="217">
        <v>16.189499999999999</v>
      </c>
      <c r="AG476" s="217">
        <v>-99</v>
      </c>
      <c r="AH476" s="215" t="s">
        <v>224</v>
      </c>
      <c r="AI476" s="215" t="s">
        <v>449</v>
      </c>
      <c r="AJ476" s="215" t="s">
        <v>273</v>
      </c>
      <c r="AK476" s="215" t="s">
        <v>531</v>
      </c>
      <c r="AL476" s="215" t="s">
        <v>377</v>
      </c>
      <c r="AM476" s="217" t="b">
        <v>1</v>
      </c>
      <c r="AN476" s="217" t="b">
        <v>0</v>
      </c>
      <c r="AO476" s="215" t="s">
        <v>274</v>
      </c>
      <c r="AP476" s="215" t="s">
        <v>275</v>
      </c>
      <c r="AQ476" s="217">
        <v>58.122199999999992</v>
      </c>
      <c r="AR476" s="217" t="b">
        <v>0</v>
      </c>
      <c r="AS476" s="215" t="s">
        <v>534</v>
      </c>
      <c r="AU476" s="222" t="s">
        <v>819</v>
      </c>
    </row>
    <row r="477" spans="2:47" s="219" customFormat="1" x14ac:dyDescent="0.25">
      <c r="J477" s="223"/>
      <c r="K477" s="222"/>
      <c r="L477" s="215" t="s">
        <v>626</v>
      </c>
      <c r="M477" s="215" t="s">
        <v>448</v>
      </c>
      <c r="N477" s="215" t="s">
        <v>470</v>
      </c>
      <c r="O477" s="216">
        <v>41419</v>
      </c>
      <c r="P477" s="215" t="s">
        <v>531</v>
      </c>
      <c r="Q477" s="217">
        <v>100</v>
      </c>
      <c r="R477" s="215" t="s">
        <v>445</v>
      </c>
      <c r="S477" s="215" t="s">
        <v>532</v>
      </c>
      <c r="T477" s="215" t="s">
        <v>445</v>
      </c>
      <c r="U477" s="215" t="s">
        <v>446</v>
      </c>
      <c r="V477" s="217" t="b">
        <v>1</v>
      </c>
      <c r="W477" s="217">
        <v>1989</v>
      </c>
      <c r="X477" s="217">
        <v>5</v>
      </c>
      <c r="Y477" s="217">
        <v>2</v>
      </c>
      <c r="Z477" s="217">
        <v>4</v>
      </c>
      <c r="AA477" s="215" t="s">
        <v>447</v>
      </c>
      <c r="AB477" s="215" t="s">
        <v>531</v>
      </c>
      <c r="AC477" s="215" t="s">
        <v>533</v>
      </c>
      <c r="AD477" s="217">
        <v>1.476477</v>
      </c>
      <c r="AE477" s="217">
        <v>600</v>
      </c>
      <c r="AF477" s="217">
        <v>0.2606</v>
      </c>
      <c r="AG477" s="217">
        <v>-99</v>
      </c>
      <c r="AH477" s="215" t="s">
        <v>224</v>
      </c>
      <c r="AI477" s="215" t="s">
        <v>449</v>
      </c>
      <c r="AJ477" s="215" t="s">
        <v>276</v>
      </c>
      <c r="AK477" s="215" t="s">
        <v>531</v>
      </c>
      <c r="AL477" s="215" t="s">
        <v>378</v>
      </c>
      <c r="AM477" s="217" t="b">
        <v>1</v>
      </c>
      <c r="AN477" s="217" t="b">
        <v>0</v>
      </c>
      <c r="AO477" s="215" t="s">
        <v>277</v>
      </c>
      <c r="AP477" s="215" t="s">
        <v>278</v>
      </c>
      <c r="AQ477" s="217">
        <v>100.20194000000001</v>
      </c>
      <c r="AR477" s="217" t="b">
        <v>0</v>
      </c>
      <c r="AS477" s="215" t="s">
        <v>534</v>
      </c>
      <c r="AU477" s="222" t="s">
        <v>819</v>
      </c>
    </row>
    <row r="478" spans="2:47" s="219" customFormat="1" x14ac:dyDescent="0.25">
      <c r="J478" s="223"/>
      <c r="K478" s="222"/>
      <c r="L478" s="215" t="s">
        <v>626</v>
      </c>
      <c r="M478" s="215" t="s">
        <v>448</v>
      </c>
      <c r="N478" s="215" t="s">
        <v>470</v>
      </c>
      <c r="O478" s="216">
        <v>41419</v>
      </c>
      <c r="P478" s="215" t="s">
        <v>531</v>
      </c>
      <c r="Q478" s="217">
        <v>100</v>
      </c>
      <c r="R478" s="215" t="s">
        <v>445</v>
      </c>
      <c r="S478" s="215" t="s">
        <v>532</v>
      </c>
      <c r="T478" s="215" t="s">
        <v>445</v>
      </c>
      <c r="U478" s="215" t="s">
        <v>446</v>
      </c>
      <c r="V478" s="217" t="b">
        <v>1</v>
      </c>
      <c r="W478" s="217">
        <v>1989</v>
      </c>
      <c r="X478" s="217">
        <v>5</v>
      </c>
      <c r="Y478" s="217">
        <v>2</v>
      </c>
      <c r="Z478" s="217">
        <v>4</v>
      </c>
      <c r="AA478" s="215" t="s">
        <v>447</v>
      </c>
      <c r="AB478" s="215" t="s">
        <v>531</v>
      </c>
      <c r="AC478" s="215" t="s">
        <v>533</v>
      </c>
      <c r="AD478" s="217">
        <v>1.476477</v>
      </c>
      <c r="AE478" s="217">
        <v>601</v>
      </c>
      <c r="AF478" s="217">
        <v>1.1171</v>
      </c>
      <c r="AG478" s="217">
        <v>-99</v>
      </c>
      <c r="AH478" s="215" t="s">
        <v>224</v>
      </c>
      <c r="AI478" s="215" t="s">
        <v>449</v>
      </c>
      <c r="AJ478" s="215" t="s">
        <v>279</v>
      </c>
      <c r="AK478" s="215" t="s">
        <v>531</v>
      </c>
      <c r="AL478" s="215" t="s">
        <v>379</v>
      </c>
      <c r="AM478" s="217" t="b">
        <v>1</v>
      </c>
      <c r="AN478" s="217" t="b">
        <v>1</v>
      </c>
      <c r="AO478" s="215" t="s">
        <v>280</v>
      </c>
      <c r="AP478" s="215" t="s">
        <v>281</v>
      </c>
      <c r="AQ478" s="217">
        <v>86.175359999999998</v>
      </c>
      <c r="AR478" s="217" t="b">
        <v>0</v>
      </c>
      <c r="AS478" s="215" t="s">
        <v>534</v>
      </c>
      <c r="AU478" s="222" t="s">
        <v>819</v>
      </c>
    </row>
    <row r="479" spans="2:47" s="219" customFormat="1" x14ac:dyDescent="0.25">
      <c r="J479" s="223"/>
      <c r="K479" s="222"/>
      <c r="L479" s="215" t="s">
        <v>626</v>
      </c>
      <c r="M479" s="215" t="s">
        <v>448</v>
      </c>
      <c r="N479" s="215" t="s">
        <v>470</v>
      </c>
      <c r="O479" s="216">
        <v>41419</v>
      </c>
      <c r="P479" s="215" t="s">
        <v>531</v>
      </c>
      <c r="Q479" s="217">
        <v>100</v>
      </c>
      <c r="R479" s="215" t="s">
        <v>445</v>
      </c>
      <c r="S479" s="215" t="s">
        <v>532</v>
      </c>
      <c r="T479" s="215" t="s">
        <v>445</v>
      </c>
      <c r="U479" s="215" t="s">
        <v>446</v>
      </c>
      <c r="V479" s="217" t="b">
        <v>1</v>
      </c>
      <c r="W479" s="217">
        <v>1989</v>
      </c>
      <c r="X479" s="217">
        <v>5</v>
      </c>
      <c r="Y479" s="217">
        <v>2</v>
      </c>
      <c r="Z479" s="217">
        <v>4</v>
      </c>
      <c r="AA479" s="215" t="s">
        <v>447</v>
      </c>
      <c r="AB479" s="215" t="s">
        <v>531</v>
      </c>
      <c r="AC479" s="215" t="s">
        <v>533</v>
      </c>
      <c r="AD479" s="217">
        <v>1.476477</v>
      </c>
      <c r="AE479" s="217">
        <v>603</v>
      </c>
      <c r="AF479" s="217">
        <v>3.8300000000000001E-2</v>
      </c>
      <c r="AG479" s="217">
        <v>-99</v>
      </c>
      <c r="AH479" s="215" t="s">
        <v>224</v>
      </c>
      <c r="AI479" s="215" t="s">
        <v>449</v>
      </c>
      <c r="AJ479" s="215" t="s">
        <v>417</v>
      </c>
      <c r="AK479" s="215" t="s">
        <v>531</v>
      </c>
      <c r="AL479" s="215" t="s">
        <v>453</v>
      </c>
      <c r="AM479" s="217" t="b">
        <v>1</v>
      </c>
      <c r="AN479" s="217" t="b">
        <v>0</v>
      </c>
      <c r="AO479" s="215" t="s">
        <v>418</v>
      </c>
      <c r="AP479" s="215" t="s">
        <v>419</v>
      </c>
      <c r="AQ479" s="217">
        <v>128.2551</v>
      </c>
      <c r="AR479" s="217" t="b">
        <v>0</v>
      </c>
      <c r="AS479" s="215" t="s">
        <v>534</v>
      </c>
      <c r="AU479" s="222" t="s">
        <v>819</v>
      </c>
    </row>
    <row r="480" spans="2:47" s="219" customFormat="1" x14ac:dyDescent="0.25">
      <c r="J480" s="223"/>
      <c r="K480" s="222"/>
      <c r="L480" s="215" t="s">
        <v>626</v>
      </c>
      <c r="M480" s="215" t="s">
        <v>448</v>
      </c>
      <c r="N480" s="215" t="s">
        <v>470</v>
      </c>
      <c r="O480" s="216">
        <v>41419</v>
      </c>
      <c r="P480" s="215" t="s">
        <v>531</v>
      </c>
      <c r="Q480" s="217">
        <v>100</v>
      </c>
      <c r="R480" s="215" t="s">
        <v>445</v>
      </c>
      <c r="S480" s="215" t="s">
        <v>532</v>
      </c>
      <c r="T480" s="215" t="s">
        <v>445</v>
      </c>
      <c r="U480" s="215" t="s">
        <v>446</v>
      </c>
      <c r="V480" s="217" t="b">
        <v>1</v>
      </c>
      <c r="W480" s="217">
        <v>1989</v>
      </c>
      <c r="X480" s="217">
        <v>5</v>
      </c>
      <c r="Y480" s="217">
        <v>2</v>
      </c>
      <c r="Z480" s="217">
        <v>4</v>
      </c>
      <c r="AA480" s="215" t="s">
        <v>447</v>
      </c>
      <c r="AB480" s="215" t="s">
        <v>531</v>
      </c>
      <c r="AC480" s="215" t="s">
        <v>533</v>
      </c>
      <c r="AD480" s="217">
        <v>1.476477</v>
      </c>
      <c r="AE480" s="217">
        <v>604</v>
      </c>
      <c r="AF480" s="217">
        <v>7.9699999999999993E-2</v>
      </c>
      <c r="AG480" s="217">
        <v>-99</v>
      </c>
      <c r="AH480" s="215" t="s">
        <v>224</v>
      </c>
      <c r="AI480" s="215" t="s">
        <v>449</v>
      </c>
      <c r="AJ480" s="215" t="s">
        <v>282</v>
      </c>
      <c r="AK480" s="215" t="s">
        <v>531</v>
      </c>
      <c r="AL480" s="215" t="s">
        <v>380</v>
      </c>
      <c r="AM480" s="217" t="b">
        <v>1</v>
      </c>
      <c r="AN480" s="217" t="b">
        <v>0</v>
      </c>
      <c r="AO480" s="215" t="s">
        <v>283</v>
      </c>
      <c r="AP480" s="215" t="s">
        <v>284</v>
      </c>
      <c r="AQ480" s="217">
        <v>114.22852</v>
      </c>
      <c r="AR480" s="217" t="b">
        <v>0</v>
      </c>
      <c r="AS480" s="215" t="s">
        <v>534</v>
      </c>
      <c r="AU480" s="222" t="s">
        <v>819</v>
      </c>
    </row>
    <row r="481" spans="10:47" s="219" customFormat="1" x14ac:dyDescent="0.25">
      <c r="J481" s="223"/>
      <c r="K481" s="222"/>
      <c r="L481" s="215" t="s">
        <v>626</v>
      </c>
      <c r="M481" s="215" t="s">
        <v>448</v>
      </c>
      <c r="N481" s="215" t="s">
        <v>470</v>
      </c>
      <c r="O481" s="216">
        <v>41419</v>
      </c>
      <c r="P481" s="215" t="s">
        <v>531</v>
      </c>
      <c r="Q481" s="217">
        <v>100</v>
      </c>
      <c r="R481" s="215" t="s">
        <v>445</v>
      </c>
      <c r="S481" s="215" t="s">
        <v>532</v>
      </c>
      <c r="T481" s="215" t="s">
        <v>445</v>
      </c>
      <c r="U481" s="215" t="s">
        <v>446</v>
      </c>
      <c r="V481" s="217" t="b">
        <v>1</v>
      </c>
      <c r="W481" s="217">
        <v>1989</v>
      </c>
      <c r="X481" s="217">
        <v>5</v>
      </c>
      <c r="Y481" s="217">
        <v>2</v>
      </c>
      <c r="Z481" s="217">
        <v>4</v>
      </c>
      <c r="AA481" s="215" t="s">
        <v>447</v>
      </c>
      <c r="AB481" s="215" t="s">
        <v>531</v>
      </c>
      <c r="AC481" s="215" t="s">
        <v>533</v>
      </c>
      <c r="AD481" s="217">
        <v>1.476477</v>
      </c>
      <c r="AE481" s="217">
        <v>605</v>
      </c>
      <c r="AF481" s="217">
        <v>4.6707999999999998</v>
      </c>
      <c r="AG481" s="217">
        <v>-99</v>
      </c>
      <c r="AH481" s="215" t="s">
        <v>224</v>
      </c>
      <c r="AI481" s="215" t="s">
        <v>449</v>
      </c>
      <c r="AJ481" s="215" t="s">
        <v>285</v>
      </c>
      <c r="AK481" s="215" t="s">
        <v>531</v>
      </c>
      <c r="AL481" s="215" t="s">
        <v>381</v>
      </c>
      <c r="AM481" s="217" t="b">
        <v>1</v>
      </c>
      <c r="AN481" s="217" t="b">
        <v>0</v>
      </c>
      <c r="AO481" s="215" t="s">
        <v>286</v>
      </c>
      <c r="AP481" s="215" t="s">
        <v>287</v>
      </c>
      <c r="AQ481" s="217">
        <v>72.148780000000002</v>
      </c>
      <c r="AR481" s="217" t="b">
        <v>0</v>
      </c>
      <c r="AS481" s="215" t="s">
        <v>534</v>
      </c>
      <c r="AU481" s="222" t="s">
        <v>819</v>
      </c>
    </row>
    <row r="482" spans="10:47" s="219" customFormat="1" x14ac:dyDescent="0.25">
      <c r="J482" s="223"/>
      <c r="K482" s="222"/>
      <c r="L482" s="215" t="s">
        <v>626</v>
      </c>
      <c r="M482" s="215" t="s">
        <v>448</v>
      </c>
      <c r="N482" s="215" t="s">
        <v>470</v>
      </c>
      <c r="O482" s="216">
        <v>41419</v>
      </c>
      <c r="P482" s="215" t="s">
        <v>531</v>
      </c>
      <c r="Q482" s="217">
        <v>100</v>
      </c>
      <c r="R482" s="215" t="s">
        <v>445</v>
      </c>
      <c r="S482" s="215" t="s">
        <v>532</v>
      </c>
      <c r="T482" s="215" t="s">
        <v>445</v>
      </c>
      <c r="U482" s="215" t="s">
        <v>446</v>
      </c>
      <c r="V482" s="217" t="b">
        <v>1</v>
      </c>
      <c r="W482" s="217">
        <v>1989</v>
      </c>
      <c r="X482" s="217">
        <v>5</v>
      </c>
      <c r="Y482" s="217">
        <v>2</v>
      </c>
      <c r="Z482" s="217">
        <v>4</v>
      </c>
      <c r="AA482" s="215" t="s">
        <v>447</v>
      </c>
      <c r="AB482" s="215" t="s">
        <v>531</v>
      </c>
      <c r="AC482" s="215" t="s">
        <v>533</v>
      </c>
      <c r="AD482" s="217">
        <v>1.476477</v>
      </c>
      <c r="AE482" s="217">
        <v>608</v>
      </c>
      <c r="AF482" s="217">
        <v>1.7399999999999999E-2</v>
      </c>
      <c r="AG482" s="217">
        <v>-99</v>
      </c>
      <c r="AH482" s="215" t="s">
        <v>224</v>
      </c>
      <c r="AI482" s="215" t="s">
        <v>449</v>
      </c>
      <c r="AJ482" s="215" t="s">
        <v>420</v>
      </c>
      <c r="AK482" s="215" t="s">
        <v>531</v>
      </c>
      <c r="AL482" s="215" t="s">
        <v>454</v>
      </c>
      <c r="AM482" s="217" t="b">
        <v>1</v>
      </c>
      <c r="AN482" s="217" t="b">
        <v>0</v>
      </c>
      <c r="AO482" s="215" t="s">
        <v>421</v>
      </c>
      <c r="AP482" s="215" t="s">
        <v>422</v>
      </c>
      <c r="AQ482" s="217">
        <v>120.19158</v>
      </c>
      <c r="AR482" s="217" t="b">
        <v>0</v>
      </c>
      <c r="AS482" s="215" t="s">
        <v>534</v>
      </c>
      <c r="AU482" s="222" t="s">
        <v>819</v>
      </c>
    </row>
    <row r="483" spans="10:47" s="219" customFormat="1" x14ac:dyDescent="0.25">
      <c r="J483" s="223"/>
      <c r="K483" s="222"/>
      <c r="L483" s="215" t="s">
        <v>626</v>
      </c>
      <c r="M483" s="215" t="s">
        <v>448</v>
      </c>
      <c r="N483" s="215" t="s">
        <v>470</v>
      </c>
      <c r="O483" s="216">
        <v>41419</v>
      </c>
      <c r="P483" s="215" t="s">
        <v>531</v>
      </c>
      <c r="Q483" s="217">
        <v>100</v>
      </c>
      <c r="R483" s="215" t="s">
        <v>445</v>
      </c>
      <c r="S483" s="215" t="s">
        <v>532</v>
      </c>
      <c r="T483" s="215" t="s">
        <v>445</v>
      </c>
      <c r="U483" s="215" t="s">
        <v>446</v>
      </c>
      <c r="V483" s="217" t="b">
        <v>1</v>
      </c>
      <c r="W483" s="217">
        <v>1989</v>
      </c>
      <c r="X483" s="217">
        <v>5</v>
      </c>
      <c r="Y483" s="217">
        <v>2</v>
      </c>
      <c r="Z483" s="217">
        <v>4</v>
      </c>
      <c r="AA483" s="215" t="s">
        <v>447</v>
      </c>
      <c r="AB483" s="215" t="s">
        <v>531</v>
      </c>
      <c r="AC483" s="215" t="s">
        <v>533</v>
      </c>
      <c r="AD483" s="217">
        <v>1.476477</v>
      </c>
      <c r="AE483" s="217">
        <v>620</v>
      </c>
      <c r="AF483" s="217">
        <v>4.6100000000000002E-2</v>
      </c>
      <c r="AG483" s="217">
        <v>-99</v>
      </c>
      <c r="AH483" s="215" t="s">
        <v>224</v>
      </c>
      <c r="AI483" s="215" t="s">
        <v>449</v>
      </c>
      <c r="AJ483" s="215" t="s">
        <v>354</v>
      </c>
      <c r="AK483" s="215" t="s">
        <v>531</v>
      </c>
      <c r="AL483" s="215" t="s">
        <v>398</v>
      </c>
      <c r="AM483" s="217" t="b">
        <v>1</v>
      </c>
      <c r="AN483" s="217" t="b">
        <v>1</v>
      </c>
      <c r="AO483" s="215" t="s">
        <v>355</v>
      </c>
      <c r="AP483" s="215" t="s">
        <v>356</v>
      </c>
      <c r="AQ483" s="217">
        <v>106.16500000000001</v>
      </c>
      <c r="AR483" s="217" t="b">
        <v>0</v>
      </c>
      <c r="AS483" s="215" t="s">
        <v>534</v>
      </c>
      <c r="AU483" s="222" t="s">
        <v>819</v>
      </c>
    </row>
    <row r="484" spans="10:47" s="219" customFormat="1" x14ac:dyDescent="0.25">
      <c r="J484" s="223"/>
      <c r="K484" s="222"/>
      <c r="L484" s="215" t="s">
        <v>626</v>
      </c>
      <c r="M484" s="215" t="s">
        <v>448</v>
      </c>
      <c r="N484" s="215" t="s">
        <v>470</v>
      </c>
      <c r="O484" s="216">
        <v>41419</v>
      </c>
      <c r="P484" s="215" t="s">
        <v>531</v>
      </c>
      <c r="Q484" s="217">
        <v>100</v>
      </c>
      <c r="R484" s="215" t="s">
        <v>445</v>
      </c>
      <c r="S484" s="215" t="s">
        <v>532</v>
      </c>
      <c r="T484" s="215" t="s">
        <v>445</v>
      </c>
      <c r="U484" s="215" t="s">
        <v>446</v>
      </c>
      <c r="V484" s="217" t="b">
        <v>1</v>
      </c>
      <c r="W484" s="217">
        <v>1989</v>
      </c>
      <c r="X484" s="217">
        <v>5</v>
      </c>
      <c r="Y484" s="217">
        <v>2</v>
      </c>
      <c r="Z484" s="217">
        <v>4</v>
      </c>
      <c r="AA484" s="215" t="s">
        <v>447</v>
      </c>
      <c r="AB484" s="215" t="s">
        <v>531</v>
      </c>
      <c r="AC484" s="215" t="s">
        <v>533</v>
      </c>
      <c r="AD484" s="217">
        <v>1.476477</v>
      </c>
      <c r="AE484" s="217">
        <v>648</v>
      </c>
      <c r="AF484" s="217">
        <v>7.8700000000000006E-2</v>
      </c>
      <c r="AG484" s="217">
        <v>-99</v>
      </c>
      <c r="AH484" s="215" t="s">
        <v>224</v>
      </c>
      <c r="AI484" s="215" t="s">
        <v>449</v>
      </c>
      <c r="AJ484" s="215" t="s">
        <v>433</v>
      </c>
      <c r="AK484" s="215" t="s">
        <v>531</v>
      </c>
      <c r="AL484" s="215" t="s">
        <v>459</v>
      </c>
      <c r="AM484" s="217" t="b">
        <v>0</v>
      </c>
      <c r="AN484" s="217" t="b">
        <v>1</v>
      </c>
      <c r="AO484" s="215" t="s">
        <v>434</v>
      </c>
      <c r="AP484" s="215" t="s">
        <v>435</v>
      </c>
      <c r="AQ484" s="217">
        <v>106.16500000000001</v>
      </c>
      <c r="AR484" s="217" t="b">
        <v>0</v>
      </c>
      <c r="AS484" s="215" t="s">
        <v>534</v>
      </c>
      <c r="AU484" s="222" t="s">
        <v>819</v>
      </c>
    </row>
    <row r="485" spans="10:47" s="219" customFormat="1" x14ac:dyDescent="0.25">
      <c r="J485" s="223"/>
      <c r="K485" s="222"/>
      <c r="L485" s="215" t="s">
        <v>626</v>
      </c>
      <c r="M485" s="215" t="s">
        <v>448</v>
      </c>
      <c r="N485" s="215" t="s">
        <v>470</v>
      </c>
      <c r="O485" s="216">
        <v>41419</v>
      </c>
      <c r="P485" s="215" t="s">
        <v>531</v>
      </c>
      <c r="Q485" s="217">
        <v>100</v>
      </c>
      <c r="R485" s="215" t="s">
        <v>445</v>
      </c>
      <c r="S485" s="215" t="s">
        <v>532</v>
      </c>
      <c r="T485" s="215" t="s">
        <v>445</v>
      </c>
      <c r="U485" s="215" t="s">
        <v>446</v>
      </c>
      <c r="V485" s="217" t="b">
        <v>1</v>
      </c>
      <c r="W485" s="217">
        <v>1989</v>
      </c>
      <c r="X485" s="217">
        <v>5</v>
      </c>
      <c r="Y485" s="217">
        <v>2</v>
      </c>
      <c r="Z485" s="217">
        <v>4</v>
      </c>
      <c r="AA485" s="215" t="s">
        <v>447</v>
      </c>
      <c r="AB485" s="215" t="s">
        <v>531</v>
      </c>
      <c r="AC485" s="215" t="s">
        <v>533</v>
      </c>
      <c r="AD485" s="217">
        <v>1.476477</v>
      </c>
      <c r="AE485" s="217">
        <v>671</v>
      </c>
      <c r="AF485" s="217">
        <v>23.1831</v>
      </c>
      <c r="AG485" s="217">
        <v>-99</v>
      </c>
      <c r="AH485" s="215" t="s">
        <v>224</v>
      </c>
      <c r="AI485" s="215" t="s">
        <v>449</v>
      </c>
      <c r="AJ485" s="215" t="s">
        <v>288</v>
      </c>
      <c r="AK485" s="215" t="s">
        <v>531</v>
      </c>
      <c r="AL485" s="215" t="s">
        <v>382</v>
      </c>
      <c r="AM485" s="217" t="b">
        <v>1</v>
      </c>
      <c r="AN485" s="217" t="b">
        <v>0</v>
      </c>
      <c r="AO485" s="215" t="s">
        <v>289</v>
      </c>
      <c r="AP485" s="215" t="s">
        <v>290</v>
      </c>
      <c r="AQ485" s="217">
        <v>44.095619999999997</v>
      </c>
      <c r="AR485" s="217" t="b">
        <v>0</v>
      </c>
      <c r="AS485" s="215" t="s">
        <v>534</v>
      </c>
      <c r="AU485" s="222" t="s">
        <v>819</v>
      </c>
    </row>
    <row r="486" spans="10:47" s="219" customFormat="1" x14ac:dyDescent="0.25">
      <c r="J486" s="223"/>
      <c r="K486" s="222"/>
      <c r="L486" s="215" t="s">
        <v>626</v>
      </c>
      <c r="M486" s="215" t="s">
        <v>448</v>
      </c>
      <c r="N486" s="215" t="s">
        <v>470</v>
      </c>
      <c r="O486" s="216">
        <v>41419</v>
      </c>
      <c r="P486" s="215" t="s">
        <v>531</v>
      </c>
      <c r="Q486" s="217">
        <v>100</v>
      </c>
      <c r="R486" s="215" t="s">
        <v>445</v>
      </c>
      <c r="S486" s="215" t="s">
        <v>532</v>
      </c>
      <c r="T486" s="215" t="s">
        <v>445</v>
      </c>
      <c r="U486" s="215" t="s">
        <v>446</v>
      </c>
      <c r="V486" s="217" t="b">
        <v>1</v>
      </c>
      <c r="W486" s="217">
        <v>1989</v>
      </c>
      <c r="X486" s="217">
        <v>5</v>
      </c>
      <c r="Y486" s="217">
        <v>2</v>
      </c>
      <c r="Z486" s="217">
        <v>4</v>
      </c>
      <c r="AA486" s="215" t="s">
        <v>447</v>
      </c>
      <c r="AB486" s="215" t="s">
        <v>531</v>
      </c>
      <c r="AC486" s="215" t="s">
        <v>533</v>
      </c>
      <c r="AD486" s="217">
        <v>1.476477</v>
      </c>
      <c r="AE486" s="217">
        <v>717</v>
      </c>
      <c r="AF486" s="217">
        <v>0.2009</v>
      </c>
      <c r="AG486" s="217">
        <v>-99</v>
      </c>
      <c r="AH486" s="215" t="s">
        <v>224</v>
      </c>
      <c r="AI486" s="215" t="s">
        <v>449</v>
      </c>
      <c r="AJ486" s="215" t="s">
        <v>294</v>
      </c>
      <c r="AK486" s="215" t="s">
        <v>531</v>
      </c>
      <c r="AL486" s="215" t="s">
        <v>383</v>
      </c>
      <c r="AM486" s="217" t="b">
        <v>1</v>
      </c>
      <c r="AN486" s="217" t="b">
        <v>1</v>
      </c>
      <c r="AO486" s="215" t="s">
        <v>295</v>
      </c>
      <c r="AP486" s="215" t="s">
        <v>296</v>
      </c>
      <c r="AQ486" s="217">
        <v>92.138419999999996</v>
      </c>
      <c r="AR486" s="217" t="b">
        <v>0</v>
      </c>
      <c r="AS486" s="215" t="s">
        <v>534</v>
      </c>
      <c r="AU486" s="222" t="s">
        <v>819</v>
      </c>
    </row>
    <row r="487" spans="10:47" s="219" customFormat="1" x14ac:dyDescent="0.25">
      <c r="J487" s="223"/>
      <c r="K487" s="222"/>
      <c r="L487" s="215" t="s">
        <v>626</v>
      </c>
      <c r="M487" s="215" t="s">
        <v>448</v>
      </c>
      <c r="N487" s="215" t="s">
        <v>470</v>
      </c>
      <c r="O487" s="216">
        <v>41419</v>
      </c>
      <c r="P487" s="215" t="s">
        <v>531</v>
      </c>
      <c r="Q487" s="217">
        <v>100</v>
      </c>
      <c r="R487" s="215" t="s">
        <v>445</v>
      </c>
      <c r="S487" s="215" t="s">
        <v>532</v>
      </c>
      <c r="T487" s="215" t="s">
        <v>445</v>
      </c>
      <c r="U487" s="215" t="s">
        <v>446</v>
      </c>
      <c r="V487" s="217" t="b">
        <v>1</v>
      </c>
      <c r="W487" s="217">
        <v>1989</v>
      </c>
      <c r="X487" s="217">
        <v>5</v>
      </c>
      <c r="Y487" s="217">
        <v>2</v>
      </c>
      <c r="Z487" s="217">
        <v>4</v>
      </c>
      <c r="AA487" s="215" t="s">
        <v>447</v>
      </c>
      <c r="AB487" s="215" t="s">
        <v>531</v>
      </c>
      <c r="AC487" s="215" t="s">
        <v>533</v>
      </c>
      <c r="AD487" s="217">
        <v>1.476477</v>
      </c>
      <c r="AE487" s="217">
        <v>1924</v>
      </c>
      <c r="AF487" s="217">
        <v>5.6800000000000003E-2</v>
      </c>
      <c r="AG487" s="217">
        <v>-99</v>
      </c>
      <c r="AH487" s="215" t="s">
        <v>224</v>
      </c>
      <c r="AI487" s="215" t="s">
        <v>449</v>
      </c>
      <c r="AJ487" s="215" t="s">
        <v>224</v>
      </c>
      <c r="AK487" s="215" t="s">
        <v>531</v>
      </c>
      <c r="AL487" s="215" t="s">
        <v>466</v>
      </c>
      <c r="AM487" s="217" t="b">
        <v>0</v>
      </c>
      <c r="AN487" s="217" t="b">
        <v>0</v>
      </c>
      <c r="AO487" s="215" t="s">
        <v>535</v>
      </c>
      <c r="AP487" s="215" t="s">
        <v>536</v>
      </c>
      <c r="AQ487" s="217">
        <v>142.28167999999999</v>
      </c>
      <c r="AR487" s="217" t="b">
        <v>0</v>
      </c>
      <c r="AS487" s="215" t="s">
        <v>534</v>
      </c>
      <c r="AU487" s="222" t="s">
        <v>819</v>
      </c>
    </row>
    <row r="488" spans="10:47" s="219" customFormat="1" x14ac:dyDescent="0.25">
      <c r="J488" s="223"/>
      <c r="K488" s="222"/>
      <c r="L488" s="215" t="s">
        <v>626</v>
      </c>
      <c r="M488" s="215" t="s">
        <v>448</v>
      </c>
      <c r="N488" s="215" t="s">
        <v>470</v>
      </c>
      <c r="O488" s="216">
        <v>41419</v>
      </c>
      <c r="P488" s="215" t="s">
        <v>531</v>
      </c>
      <c r="Q488" s="217">
        <v>100</v>
      </c>
      <c r="R488" s="215" t="s">
        <v>445</v>
      </c>
      <c r="S488" s="215" t="s">
        <v>532</v>
      </c>
      <c r="T488" s="215" t="s">
        <v>445</v>
      </c>
      <c r="U488" s="215" t="s">
        <v>446</v>
      </c>
      <c r="V488" s="217" t="b">
        <v>1</v>
      </c>
      <c r="W488" s="217">
        <v>1989</v>
      </c>
      <c r="X488" s="217">
        <v>5</v>
      </c>
      <c r="Y488" s="217">
        <v>2</v>
      </c>
      <c r="Z488" s="217">
        <v>4</v>
      </c>
      <c r="AA488" s="215" t="s">
        <v>447</v>
      </c>
      <c r="AB488" s="215" t="s">
        <v>531</v>
      </c>
      <c r="AC488" s="215" t="s">
        <v>533</v>
      </c>
      <c r="AD488" s="217">
        <v>1.476477</v>
      </c>
      <c r="AE488" s="217">
        <v>1976</v>
      </c>
      <c r="AF488" s="217">
        <v>2.46E-2</v>
      </c>
      <c r="AG488" s="217">
        <v>-99</v>
      </c>
      <c r="AH488" s="215" t="s">
        <v>224</v>
      </c>
      <c r="AI488" s="215" t="s">
        <v>449</v>
      </c>
      <c r="AJ488" s="215" t="s">
        <v>224</v>
      </c>
      <c r="AK488" s="215" t="s">
        <v>531</v>
      </c>
      <c r="AL488" s="215" t="s">
        <v>465</v>
      </c>
      <c r="AM488" s="217" t="b">
        <v>0</v>
      </c>
      <c r="AN488" s="217" t="b">
        <v>0</v>
      </c>
      <c r="AO488" s="215" t="s">
        <v>551</v>
      </c>
      <c r="AP488" s="215" t="s">
        <v>552</v>
      </c>
      <c r="AQ488" s="217">
        <v>56.106319999999997</v>
      </c>
      <c r="AR488" s="217" t="b">
        <v>0</v>
      </c>
      <c r="AS488" s="215" t="s">
        <v>534</v>
      </c>
      <c r="AU488" s="222" t="s">
        <v>819</v>
      </c>
    </row>
    <row r="489" spans="10:47" s="219" customFormat="1" x14ac:dyDescent="0.25">
      <c r="J489" s="223"/>
      <c r="K489" s="222"/>
      <c r="L489" s="215" t="s">
        <v>626</v>
      </c>
      <c r="M489" s="215" t="s">
        <v>448</v>
      </c>
      <c r="N489" s="215" t="s">
        <v>470</v>
      </c>
      <c r="O489" s="216">
        <v>41419</v>
      </c>
      <c r="P489" s="215" t="s">
        <v>531</v>
      </c>
      <c r="Q489" s="217">
        <v>100</v>
      </c>
      <c r="R489" s="215" t="s">
        <v>445</v>
      </c>
      <c r="S489" s="215" t="s">
        <v>532</v>
      </c>
      <c r="T489" s="215" t="s">
        <v>445</v>
      </c>
      <c r="U489" s="215" t="s">
        <v>446</v>
      </c>
      <c r="V489" s="217" t="b">
        <v>1</v>
      </c>
      <c r="W489" s="217">
        <v>1989</v>
      </c>
      <c r="X489" s="217">
        <v>5</v>
      </c>
      <c r="Y489" s="217">
        <v>2</v>
      </c>
      <c r="Z489" s="217">
        <v>4</v>
      </c>
      <c r="AA489" s="215" t="s">
        <v>447</v>
      </c>
      <c r="AB489" s="215" t="s">
        <v>531</v>
      </c>
      <c r="AC489" s="215" t="s">
        <v>533</v>
      </c>
      <c r="AD489" s="217">
        <v>1.476477</v>
      </c>
      <c r="AE489" s="217">
        <v>1986</v>
      </c>
      <c r="AF489" s="217">
        <v>1.44</v>
      </c>
      <c r="AG489" s="217">
        <v>-99</v>
      </c>
      <c r="AH489" s="215" t="s">
        <v>224</v>
      </c>
      <c r="AI489" s="215" t="s">
        <v>449</v>
      </c>
      <c r="AJ489" s="215" t="s">
        <v>224</v>
      </c>
      <c r="AK489" s="215" t="s">
        <v>531</v>
      </c>
      <c r="AL489" s="215" t="s">
        <v>537</v>
      </c>
      <c r="AM489" s="217" t="b">
        <v>0</v>
      </c>
      <c r="AN489" s="217" t="b">
        <v>0</v>
      </c>
      <c r="AO489" s="215" t="s">
        <v>538</v>
      </c>
      <c r="AP489" s="215" t="s">
        <v>539</v>
      </c>
      <c r="AQ489" s="217">
        <v>72.148780000000002</v>
      </c>
      <c r="AR489" s="217" t="b">
        <v>0</v>
      </c>
      <c r="AS489" s="215" t="s">
        <v>534</v>
      </c>
      <c r="AU489" s="222" t="s">
        <v>819</v>
      </c>
    </row>
    <row r="490" spans="10:47" s="219" customFormat="1" x14ac:dyDescent="0.25">
      <c r="J490" s="223"/>
      <c r="K490" s="222"/>
      <c r="L490" s="215" t="s">
        <v>626</v>
      </c>
      <c r="M490" s="215" t="s">
        <v>448</v>
      </c>
      <c r="N490" s="215" t="s">
        <v>470</v>
      </c>
      <c r="O490" s="216">
        <v>41419</v>
      </c>
      <c r="P490" s="215" t="s">
        <v>531</v>
      </c>
      <c r="Q490" s="217">
        <v>100</v>
      </c>
      <c r="R490" s="215" t="s">
        <v>445</v>
      </c>
      <c r="S490" s="215" t="s">
        <v>532</v>
      </c>
      <c r="T490" s="215" t="s">
        <v>445</v>
      </c>
      <c r="U490" s="215" t="s">
        <v>446</v>
      </c>
      <c r="V490" s="217" t="b">
        <v>1</v>
      </c>
      <c r="W490" s="217">
        <v>1989</v>
      </c>
      <c r="X490" s="217">
        <v>5</v>
      </c>
      <c r="Y490" s="217">
        <v>2</v>
      </c>
      <c r="Z490" s="217">
        <v>4</v>
      </c>
      <c r="AA490" s="215" t="s">
        <v>447</v>
      </c>
      <c r="AB490" s="215" t="s">
        <v>531</v>
      </c>
      <c r="AC490" s="215" t="s">
        <v>533</v>
      </c>
      <c r="AD490" s="217">
        <v>1.476477</v>
      </c>
      <c r="AE490" s="217">
        <v>1999</v>
      </c>
      <c r="AF490" s="217">
        <v>1.2185999999999999</v>
      </c>
      <c r="AG490" s="217">
        <v>-99</v>
      </c>
      <c r="AH490" s="215" t="s">
        <v>224</v>
      </c>
      <c r="AI490" s="215" t="s">
        <v>449</v>
      </c>
      <c r="AJ490" s="215" t="s">
        <v>224</v>
      </c>
      <c r="AK490" s="215" t="s">
        <v>531</v>
      </c>
      <c r="AL490" s="215" t="s">
        <v>540</v>
      </c>
      <c r="AM490" s="217" t="b">
        <v>0</v>
      </c>
      <c r="AN490" s="217" t="b">
        <v>0</v>
      </c>
      <c r="AO490" s="215" t="s">
        <v>541</v>
      </c>
      <c r="AP490" s="215" t="s">
        <v>542</v>
      </c>
      <c r="AQ490" s="217">
        <v>86.175359999999998</v>
      </c>
      <c r="AR490" s="217" t="b">
        <v>0</v>
      </c>
      <c r="AS490" s="215" t="s">
        <v>534</v>
      </c>
      <c r="AU490" s="222" t="s">
        <v>819</v>
      </c>
    </row>
    <row r="491" spans="10:47" s="219" customFormat="1" x14ac:dyDescent="0.25">
      <c r="J491" s="223"/>
      <c r="K491" s="222"/>
      <c r="L491" s="215" t="s">
        <v>626</v>
      </c>
      <c r="M491" s="215" t="s">
        <v>448</v>
      </c>
      <c r="N491" s="215" t="s">
        <v>470</v>
      </c>
      <c r="O491" s="216">
        <v>41419</v>
      </c>
      <c r="P491" s="215" t="s">
        <v>531</v>
      </c>
      <c r="Q491" s="217">
        <v>100</v>
      </c>
      <c r="R491" s="215" t="s">
        <v>445</v>
      </c>
      <c r="S491" s="215" t="s">
        <v>532</v>
      </c>
      <c r="T491" s="215" t="s">
        <v>445</v>
      </c>
      <c r="U491" s="215" t="s">
        <v>446</v>
      </c>
      <c r="V491" s="217" t="b">
        <v>1</v>
      </c>
      <c r="W491" s="217">
        <v>1989</v>
      </c>
      <c r="X491" s="217">
        <v>5</v>
      </c>
      <c r="Y491" s="217">
        <v>2</v>
      </c>
      <c r="Z491" s="217">
        <v>4</v>
      </c>
      <c r="AA491" s="215" t="s">
        <v>447</v>
      </c>
      <c r="AB491" s="215" t="s">
        <v>531</v>
      </c>
      <c r="AC491" s="215" t="s">
        <v>533</v>
      </c>
      <c r="AD491" s="217">
        <v>1.476477</v>
      </c>
      <c r="AE491" s="217">
        <v>2005</v>
      </c>
      <c r="AF491" s="217">
        <v>0.56689999999999996</v>
      </c>
      <c r="AG491" s="217">
        <v>-99</v>
      </c>
      <c r="AH491" s="215" t="s">
        <v>224</v>
      </c>
      <c r="AI491" s="215" t="s">
        <v>449</v>
      </c>
      <c r="AJ491" s="215" t="s">
        <v>224</v>
      </c>
      <c r="AK491" s="215" t="s">
        <v>531</v>
      </c>
      <c r="AL491" s="215" t="s">
        <v>543</v>
      </c>
      <c r="AM491" s="217" t="b">
        <v>0</v>
      </c>
      <c r="AN491" s="217" t="b">
        <v>0</v>
      </c>
      <c r="AO491" s="215" t="s">
        <v>544</v>
      </c>
      <c r="AP491" s="215" t="s">
        <v>545</v>
      </c>
      <c r="AQ491" s="217">
        <v>100.20194000000001</v>
      </c>
      <c r="AR491" s="217" t="b">
        <v>0</v>
      </c>
      <c r="AS491" s="215" t="s">
        <v>534</v>
      </c>
      <c r="AU491" s="222" t="s">
        <v>819</v>
      </c>
    </row>
    <row r="492" spans="10:47" s="219" customFormat="1" x14ac:dyDescent="0.25">
      <c r="J492" s="223"/>
      <c r="K492" s="222"/>
      <c r="L492" s="215" t="s">
        <v>626</v>
      </c>
      <c r="M492" s="215" t="s">
        <v>448</v>
      </c>
      <c r="N492" s="215" t="s">
        <v>470</v>
      </c>
      <c r="O492" s="216">
        <v>41419</v>
      </c>
      <c r="P492" s="215" t="s">
        <v>531</v>
      </c>
      <c r="Q492" s="217">
        <v>100</v>
      </c>
      <c r="R492" s="215" t="s">
        <v>445</v>
      </c>
      <c r="S492" s="215" t="s">
        <v>532</v>
      </c>
      <c r="T492" s="215" t="s">
        <v>445</v>
      </c>
      <c r="U492" s="215" t="s">
        <v>446</v>
      </c>
      <c r="V492" s="217" t="b">
        <v>1</v>
      </c>
      <c r="W492" s="217">
        <v>1989</v>
      </c>
      <c r="X492" s="217">
        <v>5</v>
      </c>
      <c r="Y492" s="217">
        <v>2</v>
      </c>
      <c r="Z492" s="217">
        <v>4</v>
      </c>
      <c r="AA492" s="215" t="s">
        <v>447</v>
      </c>
      <c r="AB492" s="215" t="s">
        <v>531</v>
      </c>
      <c r="AC492" s="215" t="s">
        <v>533</v>
      </c>
      <c r="AD492" s="217">
        <v>1.476477</v>
      </c>
      <c r="AE492" s="217">
        <v>2011</v>
      </c>
      <c r="AF492" s="217">
        <v>0.30690000000000001</v>
      </c>
      <c r="AG492" s="217">
        <v>-99</v>
      </c>
      <c r="AH492" s="215" t="s">
        <v>224</v>
      </c>
      <c r="AI492" s="215" t="s">
        <v>449</v>
      </c>
      <c r="AJ492" s="215" t="s">
        <v>224</v>
      </c>
      <c r="AK492" s="215" t="s">
        <v>531</v>
      </c>
      <c r="AL492" s="215" t="s">
        <v>546</v>
      </c>
      <c r="AM492" s="217" t="b">
        <v>0</v>
      </c>
      <c r="AN492" s="217" t="b">
        <v>0</v>
      </c>
      <c r="AO492" s="215" t="s">
        <v>547</v>
      </c>
      <c r="AP492" s="215" t="s">
        <v>548</v>
      </c>
      <c r="AQ492" s="217">
        <v>113.21160686946486</v>
      </c>
      <c r="AR492" s="217" t="b">
        <v>0</v>
      </c>
      <c r="AS492" s="215" t="s">
        <v>534</v>
      </c>
      <c r="AU492" s="222" t="s">
        <v>819</v>
      </c>
    </row>
    <row r="493" spans="10:47" s="219" customFormat="1" x14ac:dyDescent="0.25">
      <c r="J493" s="223"/>
      <c r="K493" s="222"/>
      <c r="L493" s="215" t="s">
        <v>626</v>
      </c>
      <c r="M493" s="215" t="s">
        <v>448</v>
      </c>
      <c r="N493" s="215" t="s">
        <v>470</v>
      </c>
      <c r="O493" s="216">
        <v>41419</v>
      </c>
      <c r="P493" s="215" t="s">
        <v>531</v>
      </c>
      <c r="Q493" s="217">
        <v>100</v>
      </c>
      <c r="R493" s="215" t="s">
        <v>445</v>
      </c>
      <c r="S493" s="215" t="s">
        <v>532</v>
      </c>
      <c r="T493" s="215" t="s">
        <v>445</v>
      </c>
      <c r="U493" s="215" t="s">
        <v>446</v>
      </c>
      <c r="V493" s="217" t="b">
        <v>1</v>
      </c>
      <c r="W493" s="217">
        <v>1989</v>
      </c>
      <c r="X493" s="217">
        <v>5</v>
      </c>
      <c r="Y493" s="217">
        <v>2</v>
      </c>
      <c r="Z493" s="217">
        <v>4</v>
      </c>
      <c r="AA493" s="215" t="s">
        <v>447</v>
      </c>
      <c r="AB493" s="215" t="s">
        <v>531</v>
      </c>
      <c r="AC493" s="215" t="s">
        <v>533</v>
      </c>
      <c r="AD493" s="217">
        <v>1.476477</v>
      </c>
      <c r="AE493" s="217">
        <v>2018</v>
      </c>
      <c r="AF493" s="217">
        <v>0.21</v>
      </c>
      <c r="AG493" s="217">
        <v>-99</v>
      </c>
      <c r="AH493" s="215" t="s">
        <v>224</v>
      </c>
      <c r="AI493" s="215" t="s">
        <v>449</v>
      </c>
      <c r="AJ493" s="215" t="s">
        <v>224</v>
      </c>
      <c r="AK493" s="215" t="s">
        <v>531</v>
      </c>
      <c r="AL493" s="215" t="s">
        <v>464</v>
      </c>
      <c r="AM493" s="217" t="b">
        <v>0</v>
      </c>
      <c r="AN493" s="217" t="b">
        <v>0</v>
      </c>
      <c r="AO493" s="215" t="s">
        <v>549</v>
      </c>
      <c r="AP493" s="215" t="s">
        <v>550</v>
      </c>
      <c r="AQ493" s="217">
        <v>127.23917598649743</v>
      </c>
      <c r="AR493" s="217" t="b">
        <v>0</v>
      </c>
      <c r="AS493" s="215" t="s">
        <v>534</v>
      </c>
      <c r="AU493" s="222" t="s">
        <v>819</v>
      </c>
    </row>
    <row r="494" spans="10:47" s="219" customFormat="1" x14ac:dyDescent="0.25">
      <c r="J494" s="223"/>
      <c r="K494" s="222"/>
      <c r="L494" s="215" t="s">
        <v>626</v>
      </c>
      <c r="M494" s="215" t="s">
        <v>448</v>
      </c>
      <c r="N494" s="215" t="s">
        <v>470</v>
      </c>
      <c r="O494" s="216">
        <v>41419</v>
      </c>
      <c r="P494" s="215" t="s">
        <v>531</v>
      </c>
      <c r="Q494" s="217">
        <v>100</v>
      </c>
      <c r="R494" s="215" t="s">
        <v>445</v>
      </c>
      <c r="S494" s="215" t="s">
        <v>532</v>
      </c>
      <c r="T494" s="215" t="s">
        <v>445</v>
      </c>
      <c r="U494" s="215" t="s">
        <v>446</v>
      </c>
      <c r="V494" s="217" t="b">
        <v>1</v>
      </c>
      <c r="W494" s="217">
        <v>1989</v>
      </c>
      <c r="X494" s="217">
        <v>5</v>
      </c>
      <c r="Y494" s="217">
        <v>2</v>
      </c>
      <c r="Z494" s="217">
        <v>4</v>
      </c>
      <c r="AA494" s="215" t="s">
        <v>447</v>
      </c>
      <c r="AB494" s="215" t="s">
        <v>531</v>
      </c>
      <c r="AC494" s="215" t="s">
        <v>533</v>
      </c>
      <c r="AD494" s="217">
        <v>1.2195149999999999</v>
      </c>
      <c r="AE494" s="217">
        <v>3</v>
      </c>
      <c r="AF494" s="217">
        <v>0.05</v>
      </c>
      <c r="AG494" s="217">
        <v>-99</v>
      </c>
      <c r="AH494" s="215" t="s">
        <v>224</v>
      </c>
      <c r="AI494" s="215" t="s">
        <v>449</v>
      </c>
      <c r="AJ494" s="215" t="s">
        <v>425</v>
      </c>
      <c r="AK494" s="215" t="s">
        <v>531</v>
      </c>
      <c r="AL494" s="215" t="s">
        <v>456</v>
      </c>
      <c r="AM494" s="217" t="b">
        <v>0</v>
      </c>
      <c r="AN494" s="217" t="b">
        <v>0</v>
      </c>
      <c r="AO494" s="215" t="s">
        <v>426</v>
      </c>
      <c r="AP494" s="215" t="s">
        <v>531</v>
      </c>
      <c r="AQ494" s="217">
        <v>134.21816000000001</v>
      </c>
      <c r="AR494" s="217" t="b">
        <v>0</v>
      </c>
      <c r="AS494" s="215" t="s">
        <v>534</v>
      </c>
      <c r="AU494" s="222" t="s">
        <v>819</v>
      </c>
    </row>
    <row r="495" spans="10:47" s="219" customFormat="1" x14ac:dyDescent="0.25">
      <c r="J495" s="223"/>
      <c r="K495" s="222"/>
      <c r="L495" s="215" t="s">
        <v>626</v>
      </c>
      <c r="M495" s="215" t="s">
        <v>448</v>
      </c>
      <c r="N495" s="215" t="s">
        <v>470</v>
      </c>
      <c r="O495" s="216">
        <v>41419</v>
      </c>
      <c r="P495" s="215" t="s">
        <v>531</v>
      </c>
      <c r="Q495" s="217">
        <v>100</v>
      </c>
      <c r="R495" s="215" t="s">
        <v>445</v>
      </c>
      <c r="S495" s="215" t="s">
        <v>532</v>
      </c>
      <c r="T495" s="215" t="s">
        <v>445</v>
      </c>
      <c r="U495" s="215" t="s">
        <v>446</v>
      </c>
      <c r="V495" s="217" t="b">
        <v>1</v>
      </c>
      <c r="W495" s="217">
        <v>1989</v>
      </c>
      <c r="X495" s="217">
        <v>5</v>
      </c>
      <c r="Y495" s="217">
        <v>2</v>
      </c>
      <c r="Z495" s="217">
        <v>4</v>
      </c>
      <c r="AA495" s="215" t="s">
        <v>447</v>
      </c>
      <c r="AB495" s="215" t="s">
        <v>531</v>
      </c>
      <c r="AC495" s="215" t="s">
        <v>533</v>
      </c>
      <c r="AD495" s="217">
        <v>1.2195149999999999</v>
      </c>
      <c r="AE495" s="217">
        <v>25</v>
      </c>
      <c r="AF495" s="217">
        <v>0.13930000000000001</v>
      </c>
      <c r="AG495" s="217">
        <v>-99</v>
      </c>
      <c r="AH495" s="215" t="s">
        <v>224</v>
      </c>
      <c r="AI495" s="215" t="s">
        <v>449</v>
      </c>
      <c r="AJ495" s="215" t="s">
        <v>627</v>
      </c>
      <c r="AK495" s="215" t="s">
        <v>531</v>
      </c>
      <c r="AL495" s="215" t="s">
        <v>628</v>
      </c>
      <c r="AM495" s="217" t="b">
        <v>1</v>
      </c>
      <c r="AN495" s="217" t="b">
        <v>0</v>
      </c>
      <c r="AO495" s="215" t="s">
        <v>629</v>
      </c>
      <c r="AP495" s="215" t="s">
        <v>630</v>
      </c>
      <c r="AQ495" s="217">
        <v>120.19158</v>
      </c>
      <c r="AR495" s="217" t="b">
        <v>0</v>
      </c>
      <c r="AS495" s="215" t="s">
        <v>534</v>
      </c>
      <c r="AU495" s="222" t="s">
        <v>819</v>
      </c>
    </row>
    <row r="496" spans="10:47" s="219" customFormat="1" x14ac:dyDescent="0.25">
      <c r="J496" s="223"/>
      <c r="K496" s="222"/>
      <c r="L496" s="215" t="s">
        <v>626</v>
      </c>
      <c r="M496" s="215" t="s">
        <v>448</v>
      </c>
      <c r="N496" s="215" t="s">
        <v>470</v>
      </c>
      <c r="O496" s="216">
        <v>41419</v>
      </c>
      <c r="P496" s="215" t="s">
        <v>531</v>
      </c>
      <c r="Q496" s="217">
        <v>100</v>
      </c>
      <c r="R496" s="215" t="s">
        <v>445</v>
      </c>
      <c r="S496" s="215" t="s">
        <v>532</v>
      </c>
      <c r="T496" s="215" t="s">
        <v>445</v>
      </c>
      <c r="U496" s="215" t="s">
        <v>446</v>
      </c>
      <c r="V496" s="217" t="b">
        <v>1</v>
      </c>
      <c r="W496" s="217">
        <v>1989</v>
      </c>
      <c r="X496" s="217">
        <v>5</v>
      </c>
      <c r="Y496" s="217">
        <v>2</v>
      </c>
      <c r="Z496" s="217">
        <v>4</v>
      </c>
      <c r="AA496" s="215" t="s">
        <v>447</v>
      </c>
      <c r="AB496" s="215" t="s">
        <v>531</v>
      </c>
      <c r="AC496" s="215" t="s">
        <v>533</v>
      </c>
      <c r="AD496" s="217">
        <v>1.2195149999999999</v>
      </c>
      <c r="AE496" s="217">
        <v>30</v>
      </c>
      <c r="AF496" s="217">
        <v>0.22170000000000001</v>
      </c>
      <c r="AG496" s="217">
        <v>-99</v>
      </c>
      <c r="AH496" s="215" t="s">
        <v>224</v>
      </c>
      <c r="AI496" s="215" t="s">
        <v>449</v>
      </c>
      <c r="AJ496" s="215" t="s">
        <v>359</v>
      </c>
      <c r="AK496" s="215" t="s">
        <v>531</v>
      </c>
      <c r="AL496" s="215" t="s">
        <v>531</v>
      </c>
      <c r="AM496" s="217" t="b">
        <v>1</v>
      </c>
      <c r="AN496" s="217" t="b">
        <v>0</v>
      </c>
      <c r="AO496" s="215" t="s">
        <v>360</v>
      </c>
      <c r="AP496" s="215" t="s">
        <v>361</v>
      </c>
      <c r="AQ496" s="217">
        <v>120.19158</v>
      </c>
      <c r="AR496" s="217" t="b">
        <v>0</v>
      </c>
      <c r="AS496" s="215" t="s">
        <v>534</v>
      </c>
      <c r="AU496" s="222" t="s">
        <v>819</v>
      </c>
    </row>
    <row r="497" spans="10:47" s="219" customFormat="1" x14ac:dyDescent="0.25">
      <c r="J497" s="223"/>
      <c r="K497" s="222"/>
      <c r="L497" s="215" t="s">
        <v>626</v>
      </c>
      <c r="M497" s="215" t="s">
        <v>448</v>
      </c>
      <c r="N497" s="215" t="s">
        <v>470</v>
      </c>
      <c r="O497" s="216">
        <v>41419</v>
      </c>
      <c r="P497" s="215" t="s">
        <v>531</v>
      </c>
      <c r="Q497" s="217">
        <v>100</v>
      </c>
      <c r="R497" s="215" t="s">
        <v>445</v>
      </c>
      <c r="S497" s="215" t="s">
        <v>532</v>
      </c>
      <c r="T497" s="215" t="s">
        <v>445</v>
      </c>
      <c r="U497" s="215" t="s">
        <v>446</v>
      </c>
      <c r="V497" s="217" t="b">
        <v>1</v>
      </c>
      <c r="W497" s="217">
        <v>1989</v>
      </c>
      <c r="X497" s="217">
        <v>5</v>
      </c>
      <c r="Y497" s="217">
        <v>2</v>
      </c>
      <c r="Z497" s="217">
        <v>4</v>
      </c>
      <c r="AA497" s="215" t="s">
        <v>447</v>
      </c>
      <c r="AB497" s="215" t="s">
        <v>531</v>
      </c>
      <c r="AC497" s="215" t="s">
        <v>533</v>
      </c>
      <c r="AD497" s="217">
        <v>1.2195149999999999</v>
      </c>
      <c r="AE497" s="217">
        <v>44</v>
      </c>
      <c r="AF497" s="217">
        <v>0.1066</v>
      </c>
      <c r="AG497" s="217">
        <v>-99</v>
      </c>
      <c r="AH497" s="215" t="s">
        <v>224</v>
      </c>
      <c r="AI497" s="215" t="s">
        <v>449</v>
      </c>
      <c r="AJ497" s="215" t="s">
        <v>400</v>
      </c>
      <c r="AK497" s="215" t="s">
        <v>531</v>
      </c>
      <c r="AL497" s="215" t="s">
        <v>401</v>
      </c>
      <c r="AM497" s="217" t="b">
        <v>1</v>
      </c>
      <c r="AN497" s="217" t="b">
        <v>0</v>
      </c>
      <c r="AO497" s="215" t="s">
        <v>402</v>
      </c>
      <c r="AP497" s="215" t="s">
        <v>403</v>
      </c>
      <c r="AQ497" s="217">
        <v>120.19158</v>
      </c>
      <c r="AR497" s="217" t="b">
        <v>0</v>
      </c>
      <c r="AS497" s="215" t="s">
        <v>534</v>
      </c>
      <c r="AU497" s="222" t="s">
        <v>819</v>
      </c>
    </row>
    <row r="498" spans="10:47" s="219" customFormat="1" x14ac:dyDescent="0.25">
      <c r="J498" s="223"/>
      <c r="K498" s="222"/>
      <c r="L498" s="215" t="s">
        <v>626</v>
      </c>
      <c r="M498" s="215" t="s">
        <v>448</v>
      </c>
      <c r="N498" s="215" t="s">
        <v>470</v>
      </c>
      <c r="O498" s="216">
        <v>41419</v>
      </c>
      <c r="P498" s="215" t="s">
        <v>531</v>
      </c>
      <c r="Q498" s="217">
        <v>100</v>
      </c>
      <c r="R498" s="215" t="s">
        <v>445</v>
      </c>
      <c r="S498" s="215" t="s">
        <v>532</v>
      </c>
      <c r="T498" s="215" t="s">
        <v>445</v>
      </c>
      <c r="U498" s="215" t="s">
        <v>446</v>
      </c>
      <c r="V498" s="217" t="b">
        <v>1</v>
      </c>
      <c r="W498" s="217">
        <v>1989</v>
      </c>
      <c r="X498" s="217">
        <v>5</v>
      </c>
      <c r="Y498" s="217">
        <v>2</v>
      </c>
      <c r="Z498" s="217">
        <v>4</v>
      </c>
      <c r="AA498" s="215" t="s">
        <v>447</v>
      </c>
      <c r="AB498" s="215" t="s">
        <v>531</v>
      </c>
      <c r="AC498" s="215" t="s">
        <v>533</v>
      </c>
      <c r="AD498" s="217">
        <v>1.2195149999999999</v>
      </c>
      <c r="AE498" s="217">
        <v>51</v>
      </c>
      <c r="AF498" s="217">
        <v>4.8599999999999997E-2</v>
      </c>
      <c r="AG498" s="217">
        <v>-99</v>
      </c>
      <c r="AH498" s="215" t="s">
        <v>224</v>
      </c>
      <c r="AI498" s="215" t="s">
        <v>449</v>
      </c>
      <c r="AJ498" s="215" t="s">
        <v>634</v>
      </c>
      <c r="AK498" s="215" t="s">
        <v>531</v>
      </c>
      <c r="AL498" s="215" t="s">
        <v>635</v>
      </c>
      <c r="AM498" s="217" t="b">
        <v>1</v>
      </c>
      <c r="AN498" s="217" t="b">
        <v>0</v>
      </c>
      <c r="AO498" s="215" t="s">
        <v>636</v>
      </c>
      <c r="AP498" s="215" t="s">
        <v>637</v>
      </c>
      <c r="AQ498" s="217">
        <v>134.21816000000001</v>
      </c>
      <c r="AR498" s="217" t="b">
        <v>0</v>
      </c>
      <c r="AS498" s="215" t="s">
        <v>534</v>
      </c>
      <c r="AU498" s="222" t="s">
        <v>819</v>
      </c>
    </row>
    <row r="499" spans="10:47" s="219" customFormat="1" x14ac:dyDescent="0.25">
      <c r="J499" s="223"/>
      <c r="K499" s="222"/>
      <c r="L499" s="215" t="s">
        <v>626</v>
      </c>
      <c r="M499" s="215" t="s">
        <v>448</v>
      </c>
      <c r="N499" s="215" t="s">
        <v>470</v>
      </c>
      <c r="O499" s="216">
        <v>41419</v>
      </c>
      <c r="P499" s="215" t="s">
        <v>531</v>
      </c>
      <c r="Q499" s="217">
        <v>100</v>
      </c>
      <c r="R499" s="215" t="s">
        <v>445</v>
      </c>
      <c r="S499" s="215" t="s">
        <v>532</v>
      </c>
      <c r="T499" s="215" t="s">
        <v>445</v>
      </c>
      <c r="U499" s="215" t="s">
        <v>446</v>
      </c>
      <c r="V499" s="217" t="b">
        <v>1</v>
      </c>
      <c r="W499" s="217">
        <v>1989</v>
      </c>
      <c r="X499" s="217">
        <v>5</v>
      </c>
      <c r="Y499" s="217">
        <v>2</v>
      </c>
      <c r="Z499" s="217">
        <v>4</v>
      </c>
      <c r="AA499" s="215" t="s">
        <v>447</v>
      </c>
      <c r="AB499" s="215" t="s">
        <v>531</v>
      </c>
      <c r="AC499" s="215" t="s">
        <v>533</v>
      </c>
      <c r="AD499" s="217">
        <v>1.2195149999999999</v>
      </c>
      <c r="AE499" s="217">
        <v>59</v>
      </c>
      <c r="AF499" s="217">
        <v>4.5699999999999998E-2</v>
      </c>
      <c r="AG499" s="217">
        <v>-99</v>
      </c>
      <c r="AH499" s="215" t="s">
        <v>224</v>
      </c>
      <c r="AI499" s="215" t="s">
        <v>449</v>
      </c>
      <c r="AJ499" s="215" t="s">
        <v>638</v>
      </c>
      <c r="AK499" s="215" t="s">
        <v>531</v>
      </c>
      <c r="AL499" s="215" t="s">
        <v>639</v>
      </c>
      <c r="AM499" s="217" t="b">
        <v>1</v>
      </c>
      <c r="AN499" s="217" t="b">
        <v>0</v>
      </c>
      <c r="AO499" s="215" t="s">
        <v>640</v>
      </c>
      <c r="AP499" s="215" t="s">
        <v>641</v>
      </c>
      <c r="AQ499" s="217">
        <v>134.21816000000001</v>
      </c>
      <c r="AR499" s="217" t="b">
        <v>0</v>
      </c>
      <c r="AS499" s="215" t="s">
        <v>534</v>
      </c>
      <c r="AU499" s="222" t="s">
        <v>819</v>
      </c>
    </row>
    <row r="500" spans="10:47" s="219" customFormat="1" x14ac:dyDescent="0.25">
      <c r="J500" s="223"/>
      <c r="K500" s="222"/>
      <c r="L500" s="215" t="s">
        <v>626</v>
      </c>
      <c r="M500" s="215" t="s">
        <v>448</v>
      </c>
      <c r="N500" s="215" t="s">
        <v>470</v>
      </c>
      <c r="O500" s="216">
        <v>41419</v>
      </c>
      <c r="P500" s="215" t="s">
        <v>531</v>
      </c>
      <c r="Q500" s="217">
        <v>100</v>
      </c>
      <c r="R500" s="215" t="s">
        <v>445</v>
      </c>
      <c r="S500" s="215" t="s">
        <v>532</v>
      </c>
      <c r="T500" s="215" t="s">
        <v>445</v>
      </c>
      <c r="U500" s="215" t="s">
        <v>446</v>
      </c>
      <c r="V500" s="217" t="b">
        <v>1</v>
      </c>
      <c r="W500" s="217">
        <v>1989</v>
      </c>
      <c r="X500" s="217">
        <v>5</v>
      </c>
      <c r="Y500" s="217">
        <v>2</v>
      </c>
      <c r="Z500" s="217">
        <v>4</v>
      </c>
      <c r="AA500" s="215" t="s">
        <v>447</v>
      </c>
      <c r="AB500" s="215" t="s">
        <v>531</v>
      </c>
      <c r="AC500" s="215" t="s">
        <v>533</v>
      </c>
      <c r="AD500" s="217">
        <v>1.2195149999999999</v>
      </c>
      <c r="AE500" s="217">
        <v>80</v>
      </c>
      <c r="AF500" s="217">
        <v>6.9400000000000003E-2</v>
      </c>
      <c r="AG500" s="217">
        <v>-99</v>
      </c>
      <c r="AH500" s="215" t="s">
        <v>224</v>
      </c>
      <c r="AI500" s="215" t="s">
        <v>449</v>
      </c>
      <c r="AJ500" s="215" t="s">
        <v>408</v>
      </c>
      <c r="AK500" s="215" t="s">
        <v>531</v>
      </c>
      <c r="AL500" s="215" t="s">
        <v>450</v>
      </c>
      <c r="AM500" s="217" t="b">
        <v>1</v>
      </c>
      <c r="AN500" s="217" t="b">
        <v>0</v>
      </c>
      <c r="AO500" s="215" t="s">
        <v>409</v>
      </c>
      <c r="AP500" s="215" t="s">
        <v>410</v>
      </c>
      <c r="AQ500" s="217">
        <v>120.19158</v>
      </c>
      <c r="AR500" s="217" t="b">
        <v>0</v>
      </c>
      <c r="AS500" s="215" t="s">
        <v>534</v>
      </c>
      <c r="AU500" s="222" t="s">
        <v>819</v>
      </c>
    </row>
    <row r="501" spans="10:47" s="219" customFormat="1" x14ac:dyDescent="0.25">
      <c r="J501" s="223"/>
      <c r="K501" s="222"/>
      <c r="L501" s="215" t="s">
        <v>626</v>
      </c>
      <c r="M501" s="215" t="s">
        <v>448</v>
      </c>
      <c r="N501" s="215" t="s">
        <v>470</v>
      </c>
      <c r="O501" s="216">
        <v>41419</v>
      </c>
      <c r="P501" s="215" t="s">
        <v>531</v>
      </c>
      <c r="Q501" s="217">
        <v>100</v>
      </c>
      <c r="R501" s="215" t="s">
        <v>445</v>
      </c>
      <c r="S501" s="215" t="s">
        <v>532</v>
      </c>
      <c r="T501" s="215" t="s">
        <v>445</v>
      </c>
      <c r="U501" s="215" t="s">
        <v>446</v>
      </c>
      <c r="V501" s="217" t="b">
        <v>1</v>
      </c>
      <c r="W501" s="217">
        <v>1989</v>
      </c>
      <c r="X501" s="217">
        <v>5</v>
      </c>
      <c r="Y501" s="217">
        <v>2</v>
      </c>
      <c r="Z501" s="217">
        <v>4</v>
      </c>
      <c r="AA501" s="215" t="s">
        <v>447</v>
      </c>
      <c r="AB501" s="215" t="s">
        <v>531</v>
      </c>
      <c r="AC501" s="215" t="s">
        <v>533</v>
      </c>
      <c r="AD501" s="217">
        <v>1.2195149999999999</v>
      </c>
      <c r="AE501" s="217">
        <v>89</v>
      </c>
      <c r="AF501" s="217">
        <v>0.16300000000000001</v>
      </c>
      <c r="AG501" s="217">
        <v>-99</v>
      </c>
      <c r="AH501" s="215" t="s">
        <v>224</v>
      </c>
      <c r="AI501" s="215" t="s">
        <v>449</v>
      </c>
      <c r="AJ501" s="215" t="s">
        <v>411</v>
      </c>
      <c r="AK501" s="215" t="s">
        <v>531</v>
      </c>
      <c r="AL501" s="215" t="s">
        <v>451</v>
      </c>
      <c r="AM501" s="217" t="b">
        <v>1</v>
      </c>
      <c r="AN501" s="217" t="b">
        <v>0</v>
      </c>
      <c r="AO501" s="215" t="s">
        <v>412</v>
      </c>
      <c r="AP501" s="215" t="s">
        <v>413</v>
      </c>
      <c r="AQ501" s="217">
        <v>120.19158</v>
      </c>
      <c r="AR501" s="217" t="b">
        <v>0</v>
      </c>
      <c r="AS501" s="215" t="s">
        <v>534</v>
      </c>
      <c r="AU501" s="222" t="s">
        <v>819</v>
      </c>
    </row>
    <row r="502" spans="10:47" s="219" customFormat="1" x14ac:dyDescent="0.25">
      <c r="J502" s="223"/>
      <c r="K502" s="222"/>
      <c r="L502" s="215" t="s">
        <v>626</v>
      </c>
      <c r="M502" s="215" t="s">
        <v>448</v>
      </c>
      <c r="N502" s="215" t="s">
        <v>470</v>
      </c>
      <c r="O502" s="216">
        <v>41419</v>
      </c>
      <c r="P502" s="215" t="s">
        <v>531</v>
      </c>
      <c r="Q502" s="217">
        <v>100</v>
      </c>
      <c r="R502" s="215" t="s">
        <v>445</v>
      </c>
      <c r="S502" s="215" t="s">
        <v>532</v>
      </c>
      <c r="T502" s="215" t="s">
        <v>445</v>
      </c>
      <c r="U502" s="215" t="s">
        <v>446</v>
      </c>
      <c r="V502" s="217" t="b">
        <v>1</v>
      </c>
      <c r="W502" s="217">
        <v>1989</v>
      </c>
      <c r="X502" s="217">
        <v>5</v>
      </c>
      <c r="Y502" s="217">
        <v>2</v>
      </c>
      <c r="Z502" s="217">
        <v>4</v>
      </c>
      <c r="AA502" s="215" t="s">
        <v>447</v>
      </c>
      <c r="AB502" s="215" t="s">
        <v>531</v>
      </c>
      <c r="AC502" s="215" t="s">
        <v>533</v>
      </c>
      <c r="AD502" s="217">
        <v>1.2195149999999999</v>
      </c>
      <c r="AE502" s="217">
        <v>122</v>
      </c>
      <c r="AF502" s="217">
        <v>0.15390000000000001</v>
      </c>
      <c r="AG502" s="217">
        <v>-99</v>
      </c>
      <c r="AH502" s="215" t="s">
        <v>224</v>
      </c>
      <c r="AI502" s="215" t="s">
        <v>449</v>
      </c>
      <c r="AJ502" s="215" t="s">
        <v>301</v>
      </c>
      <c r="AK502" s="215" t="s">
        <v>531</v>
      </c>
      <c r="AL502" s="215" t="s">
        <v>384</v>
      </c>
      <c r="AM502" s="217" t="b">
        <v>1</v>
      </c>
      <c r="AN502" s="217" t="b">
        <v>0</v>
      </c>
      <c r="AO502" s="215" t="s">
        <v>302</v>
      </c>
      <c r="AP502" s="215" t="s">
        <v>303</v>
      </c>
      <c r="AQ502" s="217">
        <v>86.175359999999998</v>
      </c>
      <c r="AR502" s="217" t="b">
        <v>0</v>
      </c>
      <c r="AS502" s="215" t="s">
        <v>534</v>
      </c>
      <c r="AU502" s="222" t="s">
        <v>819</v>
      </c>
    </row>
    <row r="503" spans="10:47" s="219" customFormat="1" x14ac:dyDescent="0.25">
      <c r="J503" s="223"/>
      <c r="K503" s="222"/>
      <c r="L503" s="215" t="s">
        <v>626</v>
      </c>
      <c r="M503" s="215" t="s">
        <v>448</v>
      </c>
      <c r="N503" s="215" t="s">
        <v>470</v>
      </c>
      <c r="O503" s="216">
        <v>41419</v>
      </c>
      <c r="P503" s="215" t="s">
        <v>531</v>
      </c>
      <c r="Q503" s="217">
        <v>100</v>
      </c>
      <c r="R503" s="215" t="s">
        <v>445</v>
      </c>
      <c r="S503" s="215" t="s">
        <v>532</v>
      </c>
      <c r="T503" s="215" t="s">
        <v>445</v>
      </c>
      <c r="U503" s="215" t="s">
        <v>446</v>
      </c>
      <c r="V503" s="217" t="b">
        <v>1</v>
      </c>
      <c r="W503" s="217">
        <v>1989</v>
      </c>
      <c r="X503" s="217">
        <v>5</v>
      </c>
      <c r="Y503" s="217">
        <v>2</v>
      </c>
      <c r="Z503" s="217">
        <v>4</v>
      </c>
      <c r="AA503" s="215" t="s">
        <v>447</v>
      </c>
      <c r="AB503" s="215" t="s">
        <v>531</v>
      </c>
      <c r="AC503" s="215" t="s">
        <v>533</v>
      </c>
      <c r="AD503" s="217">
        <v>1.2195149999999999</v>
      </c>
      <c r="AE503" s="217">
        <v>127</v>
      </c>
      <c r="AF503" s="217">
        <v>0.10589999999999999</v>
      </c>
      <c r="AG503" s="217">
        <v>-99</v>
      </c>
      <c r="AH503" s="215" t="s">
        <v>224</v>
      </c>
      <c r="AI503" s="215" t="s">
        <v>449</v>
      </c>
      <c r="AJ503" s="215" t="s">
        <v>441</v>
      </c>
      <c r="AK503" s="215" t="s">
        <v>531</v>
      </c>
      <c r="AL503" s="215" t="s">
        <v>462</v>
      </c>
      <c r="AM503" s="217" t="b">
        <v>0</v>
      </c>
      <c r="AN503" s="217" t="b">
        <v>0</v>
      </c>
      <c r="AO503" s="215" t="s">
        <v>442</v>
      </c>
      <c r="AP503" s="215" t="s">
        <v>531</v>
      </c>
      <c r="AQ503" s="217">
        <v>72.148780000000002</v>
      </c>
      <c r="AR503" s="217" t="b">
        <v>0</v>
      </c>
      <c r="AS503" s="215" t="s">
        <v>534</v>
      </c>
      <c r="AU503" s="222" t="s">
        <v>819</v>
      </c>
    </row>
    <row r="504" spans="10:47" s="219" customFormat="1" x14ac:dyDescent="0.25">
      <c r="J504" s="223"/>
      <c r="K504" s="222"/>
      <c r="L504" s="215" t="s">
        <v>626</v>
      </c>
      <c r="M504" s="215" t="s">
        <v>448</v>
      </c>
      <c r="N504" s="215" t="s">
        <v>470</v>
      </c>
      <c r="O504" s="216">
        <v>41419</v>
      </c>
      <c r="P504" s="215" t="s">
        <v>531</v>
      </c>
      <c r="Q504" s="217">
        <v>100</v>
      </c>
      <c r="R504" s="215" t="s">
        <v>445</v>
      </c>
      <c r="S504" s="215" t="s">
        <v>532</v>
      </c>
      <c r="T504" s="215" t="s">
        <v>445</v>
      </c>
      <c r="U504" s="215" t="s">
        <v>446</v>
      </c>
      <c r="V504" s="217" t="b">
        <v>1</v>
      </c>
      <c r="W504" s="217">
        <v>1989</v>
      </c>
      <c r="X504" s="217">
        <v>5</v>
      </c>
      <c r="Y504" s="217">
        <v>2</v>
      </c>
      <c r="Z504" s="217">
        <v>4</v>
      </c>
      <c r="AA504" s="215" t="s">
        <v>447</v>
      </c>
      <c r="AB504" s="215" t="s">
        <v>531</v>
      </c>
      <c r="AC504" s="215" t="s">
        <v>533</v>
      </c>
      <c r="AD504" s="217">
        <v>1.2195149999999999</v>
      </c>
      <c r="AE504" s="217">
        <v>130</v>
      </c>
      <c r="AF504" s="217">
        <v>5.2299999999999999E-2</v>
      </c>
      <c r="AG504" s="217">
        <v>-99</v>
      </c>
      <c r="AH504" s="215" t="s">
        <v>224</v>
      </c>
      <c r="AI504" s="215" t="s">
        <v>449</v>
      </c>
      <c r="AJ504" s="215" t="s">
        <v>404</v>
      </c>
      <c r="AK504" s="215" t="s">
        <v>531</v>
      </c>
      <c r="AL504" s="215" t="s">
        <v>405</v>
      </c>
      <c r="AM504" s="217" t="b">
        <v>1</v>
      </c>
      <c r="AN504" s="217" t="b">
        <v>0</v>
      </c>
      <c r="AO504" s="215" t="s">
        <v>406</v>
      </c>
      <c r="AP504" s="215" t="s">
        <v>407</v>
      </c>
      <c r="AQ504" s="217">
        <v>114.22852</v>
      </c>
      <c r="AR504" s="217" t="b">
        <v>0</v>
      </c>
      <c r="AS504" s="215" t="s">
        <v>534</v>
      </c>
      <c r="AU504" s="222" t="s">
        <v>819</v>
      </c>
    </row>
    <row r="505" spans="10:47" s="219" customFormat="1" x14ac:dyDescent="0.25">
      <c r="J505" s="223"/>
      <c r="K505" s="222"/>
      <c r="L505" s="215" t="s">
        <v>626</v>
      </c>
      <c r="M505" s="215" t="s">
        <v>448</v>
      </c>
      <c r="N505" s="215" t="s">
        <v>470</v>
      </c>
      <c r="O505" s="216">
        <v>41419</v>
      </c>
      <c r="P505" s="215" t="s">
        <v>531</v>
      </c>
      <c r="Q505" s="217">
        <v>100</v>
      </c>
      <c r="R505" s="215" t="s">
        <v>445</v>
      </c>
      <c r="S505" s="215" t="s">
        <v>532</v>
      </c>
      <c r="T505" s="215" t="s">
        <v>445</v>
      </c>
      <c r="U505" s="215" t="s">
        <v>446</v>
      </c>
      <c r="V505" s="217" t="b">
        <v>1</v>
      </c>
      <c r="W505" s="217">
        <v>1989</v>
      </c>
      <c r="X505" s="217">
        <v>5</v>
      </c>
      <c r="Y505" s="217">
        <v>2</v>
      </c>
      <c r="Z505" s="217">
        <v>4</v>
      </c>
      <c r="AA505" s="215" t="s">
        <v>447</v>
      </c>
      <c r="AB505" s="215" t="s">
        <v>531</v>
      </c>
      <c r="AC505" s="215" t="s">
        <v>533</v>
      </c>
      <c r="AD505" s="217">
        <v>1.2195149999999999</v>
      </c>
      <c r="AE505" s="217">
        <v>138</v>
      </c>
      <c r="AF505" s="217">
        <v>8.4000000000000005E-2</v>
      </c>
      <c r="AG505" s="217">
        <v>-99</v>
      </c>
      <c r="AH505" s="215" t="s">
        <v>224</v>
      </c>
      <c r="AI505" s="215" t="s">
        <v>449</v>
      </c>
      <c r="AJ505" s="215" t="s">
        <v>443</v>
      </c>
      <c r="AK505" s="215" t="s">
        <v>531</v>
      </c>
      <c r="AL505" s="215" t="s">
        <v>463</v>
      </c>
      <c r="AM505" s="217" t="b">
        <v>0</v>
      </c>
      <c r="AN505" s="217" t="b">
        <v>0</v>
      </c>
      <c r="AO505" s="215" t="s">
        <v>444</v>
      </c>
      <c r="AP505" s="215" t="s">
        <v>531</v>
      </c>
      <c r="AQ505" s="217">
        <v>114.22852</v>
      </c>
      <c r="AR505" s="217" t="b">
        <v>0</v>
      </c>
      <c r="AS505" s="215" t="s">
        <v>534</v>
      </c>
      <c r="AU505" s="222" t="s">
        <v>819</v>
      </c>
    </row>
    <row r="506" spans="10:47" s="219" customFormat="1" x14ac:dyDescent="0.25">
      <c r="J506" s="223"/>
      <c r="K506" s="222"/>
      <c r="L506" s="215" t="s">
        <v>626</v>
      </c>
      <c r="M506" s="215" t="s">
        <v>448</v>
      </c>
      <c r="N506" s="215" t="s">
        <v>470</v>
      </c>
      <c r="O506" s="216">
        <v>41419</v>
      </c>
      <c r="P506" s="215" t="s">
        <v>531</v>
      </c>
      <c r="Q506" s="217">
        <v>100</v>
      </c>
      <c r="R506" s="215" t="s">
        <v>445</v>
      </c>
      <c r="S506" s="215" t="s">
        <v>532</v>
      </c>
      <c r="T506" s="215" t="s">
        <v>445</v>
      </c>
      <c r="U506" s="215" t="s">
        <v>446</v>
      </c>
      <c r="V506" s="217" t="b">
        <v>1</v>
      </c>
      <c r="W506" s="217">
        <v>1989</v>
      </c>
      <c r="X506" s="217">
        <v>5</v>
      </c>
      <c r="Y506" s="217">
        <v>2</v>
      </c>
      <c r="Z506" s="217">
        <v>4</v>
      </c>
      <c r="AA506" s="215" t="s">
        <v>447</v>
      </c>
      <c r="AB506" s="215" t="s">
        <v>531</v>
      </c>
      <c r="AC506" s="215" t="s">
        <v>533</v>
      </c>
      <c r="AD506" s="217">
        <v>1.2195149999999999</v>
      </c>
      <c r="AE506" s="217">
        <v>140</v>
      </c>
      <c r="AF506" s="217">
        <v>0.51019999999999999</v>
      </c>
      <c r="AG506" s="217">
        <v>-99</v>
      </c>
      <c r="AH506" s="215" t="s">
        <v>224</v>
      </c>
      <c r="AI506" s="215" t="s">
        <v>449</v>
      </c>
      <c r="AJ506" s="215" t="s">
        <v>307</v>
      </c>
      <c r="AK506" s="215" t="s">
        <v>531</v>
      </c>
      <c r="AL506" s="215" t="s">
        <v>385</v>
      </c>
      <c r="AM506" s="217" t="b">
        <v>1</v>
      </c>
      <c r="AN506" s="217" t="b">
        <v>0</v>
      </c>
      <c r="AO506" s="215" t="s">
        <v>308</v>
      </c>
      <c r="AP506" s="215" t="s">
        <v>309</v>
      </c>
      <c r="AQ506" s="217">
        <v>100.20194000000001</v>
      </c>
      <c r="AR506" s="217" t="b">
        <v>0</v>
      </c>
      <c r="AS506" s="215" t="s">
        <v>534</v>
      </c>
      <c r="AU506" s="222" t="s">
        <v>819</v>
      </c>
    </row>
    <row r="507" spans="10:47" s="219" customFormat="1" x14ac:dyDescent="0.25">
      <c r="J507" s="223"/>
      <c r="K507" s="222"/>
      <c r="L507" s="215" t="s">
        <v>626</v>
      </c>
      <c r="M507" s="215" t="s">
        <v>448</v>
      </c>
      <c r="N507" s="215" t="s">
        <v>470</v>
      </c>
      <c r="O507" s="216">
        <v>41419</v>
      </c>
      <c r="P507" s="215" t="s">
        <v>531</v>
      </c>
      <c r="Q507" s="217">
        <v>100</v>
      </c>
      <c r="R507" s="215" t="s">
        <v>445</v>
      </c>
      <c r="S507" s="215" t="s">
        <v>532</v>
      </c>
      <c r="T507" s="215" t="s">
        <v>445</v>
      </c>
      <c r="U507" s="215" t="s">
        <v>446</v>
      </c>
      <c r="V507" s="217" t="b">
        <v>1</v>
      </c>
      <c r="W507" s="217">
        <v>1989</v>
      </c>
      <c r="X507" s="217">
        <v>5</v>
      </c>
      <c r="Y507" s="217">
        <v>2</v>
      </c>
      <c r="Z507" s="217">
        <v>4</v>
      </c>
      <c r="AA507" s="215" t="s">
        <v>447</v>
      </c>
      <c r="AB507" s="215" t="s">
        <v>531</v>
      </c>
      <c r="AC507" s="215" t="s">
        <v>533</v>
      </c>
      <c r="AD507" s="217">
        <v>1.2195149999999999</v>
      </c>
      <c r="AE507" s="217">
        <v>149</v>
      </c>
      <c r="AF507" s="217">
        <v>0.10299999999999999</v>
      </c>
      <c r="AG507" s="217">
        <v>-99</v>
      </c>
      <c r="AH507" s="215" t="s">
        <v>224</v>
      </c>
      <c r="AI507" s="215" t="s">
        <v>449</v>
      </c>
      <c r="AJ507" s="215" t="s">
        <v>427</v>
      </c>
      <c r="AK507" s="215" t="s">
        <v>531</v>
      </c>
      <c r="AL507" s="215" t="s">
        <v>457</v>
      </c>
      <c r="AM507" s="217" t="b">
        <v>0</v>
      </c>
      <c r="AN507" s="217" t="b">
        <v>0</v>
      </c>
      <c r="AO507" s="215" t="s">
        <v>428</v>
      </c>
      <c r="AP507" s="215" t="s">
        <v>429</v>
      </c>
      <c r="AQ507" s="217">
        <v>114.22852</v>
      </c>
      <c r="AR507" s="217" t="b">
        <v>0</v>
      </c>
      <c r="AS507" s="215" t="s">
        <v>534</v>
      </c>
      <c r="AU507" s="222" t="s">
        <v>819</v>
      </c>
    </row>
    <row r="508" spans="10:47" s="219" customFormat="1" x14ac:dyDescent="0.25">
      <c r="J508" s="223"/>
      <c r="K508" s="222"/>
      <c r="L508" s="215" t="s">
        <v>626</v>
      </c>
      <c r="M508" s="215" t="s">
        <v>448</v>
      </c>
      <c r="N508" s="215" t="s">
        <v>470</v>
      </c>
      <c r="O508" s="216">
        <v>41419</v>
      </c>
      <c r="P508" s="215" t="s">
        <v>531</v>
      </c>
      <c r="Q508" s="217">
        <v>100</v>
      </c>
      <c r="R508" s="215" t="s">
        <v>445</v>
      </c>
      <c r="S508" s="215" t="s">
        <v>532</v>
      </c>
      <c r="T508" s="215" t="s">
        <v>445</v>
      </c>
      <c r="U508" s="215" t="s">
        <v>446</v>
      </c>
      <c r="V508" s="217" t="b">
        <v>1</v>
      </c>
      <c r="W508" s="217">
        <v>1989</v>
      </c>
      <c r="X508" s="217">
        <v>5</v>
      </c>
      <c r="Y508" s="217">
        <v>2</v>
      </c>
      <c r="Z508" s="217">
        <v>4</v>
      </c>
      <c r="AA508" s="215" t="s">
        <v>447</v>
      </c>
      <c r="AB508" s="215" t="s">
        <v>531</v>
      </c>
      <c r="AC508" s="215" t="s">
        <v>533</v>
      </c>
      <c r="AD508" s="217">
        <v>1.2195149999999999</v>
      </c>
      <c r="AE508" s="217">
        <v>152</v>
      </c>
      <c r="AF508" s="217">
        <v>0.1542</v>
      </c>
      <c r="AG508" s="217">
        <v>-99</v>
      </c>
      <c r="AH508" s="215" t="s">
        <v>224</v>
      </c>
      <c r="AI508" s="215" t="s">
        <v>449</v>
      </c>
      <c r="AJ508" s="215" t="s">
        <v>310</v>
      </c>
      <c r="AK508" s="215" t="s">
        <v>531</v>
      </c>
      <c r="AL508" s="215" t="s">
        <v>386</v>
      </c>
      <c r="AM508" s="217" t="b">
        <v>1</v>
      </c>
      <c r="AN508" s="217" t="b">
        <v>0</v>
      </c>
      <c r="AO508" s="215" t="s">
        <v>311</v>
      </c>
      <c r="AP508" s="215" t="s">
        <v>312</v>
      </c>
      <c r="AQ508" s="217">
        <v>100.20194000000001</v>
      </c>
      <c r="AR508" s="217" t="b">
        <v>0</v>
      </c>
      <c r="AS508" s="215" t="s">
        <v>534</v>
      </c>
      <c r="AU508" s="222" t="s">
        <v>819</v>
      </c>
    </row>
    <row r="509" spans="10:47" s="219" customFormat="1" x14ac:dyDescent="0.25">
      <c r="J509" s="223"/>
      <c r="K509" s="222"/>
      <c r="L509" s="215" t="s">
        <v>626</v>
      </c>
      <c r="M509" s="215" t="s">
        <v>448</v>
      </c>
      <c r="N509" s="215" t="s">
        <v>470</v>
      </c>
      <c r="O509" s="216">
        <v>41419</v>
      </c>
      <c r="P509" s="215" t="s">
        <v>531</v>
      </c>
      <c r="Q509" s="217">
        <v>100</v>
      </c>
      <c r="R509" s="215" t="s">
        <v>445</v>
      </c>
      <c r="S509" s="215" t="s">
        <v>532</v>
      </c>
      <c r="T509" s="215" t="s">
        <v>445</v>
      </c>
      <c r="U509" s="215" t="s">
        <v>446</v>
      </c>
      <c r="V509" s="217" t="b">
        <v>1</v>
      </c>
      <c r="W509" s="217">
        <v>1989</v>
      </c>
      <c r="X509" s="217">
        <v>5</v>
      </c>
      <c r="Y509" s="217">
        <v>2</v>
      </c>
      <c r="Z509" s="217">
        <v>4</v>
      </c>
      <c r="AA509" s="215" t="s">
        <v>447</v>
      </c>
      <c r="AB509" s="215" t="s">
        <v>531</v>
      </c>
      <c r="AC509" s="215" t="s">
        <v>533</v>
      </c>
      <c r="AD509" s="217">
        <v>1.2195149999999999</v>
      </c>
      <c r="AE509" s="217">
        <v>193</v>
      </c>
      <c r="AF509" s="217">
        <v>0.66720000000000002</v>
      </c>
      <c r="AG509" s="217">
        <v>-99</v>
      </c>
      <c r="AH509" s="215" t="s">
        <v>224</v>
      </c>
      <c r="AI509" s="215" t="s">
        <v>449</v>
      </c>
      <c r="AJ509" s="215" t="s">
        <v>313</v>
      </c>
      <c r="AK509" s="215" t="s">
        <v>531</v>
      </c>
      <c r="AL509" s="215" t="s">
        <v>387</v>
      </c>
      <c r="AM509" s="217" t="b">
        <v>1</v>
      </c>
      <c r="AN509" s="217" t="b">
        <v>0</v>
      </c>
      <c r="AO509" s="215" t="s">
        <v>314</v>
      </c>
      <c r="AP509" s="215" t="s">
        <v>315</v>
      </c>
      <c r="AQ509" s="217">
        <v>114.22852</v>
      </c>
      <c r="AR509" s="217" t="b">
        <v>0</v>
      </c>
      <c r="AS509" s="215" t="s">
        <v>534</v>
      </c>
      <c r="AU509" s="222" t="s">
        <v>819</v>
      </c>
    </row>
    <row r="510" spans="10:47" s="219" customFormat="1" x14ac:dyDescent="0.25">
      <c r="J510" s="223"/>
      <c r="K510" s="222"/>
      <c r="L510" s="215" t="s">
        <v>626</v>
      </c>
      <c r="M510" s="215" t="s">
        <v>448</v>
      </c>
      <c r="N510" s="215" t="s">
        <v>470</v>
      </c>
      <c r="O510" s="216">
        <v>41419</v>
      </c>
      <c r="P510" s="215" t="s">
        <v>531</v>
      </c>
      <c r="Q510" s="217">
        <v>100</v>
      </c>
      <c r="R510" s="215" t="s">
        <v>445</v>
      </c>
      <c r="S510" s="215" t="s">
        <v>532</v>
      </c>
      <c r="T510" s="215" t="s">
        <v>445</v>
      </c>
      <c r="U510" s="215" t="s">
        <v>446</v>
      </c>
      <c r="V510" s="217" t="b">
        <v>1</v>
      </c>
      <c r="W510" s="217">
        <v>1989</v>
      </c>
      <c r="X510" s="217">
        <v>5</v>
      </c>
      <c r="Y510" s="217">
        <v>2</v>
      </c>
      <c r="Z510" s="217">
        <v>4</v>
      </c>
      <c r="AA510" s="215" t="s">
        <v>447</v>
      </c>
      <c r="AB510" s="215" t="s">
        <v>531</v>
      </c>
      <c r="AC510" s="215" t="s">
        <v>533</v>
      </c>
      <c r="AD510" s="217">
        <v>1.2195149999999999</v>
      </c>
      <c r="AE510" s="217">
        <v>194</v>
      </c>
      <c r="AF510" s="217">
        <v>0.57069999999999999</v>
      </c>
      <c r="AG510" s="217">
        <v>-99</v>
      </c>
      <c r="AH510" s="215" t="s">
        <v>224</v>
      </c>
      <c r="AI510" s="215" t="s">
        <v>449</v>
      </c>
      <c r="AJ510" s="215" t="s">
        <v>316</v>
      </c>
      <c r="AK510" s="215" t="s">
        <v>531</v>
      </c>
      <c r="AL510" s="215" t="s">
        <v>388</v>
      </c>
      <c r="AM510" s="217" t="b">
        <v>1</v>
      </c>
      <c r="AN510" s="217" t="b">
        <v>0</v>
      </c>
      <c r="AO510" s="215" t="s">
        <v>317</v>
      </c>
      <c r="AP510" s="215" t="s">
        <v>318</v>
      </c>
      <c r="AQ510" s="217">
        <v>100.20194000000001</v>
      </c>
      <c r="AR510" s="217" t="b">
        <v>0</v>
      </c>
      <c r="AS510" s="215" t="s">
        <v>534</v>
      </c>
      <c r="AU510" s="222" t="s">
        <v>819</v>
      </c>
    </row>
    <row r="511" spans="10:47" s="219" customFormat="1" x14ac:dyDescent="0.25">
      <c r="J511" s="223"/>
      <c r="K511" s="222"/>
      <c r="L511" s="215" t="s">
        <v>626</v>
      </c>
      <c r="M511" s="215" t="s">
        <v>448</v>
      </c>
      <c r="N511" s="215" t="s">
        <v>470</v>
      </c>
      <c r="O511" s="216">
        <v>41419</v>
      </c>
      <c r="P511" s="215" t="s">
        <v>531</v>
      </c>
      <c r="Q511" s="217">
        <v>100</v>
      </c>
      <c r="R511" s="215" t="s">
        <v>445</v>
      </c>
      <c r="S511" s="215" t="s">
        <v>532</v>
      </c>
      <c r="T511" s="215" t="s">
        <v>445</v>
      </c>
      <c r="U511" s="215" t="s">
        <v>446</v>
      </c>
      <c r="V511" s="217" t="b">
        <v>1</v>
      </c>
      <c r="W511" s="217">
        <v>1989</v>
      </c>
      <c r="X511" s="217">
        <v>5</v>
      </c>
      <c r="Y511" s="217">
        <v>2</v>
      </c>
      <c r="Z511" s="217">
        <v>4</v>
      </c>
      <c r="AA511" s="215" t="s">
        <v>447</v>
      </c>
      <c r="AB511" s="215" t="s">
        <v>531</v>
      </c>
      <c r="AC511" s="215" t="s">
        <v>533</v>
      </c>
      <c r="AD511" s="217">
        <v>1.2195149999999999</v>
      </c>
      <c r="AE511" s="217">
        <v>199</v>
      </c>
      <c r="AF511" s="217">
        <v>2.6425000000000001</v>
      </c>
      <c r="AG511" s="217">
        <v>-99</v>
      </c>
      <c r="AH511" s="215" t="s">
        <v>224</v>
      </c>
      <c r="AI511" s="215" t="s">
        <v>449</v>
      </c>
      <c r="AJ511" s="215" t="s">
        <v>319</v>
      </c>
      <c r="AK511" s="215" t="s">
        <v>531</v>
      </c>
      <c r="AL511" s="215" t="s">
        <v>389</v>
      </c>
      <c r="AM511" s="217" t="b">
        <v>1</v>
      </c>
      <c r="AN511" s="217" t="b">
        <v>0</v>
      </c>
      <c r="AO511" s="215" t="s">
        <v>320</v>
      </c>
      <c r="AP511" s="215" t="s">
        <v>321</v>
      </c>
      <c r="AQ511" s="217">
        <v>86.175359999999998</v>
      </c>
      <c r="AR511" s="217" t="b">
        <v>0</v>
      </c>
      <c r="AS511" s="215" t="s">
        <v>534</v>
      </c>
      <c r="AU511" s="222" t="s">
        <v>819</v>
      </c>
    </row>
    <row r="512" spans="10:47" s="219" customFormat="1" x14ac:dyDescent="0.25">
      <c r="J512" s="223"/>
      <c r="K512" s="222"/>
      <c r="L512" s="215" t="s">
        <v>626</v>
      </c>
      <c r="M512" s="215" t="s">
        <v>448</v>
      </c>
      <c r="N512" s="215" t="s">
        <v>470</v>
      </c>
      <c r="O512" s="216">
        <v>41419</v>
      </c>
      <c r="P512" s="215" t="s">
        <v>531</v>
      </c>
      <c r="Q512" s="217">
        <v>100</v>
      </c>
      <c r="R512" s="215" t="s">
        <v>445</v>
      </c>
      <c r="S512" s="215" t="s">
        <v>532</v>
      </c>
      <c r="T512" s="215" t="s">
        <v>445</v>
      </c>
      <c r="U512" s="215" t="s">
        <v>446</v>
      </c>
      <c r="V512" s="217" t="b">
        <v>1</v>
      </c>
      <c r="W512" s="217">
        <v>1989</v>
      </c>
      <c r="X512" s="217">
        <v>5</v>
      </c>
      <c r="Y512" s="217">
        <v>2</v>
      </c>
      <c r="Z512" s="217">
        <v>4</v>
      </c>
      <c r="AA512" s="215" t="s">
        <v>447</v>
      </c>
      <c r="AB512" s="215" t="s">
        <v>531</v>
      </c>
      <c r="AC512" s="215" t="s">
        <v>533</v>
      </c>
      <c r="AD512" s="217">
        <v>1.2195149999999999</v>
      </c>
      <c r="AE512" s="217">
        <v>226</v>
      </c>
      <c r="AF512" s="217">
        <v>0.31359999999999999</v>
      </c>
      <c r="AG512" s="217">
        <v>-99</v>
      </c>
      <c r="AH512" s="215" t="s">
        <v>224</v>
      </c>
      <c r="AI512" s="215" t="s">
        <v>449</v>
      </c>
      <c r="AJ512" s="215" t="s">
        <v>439</v>
      </c>
      <c r="AK512" s="215" t="s">
        <v>531</v>
      </c>
      <c r="AL512" s="215" t="s">
        <v>461</v>
      </c>
      <c r="AM512" s="217" t="b">
        <v>0</v>
      </c>
      <c r="AN512" s="217" t="b">
        <v>0</v>
      </c>
      <c r="AO512" s="215" t="s">
        <v>440</v>
      </c>
      <c r="AP512" s="215" t="s">
        <v>531</v>
      </c>
      <c r="AQ512" s="217">
        <v>114.22852</v>
      </c>
      <c r="AR512" s="217" t="b">
        <v>0</v>
      </c>
      <c r="AS512" s="215" t="s">
        <v>534</v>
      </c>
      <c r="AU512" s="222" t="s">
        <v>819</v>
      </c>
    </row>
    <row r="513" spans="2:47" s="219" customFormat="1" x14ac:dyDescent="0.25">
      <c r="J513" s="223"/>
      <c r="K513" s="222"/>
      <c r="L513" s="215" t="s">
        <v>626</v>
      </c>
      <c r="M513" s="215" t="s">
        <v>448</v>
      </c>
      <c r="N513" s="215" t="s">
        <v>470</v>
      </c>
      <c r="O513" s="216">
        <v>41419</v>
      </c>
      <c r="P513" s="215" t="s">
        <v>531</v>
      </c>
      <c r="Q513" s="217">
        <v>100</v>
      </c>
      <c r="R513" s="215" t="s">
        <v>445</v>
      </c>
      <c r="S513" s="215" t="s">
        <v>532</v>
      </c>
      <c r="T513" s="215" t="s">
        <v>445</v>
      </c>
      <c r="U513" s="215" t="s">
        <v>446</v>
      </c>
      <c r="V513" s="217" t="b">
        <v>1</v>
      </c>
      <c r="W513" s="217">
        <v>1989</v>
      </c>
      <c r="X513" s="217">
        <v>5</v>
      </c>
      <c r="Y513" s="217">
        <v>2</v>
      </c>
      <c r="Z513" s="217">
        <v>4</v>
      </c>
      <c r="AA513" s="215" t="s">
        <v>447</v>
      </c>
      <c r="AB513" s="215" t="s">
        <v>531</v>
      </c>
      <c r="AC513" s="215" t="s">
        <v>533</v>
      </c>
      <c r="AD513" s="217">
        <v>1.2195149999999999</v>
      </c>
      <c r="AE513" s="217">
        <v>245</v>
      </c>
      <c r="AF513" s="217">
        <v>0.82940000000000003</v>
      </c>
      <c r="AG513" s="217">
        <v>-99</v>
      </c>
      <c r="AH513" s="215" t="s">
        <v>224</v>
      </c>
      <c r="AI513" s="215" t="s">
        <v>449</v>
      </c>
      <c r="AJ513" s="215" t="s">
        <v>325</v>
      </c>
      <c r="AK513" s="215" t="s">
        <v>531</v>
      </c>
      <c r="AL513" s="215" t="s">
        <v>390</v>
      </c>
      <c r="AM513" s="217" t="b">
        <v>1</v>
      </c>
      <c r="AN513" s="217" t="b">
        <v>0</v>
      </c>
      <c r="AO513" s="215" t="s">
        <v>326</v>
      </c>
      <c r="AP513" s="215" t="s">
        <v>327</v>
      </c>
      <c r="AQ513" s="217">
        <v>100.20194000000001</v>
      </c>
      <c r="AR513" s="217" t="b">
        <v>0</v>
      </c>
      <c r="AS513" s="215" t="s">
        <v>534</v>
      </c>
      <c r="AU513" s="222" t="s">
        <v>819</v>
      </c>
    </row>
    <row r="514" spans="2:47" s="219" customFormat="1" x14ac:dyDescent="0.25">
      <c r="J514" s="223"/>
      <c r="K514" s="222"/>
      <c r="L514" s="215" t="s">
        <v>626</v>
      </c>
      <c r="M514" s="215" t="s">
        <v>448</v>
      </c>
      <c r="N514" s="215" t="s">
        <v>470</v>
      </c>
      <c r="O514" s="216">
        <v>41419</v>
      </c>
      <c r="P514" s="215" t="s">
        <v>531</v>
      </c>
      <c r="Q514" s="217">
        <v>100</v>
      </c>
      <c r="R514" s="215" t="s">
        <v>445</v>
      </c>
      <c r="S514" s="215" t="s">
        <v>532</v>
      </c>
      <c r="T514" s="215" t="s">
        <v>445</v>
      </c>
      <c r="U514" s="215" t="s">
        <v>446</v>
      </c>
      <c r="V514" s="217" t="b">
        <v>1</v>
      </c>
      <c r="W514" s="217">
        <v>1989</v>
      </c>
      <c r="X514" s="217">
        <v>5</v>
      </c>
      <c r="Y514" s="217">
        <v>2</v>
      </c>
      <c r="Z514" s="217">
        <v>4</v>
      </c>
      <c r="AA514" s="215" t="s">
        <v>447</v>
      </c>
      <c r="AB514" s="215" t="s">
        <v>531</v>
      </c>
      <c r="AC514" s="215" t="s">
        <v>533</v>
      </c>
      <c r="AD514" s="217">
        <v>1.2195149999999999</v>
      </c>
      <c r="AE514" s="217">
        <v>248</v>
      </c>
      <c r="AF514" s="217">
        <v>1.9294</v>
      </c>
      <c r="AG514" s="217">
        <v>-99</v>
      </c>
      <c r="AH514" s="215" t="s">
        <v>224</v>
      </c>
      <c r="AI514" s="215" t="s">
        <v>449</v>
      </c>
      <c r="AJ514" s="215" t="s">
        <v>328</v>
      </c>
      <c r="AK514" s="215" t="s">
        <v>531</v>
      </c>
      <c r="AL514" s="215" t="s">
        <v>391</v>
      </c>
      <c r="AM514" s="217" t="b">
        <v>1</v>
      </c>
      <c r="AN514" s="217" t="b">
        <v>0</v>
      </c>
      <c r="AO514" s="215" t="s">
        <v>329</v>
      </c>
      <c r="AP514" s="215" t="s">
        <v>330</v>
      </c>
      <c r="AQ514" s="217">
        <v>86.175359999999998</v>
      </c>
      <c r="AR514" s="217" t="b">
        <v>0</v>
      </c>
      <c r="AS514" s="215" t="s">
        <v>534</v>
      </c>
      <c r="AU514" s="222" t="s">
        <v>819</v>
      </c>
    </row>
    <row r="515" spans="2:47" s="219" customFormat="1" x14ac:dyDescent="0.25">
      <c r="J515" s="223"/>
      <c r="K515" s="222"/>
      <c r="L515" s="215" t="s">
        <v>626</v>
      </c>
      <c r="M515" s="215" t="s">
        <v>448</v>
      </c>
      <c r="N515" s="215" t="s">
        <v>470</v>
      </c>
      <c r="O515" s="216">
        <v>41419</v>
      </c>
      <c r="P515" s="215" t="s">
        <v>531</v>
      </c>
      <c r="Q515" s="217">
        <v>100</v>
      </c>
      <c r="R515" s="215" t="s">
        <v>445</v>
      </c>
      <c r="S515" s="215" t="s">
        <v>532</v>
      </c>
      <c r="T515" s="215" t="s">
        <v>445</v>
      </c>
      <c r="U515" s="215" t="s">
        <v>446</v>
      </c>
      <c r="V515" s="217" t="b">
        <v>1</v>
      </c>
      <c r="W515" s="217">
        <v>1989</v>
      </c>
      <c r="X515" s="217">
        <v>5</v>
      </c>
      <c r="Y515" s="217">
        <v>2</v>
      </c>
      <c r="Z515" s="217">
        <v>4</v>
      </c>
      <c r="AA515" s="215" t="s">
        <v>447</v>
      </c>
      <c r="AB515" s="215" t="s">
        <v>531</v>
      </c>
      <c r="AC515" s="215" t="s">
        <v>533</v>
      </c>
      <c r="AD515" s="217">
        <v>1.2195149999999999</v>
      </c>
      <c r="AE515" s="217">
        <v>302</v>
      </c>
      <c r="AF515" s="217">
        <v>0.55589999999999995</v>
      </c>
      <c r="AG515" s="217">
        <v>-99</v>
      </c>
      <c r="AH515" s="215" t="s">
        <v>224</v>
      </c>
      <c r="AI515" s="215" t="s">
        <v>449</v>
      </c>
      <c r="AJ515" s="215" t="s">
        <v>262</v>
      </c>
      <c r="AK515" s="215" t="s">
        <v>531</v>
      </c>
      <c r="AL515" s="215" t="s">
        <v>373</v>
      </c>
      <c r="AM515" s="217" t="b">
        <v>1</v>
      </c>
      <c r="AN515" s="217" t="b">
        <v>1</v>
      </c>
      <c r="AO515" s="215" t="s">
        <v>263</v>
      </c>
      <c r="AP515" s="215" t="s">
        <v>264</v>
      </c>
      <c r="AQ515" s="217">
        <v>78.111840000000001</v>
      </c>
      <c r="AR515" s="217" t="b">
        <v>0</v>
      </c>
      <c r="AS515" s="215" t="s">
        <v>534</v>
      </c>
      <c r="AU515" s="222" t="s">
        <v>819</v>
      </c>
    </row>
    <row r="516" spans="2:47" s="219" customFormat="1" x14ac:dyDescent="0.25">
      <c r="J516" s="223"/>
      <c r="K516" s="222"/>
      <c r="L516" s="215" t="s">
        <v>626</v>
      </c>
      <c r="M516" s="215" t="s">
        <v>448</v>
      </c>
      <c r="N516" s="215" t="s">
        <v>470</v>
      </c>
      <c r="O516" s="216">
        <v>41419</v>
      </c>
      <c r="P516" s="215" t="s">
        <v>531</v>
      </c>
      <c r="Q516" s="217">
        <v>100</v>
      </c>
      <c r="R516" s="215" t="s">
        <v>445</v>
      </c>
      <c r="S516" s="215" t="s">
        <v>532</v>
      </c>
      <c r="T516" s="215" t="s">
        <v>445</v>
      </c>
      <c r="U516" s="215" t="s">
        <v>446</v>
      </c>
      <c r="V516" s="217" t="b">
        <v>1</v>
      </c>
      <c r="W516" s="217">
        <v>1989</v>
      </c>
      <c r="X516" s="217">
        <v>5</v>
      </c>
      <c r="Y516" s="217">
        <v>2</v>
      </c>
      <c r="Z516" s="217">
        <v>4</v>
      </c>
      <c r="AA516" s="215" t="s">
        <v>447</v>
      </c>
      <c r="AB516" s="215" t="s">
        <v>531</v>
      </c>
      <c r="AC516" s="215" t="s">
        <v>533</v>
      </c>
      <c r="AD516" s="217">
        <v>1.2195149999999999</v>
      </c>
      <c r="AE516" s="217">
        <v>385</v>
      </c>
      <c r="AF516" s="217">
        <v>3.1600000000000003E-2</v>
      </c>
      <c r="AG516" s="217">
        <v>-99</v>
      </c>
      <c r="AH516" s="215" t="s">
        <v>224</v>
      </c>
      <c r="AI516" s="215" t="s">
        <v>449</v>
      </c>
      <c r="AJ516" s="215" t="s">
        <v>331</v>
      </c>
      <c r="AK516" s="215" t="s">
        <v>531</v>
      </c>
      <c r="AL516" s="215" t="s">
        <v>392</v>
      </c>
      <c r="AM516" s="217" t="b">
        <v>1</v>
      </c>
      <c r="AN516" s="217" t="b">
        <v>0</v>
      </c>
      <c r="AO516" s="215" t="s">
        <v>332</v>
      </c>
      <c r="AP516" s="215" t="s">
        <v>333</v>
      </c>
      <c r="AQ516" s="217">
        <v>84.159480000000002</v>
      </c>
      <c r="AR516" s="217" t="b">
        <v>0</v>
      </c>
      <c r="AS516" s="215" t="s">
        <v>534</v>
      </c>
      <c r="AU516" s="222" t="s">
        <v>819</v>
      </c>
    </row>
    <row r="517" spans="2:47" s="219" customFormat="1" x14ac:dyDescent="0.25">
      <c r="B517" s="218"/>
      <c r="C517" s="218"/>
      <c r="D517" s="218"/>
      <c r="E517" s="218"/>
      <c r="F517" s="218"/>
      <c r="G517" s="218"/>
      <c r="H517" s="218"/>
      <c r="I517" s="218"/>
      <c r="J517" s="218"/>
      <c r="K517" s="221"/>
      <c r="L517" s="215" t="s">
        <v>626</v>
      </c>
      <c r="M517" s="215" t="s">
        <v>448</v>
      </c>
      <c r="N517" s="215" t="s">
        <v>470</v>
      </c>
      <c r="O517" s="216">
        <v>41419</v>
      </c>
      <c r="P517" s="215" t="s">
        <v>531</v>
      </c>
      <c r="Q517" s="217">
        <v>100</v>
      </c>
      <c r="R517" s="215" t="s">
        <v>445</v>
      </c>
      <c r="S517" s="215" t="s">
        <v>532</v>
      </c>
      <c r="T517" s="215" t="s">
        <v>445</v>
      </c>
      <c r="U517" s="215" t="s">
        <v>446</v>
      </c>
      <c r="V517" s="217" t="b">
        <v>1</v>
      </c>
      <c r="W517" s="217">
        <v>1989</v>
      </c>
      <c r="X517" s="217">
        <v>5</v>
      </c>
      <c r="Y517" s="217">
        <v>2</v>
      </c>
      <c r="Z517" s="217">
        <v>4</v>
      </c>
      <c r="AA517" s="215" t="s">
        <v>447</v>
      </c>
      <c r="AB517" s="215" t="s">
        <v>531</v>
      </c>
      <c r="AC517" s="215" t="s">
        <v>533</v>
      </c>
      <c r="AD517" s="217">
        <v>1.2195149999999999</v>
      </c>
      <c r="AE517" s="217">
        <v>390</v>
      </c>
      <c r="AF517" s="217">
        <v>0.56120000000000003</v>
      </c>
      <c r="AG517" s="217">
        <v>-99</v>
      </c>
      <c r="AH517" s="215" t="s">
        <v>224</v>
      </c>
      <c r="AI517" s="215" t="s">
        <v>449</v>
      </c>
      <c r="AJ517" s="215" t="s">
        <v>334</v>
      </c>
      <c r="AK517" s="215" t="s">
        <v>531</v>
      </c>
      <c r="AL517" s="215" t="s">
        <v>393</v>
      </c>
      <c r="AM517" s="217" t="b">
        <v>1</v>
      </c>
      <c r="AN517" s="217" t="b">
        <v>0</v>
      </c>
      <c r="AO517" s="215" t="s">
        <v>335</v>
      </c>
      <c r="AP517" s="215" t="s">
        <v>336</v>
      </c>
      <c r="AQ517" s="217">
        <v>70.132900000000006</v>
      </c>
      <c r="AR517" s="217" t="b">
        <v>0</v>
      </c>
      <c r="AS517" s="215" t="s">
        <v>534</v>
      </c>
      <c r="AU517" s="222" t="s">
        <v>819</v>
      </c>
    </row>
    <row r="518" spans="2:47" s="219" customFormat="1" x14ac:dyDescent="0.25">
      <c r="B518" s="218"/>
      <c r="C518" s="218"/>
      <c r="D518" s="218"/>
      <c r="E518" s="218"/>
      <c r="F518" s="218"/>
      <c r="G518" s="218"/>
      <c r="H518" s="218"/>
      <c r="I518" s="218"/>
      <c r="J518" s="218"/>
      <c r="K518" s="221"/>
      <c r="L518" s="215" t="s">
        <v>626</v>
      </c>
      <c r="M518" s="215" t="s">
        <v>448</v>
      </c>
      <c r="N518" s="215" t="s">
        <v>470</v>
      </c>
      <c r="O518" s="216">
        <v>41419</v>
      </c>
      <c r="P518" s="215" t="s">
        <v>531</v>
      </c>
      <c r="Q518" s="217">
        <v>100</v>
      </c>
      <c r="R518" s="215" t="s">
        <v>445</v>
      </c>
      <c r="S518" s="215" t="s">
        <v>532</v>
      </c>
      <c r="T518" s="215" t="s">
        <v>445</v>
      </c>
      <c r="U518" s="215" t="s">
        <v>446</v>
      </c>
      <c r="V518" s="217" t="b">
        <v>1</v>
      </c>
      <c r="W518" s="217">
        <v>1989</v>
      </c>
      <c r="X518" s="217">
        <v>5</v>
      </c>
      <c r="Y518" s="217">
        <v>2</v>
      </c>
      <c r="Z518" s="217">
        <v>4</v>
      </c>
      <c r="AA518" s="215" t="s">
        <v>447</v>
      </c>
      <c r="AB518" s="215" t="s">
        <v>531</v>
      </c>
      <c r="AC518" s="215" t="s">
        <v>533</v>
      </c>
      <c r="AD518" s="217">
        <v>1.2195149999999999</v>
      </c>
      <c r="AE518" s="217">
        <v>438</v>
      </c>
      <c r="AF518" s="217">
        <v>8.6278000000000006</v>
      </c>
      <c r="AG518" s="217">
        <v>-99</v>
      </c>
      <c r="AH518" s="215" t="s">
        <v>224</v>
      </c>
      <c r="AI518" s="215" t="s">
        <v>449</v>
      </c>
      <c r="AJ518" s="215" t="s">
        <v>265</v>
      </c>
      <c r="AK518" s="215" t="s">
        <v>531</v>
      </c>
      <c r="AL518" s="215" t="s">
        <v>374</v>
      </c>
      <c r="AM518" s="217" t="b">
        <v>1</v>
      </c>
      <c r="AN518" s="217" t="b">
        <v>0</v>
      </c>
      <c r="AO518" s="215" t="s">
        <v>266</v>
      </c>
      <c r="AP518" s="215" t="s">
        <v>267</v>
      </c>
      <c r="AQ518" s="217">
        <v>30.069040000000005</v>
      </c>
      <c r="AR518" s="217" t="b">
        <v>1</v>
      </c>
      <c r="AS518" s="215" t="s">
        <v>534</v>
      </c>
      <c r="AU518" s="222" t="s">
        <v>819</v>
      </c>
    </row>
    <row r="519" spans="2:47" s="219" customFormat="1" x14ac:dyDescent="0.25">
      <c r="B519" s="218"/>
      <c r="C519" s="218"/>
      <c r="D519" s="218"/>
      <c r="E519" s="218"/>
      <c r="F519" s="218"/>
      <c r="G519" s="218"/>
      <c r="H519" s="218"/>
      <c r="I519" s="218"/>
      <c r="J519" s="218"/>
      <c r="K519" s="221"/>
      <c r="L519" s="215" t="s">
        <v>626</v>
      </c>
      <c r="M519" s="215" t="s">
        <v>448</v>
      </c>
      <c r="N519" s="215" t="s">
        <v>470</v>
      </c>
      <c r="O519" s="216">
        <v>41419</v>
      </c>
      <c r="P519" s="215" t="s">
        <v>531</v>
      </c>
      <c r="Q519" s="217">
        <v>100</v>
      </c>
      <c r="R519" s="215" t="s">
        <v>445</v>
      </c>
      <c r="S519" s="215" t="s">
        <v>532</v>
      </c>
      <c r="T519" s="215" t="s">
        <v>445</v>
      </c>
      <c r="U519" s="215" t="s">
        <v>446</v>
      </c>
      <c r="V519" s="217" t="b">
        <v>1</v>
      </c>
      <c r="W519" s="217">
        <v>1989</v>
      </c>
      <c r="X519" s="217">
        <v>5</v>
      </c>
      <c r="Y519" s="217">
        <v>2</v>
      </c>
      <c r="Z519" s="217">
        <v>4</v>
      </c>
      <c r="AA519" s="215" t="s">
        <v>447</v>
      </c>
      <c r="AB519" s="215" t="s">
        <v>531</v>
      </c>
      <c r="AC519" s="215" t="s">
        <v>533</v>
      </c>
      <c r="AD519" s="217">
        <v>1.2195149999999999</v>
      </c>
      <c r="AE519" s="217">
        <v>449</v>
      </c>
      <c r="AF519" s="217">
        <v>0.50519999999999998</v>
      </c>
      <c r="AG519" s="217">
        <v>-99</v>
      </c>
      <c r="AH519" s="215" t="s">
        <v>224</v>
      </c>
      <c r="AI519" s="215" t="s">
        <v>449</v>
      </c>
      <c r="AJ519" s="215" t="s">
        <v>337</v>
      </c>
      <c r="AK519" s="215" t="s">
        <v>531</v>
      </c>
      <c r="AL519" s="215" t="s">
        <v>394</v>
      </c>
      <c r="AM519" s="217" t="b">
        <v>1</v>
      </c>
      <c r="AN519" s="217" t="b">
        <v>1</v>
      </c>
      <c r="AO519" s="215" t="s">
        <v>338</v>
      </c>
      <c r="AP519" s="215" t="s">
        <v>339</v>
      </c>
      <c r="AQ519" s="217">
        <v>106.16500000000001</v>
      </c>
      <c r="AR519" s="217" t="b">
        <v>0</v>
      </c>
      <c r="AS519" s="215" t="s">
        <v>534</v>
      </c>
      <c r="AU519" s="222" t="s">
        <v>819</v>
      </c>
    </row>
    <row r="520" spans="2:47" s="219" customFormat="1" x14ac:dyDescent="0.25">
      <c r="B520" s="218"/>
      <c r="C520" s="218"/>
      <c r="D520" s="218"/>
      <c r="E520" s="218"/>
      <c r="F520" s="218"/>
      <c r="G520" s="218"/>
      <c r="H520" s="218"/>
      <c r="I520" s="218"/>
      <c r="J520" s="218"/>
      <c r="K520" s="221"/>
      <c r="L520" s="215" t="s">
        <v>626</v>
      </c>
      <c r="M520" s="215" t="s">
        <v>448</v>
      </c>
      <c r="N520" s="215" t="s">
        <v>470</v>
      </c>
      <c r="O520" s="216">
        <v>41419</v>
      </c>
      <c r="P520" s="215" t="s">
        <v>531</v>
      </c>
      <c r="Q520" s="217">
        <v>100</v>
      </c>
      <c r="R520" s="215" t="s">
        <v>445</v>
      </c>
      <c r="S520" s="215" t="s">
        <v>532</v>
      </c>
      <c r="T520" s="215" t="s">
        <v>445</v>
      </c>
      <c r="U520" s="215" t="s">
        <v>446</v>
      </c>
      <c r="V520" s="217" t="b">
        <v>1</v>
      </c>
      <c r="W520" s="217">
        <v>1989</v>
      </c>
      <c r="X520" s="217">
        <v>5</v>
      </c>
      <c r="Y520" s="217">
        <v>2</v>
      </c>
      <c r="Z520" s="217">
        <v>4</v>
      </c>
      <c r="AA520" s="215" t="s">
        <v>447</v>
      </c>
      <c r="AB520" s="215" t="s">
        <v>531</v>
      </c>
      <c r="AC520" s="215" t="s">
        <v>533</v>
      </c>
      <c r="AD520" s="217">
        <v>1.2195149999999999</v>
      </c>
      <c r="AE520" s="217">
        <v>491</v>
      </c>
      <c r="AF520" s="217">
        <v>7.6645000000000003</v>
      </c>
      <c r="AG520" s="217">
        <v>-99</v>
      </c>
      <c r="AH520" s="215" t="s">
        <v>224</v>
      </c>
      <c r="AI520" s="215" t="s">
        <v>449</v>
      </c>
      <c r="AJ520" s="215" t="s">
        <v>268</v>
      </c>
      <c r="AK520" s="215" t="s">
        <v>531</v>
      </c>
      <c r="AL520" s="215" t="s">
        <v>375</v>
      </c>
      <c r="AM520" s="217" t="b">
        <v>1</v>
      </c>
      <c r="AN520" s="217" t="b">
        <v>0</v>
      </c>
      <c r="AO520" s="215" t="s">
        <v>269</v>
      </c>
      <c r="AP520" s="215" t="s">
        <v>270</v>
      </c>
      <c r="AQ520" s="217">
        <v>58.122199999999992</v>
      </c>
      <c r="AR520" s="217" t="b">
        <v>0</v>
      </c>
      <c r="AS520" s="215" t="s">
        <v>534</v>
      </c>
      <c r="AU520" s="222" t="s">
        <v>819</v>
      </c>
    </row>
    <row r="521" spans="2:47" s="219" customFormat="1" x14ac:dyDescent="0.25">
      <c r="B521" s="218"/>
      <c r="C521" s="218"/>
      <c r="D521" s="218"/>
      <c r="E521" s="218"/>
      <c r="F521" s="218"/>
      <c r="G521" s="218"/>
      <c r="H521" s="218"/>
      <c r="I521" s="218"/>
      <c r="J521" s="218"/>
      <c r="K521" s="221"/>
      <c r="L521" s="215" t="s">
        <v>626</v>
      </c>
      <c r="M521" s="215" t="s">
        <v>448</v>
      </c>
      <c r="N521" s="215" t="s">
        <v>470</v>
      </c>
      <c r="O521" s="216">
        <v>41419</v>
      </c>
      <c r="P521" s="215" t="s">
        <v>531</v>
      </c>
      <c r="Q521" s="217">
        <v>100</v>
      </c>
      <c r="R521" s="215" t="s">
        <v>445</v>
      </c>
      <c r="S521" s="215" t="s">
        <v>532</v>
      </c>
      <c r="T521" s="215" t="s">
        <v>445</v>
      </c>
      <c r="U521" s="215" t="s">
        <v>446</v>
      </c>
      <c r="V521" s="217" t="b">
        <v>1</v>
      </c>
      <c r="W521" s="217">
        <v>1989</v>
      </c>
      <c r="X521" s="217">
        <v>5</v>
      </c>
      <c r="Y521" s="217">
        <v>2</v>
      </c>
      <c r="Z521" s="217">
        <v>4</v>
      </c>
      <c r="AA521" s="215" t="s">
        <v>447</v>
      </c>
      <c r="AB521" s="215" t="s">
        <v>531</v>
      </c>
      <c r="AC521" s="215" t="s">
        <v>533</v>
      </c>
      <c r="AD521" s="217">
        <v>1.2195149999999999</v>
      </c>
      <c r="AE521" s="217">
        <v>499</v>
      </c>
      <c r="AF521" s="217">
        <v>6.08E-2</v>
      </c>
      <c r="AG521" s="217">
        <v>-99</v>
      </c>
      <c r="AH521" s="215" t="s">
        <v>224</v>
      </c>
      <c r="AI521" s="215" t="s">
        <v>449</v>
      </c>
      <c r="AJ521" s="215" t="s">
        <v>531</v>
      </c>
      <c r="AK521" s="215" t="s">
        <v>642</v>
      </c>
      <c r="AL521" s="215" t="s">
        <v>643</v>
      </c>
      <c r="AM521" s="217" t="b">
        <v>0</v>
      </c>
      <c r="AN521" s="217" t="b">
        <v>0</v>
      </c>
      <c r="AO521" s="215" t="s">
        <v>644</v>
      </c>
      <c r="AP521" s="215" t="s">
        <v>531</v>
      </c>
      <c r="AQ521" s="217">
        <v>134.21816000000001</v>
      </c>
      <c r="AR521" s="217" t="b">
        <v>0</v>
      </c>
      <c r="AS521" s="215" t="s">
        <v>534</v>
      </c>
      <c r="AU521" s="222" t="s">
        <v>819</v>
      </c>
    </row>
    <row r="522" spans="2:47" s="219" customFormat="1" x14ac:dyDescent="0.25">
      <c r="B522" s="218"/>
      <c r="C522" s="218"/>
      <c r="D522" s="218"/>
      <c r="E522" s="218"/>
      <c r="F522" s="218"/>
      <c r="G522" s="218"/>
      <c r="H522" s="218"/>
      <c r="I522" s="218"/>
      <c r="J522" s="218"/>
      <c r="K522" s="221"/>
      <c r="L522" s="215" t="s">
        <v>626</v>
      </c>
      <c r="M522" s="215" t="s">
        <v>448</v>
      </c>
      <c r="N522" s="215" t="s">
        <v>470</v>
      </c>
      <c r="O522" s="216">
        <v>41419</v>
      </c>
      <c r="P522" s="215" t="s">
        <v>531</v>
      </c>
      <c r="Q522" s="217">
        <v>100</v>
      </c>
      <c r="R522" s="215" t="s">
        <v>445</v>
      </c>
      <c r="S522" s="215" t="s">
        <v>532</v>
      </c>
      <c r="T522" s="215" t="s">
        <v>445</v>
      </c>
      <c r="U522" s="215" t="s">
        <v>446</v>
      </c>
      <c r="V522" s="217" t="b">
        <v>1</v>
      </c>
      <c r="W522" s="217">
        <v>1989</v>
      </c>
      <c r="X522" s="217">
        <v>5</v>
      </c>
      <c r="Y522" s="217">
        <v>2</v>
      </c>
      <c r="Z522" s="217">
        <v>4</v>
      </c>
      <c r="AA522" s="215" t="s">
        <v>447</v>
      </c>
      <c r="AB522" s="215" t="s">
        <v>531</v>
      </c>
      <c r="AC522" s="215" t="s">
        <v>533</v>
      </c>
      <c r="AD522" s="217">
        <v>1.2195149999999999</v>
      </c>
      <c r="AE522" s="217">
        <v>508</v>
      </c>
      <c r="AF522" s="217">
        <v>8.6462000000000003</v>
      </c>
      <c r="AG522" s="217">
        <v>-99</v>
      </c>
      <c r="AH522" s="215" t="s">
        <v>224</v>
      </c>
      <c r="AI522" s="215" t="s">
        <v>449</v>
      </c>
      <c r="AJ522" s="215" t="s">
        <v>342</v>
      </c>
      <c r="AK522" s="215" t="s">
        <v>531</v>
      </c>
      <c r="AL522" s="215" t="s">
        <v>395</v>
      </c>
      <c r="AM522" s="217" t="b">
        <v>1</v>
      </c>
      <c r="AN522" s="217" t="b">
        <v>0</v>
      </c>
      <c r="AO522" s="215" t="s">
        <v>343</v>
      </c>
      <c r="AP522" s="215" t="s">
        <v>344</v>
      </c>
      <c r="AQ522" s="217">
        <v>72.148780000000002</v>
      </c>
      <c r="AR522" s="217" t="b">
        <v>0</v>
      </c>
      <c r="AS522" s="215" t="s">
        <v>534</v>
      </c>
      <c r="AU522" s="222" t="s">
        <v>819</v>
      </c>
    </row>
    <row r="523" spans="2:47" s="219" customFormat="1" x14ac:dyDescent="0.25">
      <c r="B523" s="218"/>
      <c r="C523" s="218"/>
      <c r="D523" s="218"/>
      <c r="E523" s="218"/>
      <c r="F523" s="218"/>
      <c r="G523" s="218"/>
      <c r="H523" s="218"/>
      <c r="I523" s="218"/>
      <c r="J523" s="218"/>
      <c r="K523" s="221"/>
      <c r="L523" s="215" t="s">
        <v>626</v>
      </c>
      <c r="M523" s="215" t="s">
        <v>448</v>
      </c>
      <c r="N523" s="215" t="s">
        <v>470</v>
      </c>
      <c r="O523" s="216">
        <v>41419</v>
      </c>
      <c r="P523" s="215" t="s">
        <v>531</v>
      </c>
      <c r="Q523" s="217">
        <v>100</v>
      </c>
      <c r="R523" s="215" t="s">
        <v>445</v>
      </c>
      <c r="S523" s="215" t="s">
        <v>532</v>
      </c>
      <c r="T523" s="215" t="s">
        <v>445</v>
      </c>
      <c r="U523" s="215" t="s">
        <v>446</v>
      </c>
      <c r="V523" s="217" t="b">
        <v>1</v>
      </c>
      <c r="W523" s="217">
        <v>1989</v>
      </c>
      <c r="X523" s="217">
        <v>5</v>
      </c>
      <c r="Y523" s="217">
        <v>2</v>
      </c>
      <c r="Z523" s="217">
        <v>4</v>
      </c>
      <c r="AA523" s="215" t="s">
        <v>447</v>
      </c>
      <c r="AB523" s="215" t="s">
        <v>531</v>
      </c>
      <c r="AC523" s="215" t="s">
        <v>533</v>
      </c>
      <c r="AD523" s="217">
        <v>1.2195149999999999</v>
      </c>
      <c r="AE523" s="217">
        <v>514</v>
      </c>
      <c r="AF523" s="217">
        <v>5.16E-2</v>
      </c>
      <c r="AG523" s="217">
        <v>-99</v>
      </c>
      <c r="AH523" s="215" t="s">
        <v>224</v>
      </c>
      <c r="AI523" s="215" t="s">
        <v>449</v>
      </c>
      <c r="AJ523" s="215" t="s">
        <v>362</v>
      </c>
      <c r="AK523" s="215" t="s">
        <v>531</v>
      </c>
      <c r="AL523" s="215" t="s">
        <v>399</v>
      </c>
      <c r="AM523" s="217" t="b">
        <v>1</v>
      </c>
      <c r="AN523" s="217" t="b">
        <v>1</v>
      </c>
      <c r="AO523" s="215" t="s">
        <v>363</v>
      </c>
      <c r="AP523" s="215" t="s">
        <v>364</v>
      </c>
      <c r="AQ523" s="217">
        <v>120.19158</v>
      </c>
      <c r="AR523" s="217" t="b">
        <v>0</v>
      </c>
      <c r="AS523" s="215" t="s">
        <v>534</v>
      </c>
      <c r="AU523" s="222" t="s">
        <v>819</v>
      </c>
    </row>
    <row r="524" spans="2:47" s="219" customFormat="1" x14ac:dyDescent="0.25">
      <c r="B524" s="218"/>
      <c r="C524" s="218"/>
      <c r="D524" s="218"/>
      <c r="E524" s="218"/>
      <c r="F524" s="218"/>
      <c r="G524" s="218"/>
      <c r="H524" s="218"/>
      <c r="I524" s="218"/>
      <c r="J524" s="218"/>
      <c r="K524" s="221"/>
      <c r="L524" s="215" t="s">
        <v>626</v>
      </c>
      <c r="M524" s="215" t="s">
        <v>448</v>
      </c>
      <c r="N524" s="215" t="s">
        <v>470</v>
      </c>
      <c r="O524" s="216">
        <v>41419</v>
      </c>
      <c r="P524" s="215" t="s">
        <v>531</v>
      </c>
      <c r="Q524" s="217">
        <v>100</v>
      </c>
      <c r="R524" s="215" t="s">
        <v>445</v>
      </c>
      <c r="S524" s="215" t="s">
        <v>532</v>
      </c>
      <c r="T524" s="215" t="s">
        <v>445</v>
      </c>
      <c r="U524" s="215" t="s">
        <v>446</v>
      </c>
      <c r="V524" s="217" t="b">
        <v>1</v>
      </c>
      <c r="W524" s="217">
        <v>1989</v>
      </c>
      <c r="X524" s="217">
        <v>5</v>
      </c>
      <c r="Y524" s="217">
        <v>2</v>
      </c>
      <c r="Z524" s="217">
        <v>4</v>
      </c>
      <c r="AA524" s="215" t="s">
        <v>447</v>
      </c>
      <c r="AB524" s="215" t="s">
        <v>531</v>
      </c>
      <c r="AC524" s="215" t="s">
        <v>533</v>
      </c>
      <c r="AD524" s="217">
        <v>1.2195149999999999</v>
      </c>
      <c r="AE524" s="217">
        <v>524</v>
      </c>
      <c r="AF524" s="217">
        <v>0.58320000000000005</v>
      </c>
      <c r="AG524" s="217">
        <v>-99</v>
      </c>
      <c r="AH524" s="215" t="s">
        <v>224</v>
      </c>
      <c r="AI524" s="215" t="s">
        <v>449</v>
      </c>
      <c r="AJ524" s="215" t="s">
        <v>436</v>
      </c>
      <c r="AK524" s="215" t="s">
        <v>531</v>
      </c>
      <c r="AL524" s="215" t="s">
        <v>460</v>
      </c>
      <c r="AM524" s="217" t="b">
        <v>0</v>
      </c>
      <c r="AN524" s="217" t="b">
        <v>1</v>
      </c>
      <c r="AO524" s="215" t="s">
        <v>437</v>
      </c>
      <c r="AP524" s="215" t="s">
        <v>438</v>
      </c>
      <c r="AQ524" s="217">
        <v>106.16500000000001</v>
      </c>
      <c r="AR524" s="217" t="b">
        <v>0</v>
      </c>
      <c r="AS524" s="215" t="s">
        <v>534</v>
      </c>
      <c r="AU524" s="222" t="s">
        <v>819</v>
      </c>
    </row>
    <row r="525" spans="2:47" s="219" customFormat="1" x14ac:dyDescent="0.25">
      <c r="B525" s="218"/>
      <c r="C525" s="218"/>
      <c r="D525" s="218"/>
      <c r="E525" s="218"/>
      <c r="F525" s="218"/>
      <c r="G525" s="218"/>
      <c r="H525" s="218"/>
      <c r="I525" s="218"/>
      <c r="J525" s="218"/>
      <c r="K525" s="221"/>
      <c r="L525" s="215" t="s">
        <v>626</v>
      </c>
      <c r="M525" s="215" t="s">
        <v>448</v>
      </c>
      <c r="N525" s="215" t="s">
        <v>470</v>
      </c>
      <c r="O525" s="216">
        <v>41419</v>
      </c>
      <c r="P525" s="215" t="s">
        <v>531</v>
      </c>
      <c r="Q525" s="217">
        <v>100</v>
      </c>
      <c r="R525" s="215" t="s">
        <v>445</v>
      </c>
      <c r="S525" s="215" t="s">
        <v>532</v>
      </c>
      <c r="T525" s="215" t="s">
        <v>445</v>
      </c>
      <c r="U525" s="215" t="s">
        <v>446</v>
      </c>
      <c r="V525" s="217" t="b">
        <v>1</v>
      </c>
      <c r="W525" s="217">
        <v>1989</v>
      </c>
      <c r="X525" s="217">
        <v>5</v>
      </c>
      <c r="Y525" s="217">
        <v>2</v>
      </c>
      <c r="Z525" s="217">
        <v>4</v>
      </c>
      <c r="AA525" s="215" t="s">
        <v>447</v>
      </c>
      <c r="AB525" s="215" t="s">
        <v>531</v>
      </c>
      <c r="AC525" s="215" t="s">
        <v>533</v>
      </c>
      <c r="AD525" s="217">
        <v>1.2195149999999999</v>
      </c>
      <c r="AE525" s="217">
        <v>529</v>
      </c>
      <c r="AF525" s="217">
        <v>9.3724000000000007</v>
      </c>
      <c r="AG525" s="217">
        <v>-99</v>
      </c>
      <c r="AH525" s="215" t="s">
        <v>224</v>
      </c>
      <c r="AI525" s="215" t="s">
        <v>449</v>
      </c>
      <c r="AJ525" s="215" t="s">
        <v>271</v>
      </c>
      <c r="AK525" s="215" t="s">
        <v>531</v>
      </c>
      <c r="AL525" s="215" t="s">
        <v>376</v>
      </c>
      <c r="AM525" s="217" t="b">
        <v>0</v>
      </c>
      <c r="AN525" s="217" t="b">
        <v>0</v>
      </c>
      <c r="AO525" s="215" t="s">
        <v>272</v>
      </c>
      <c r="AP525" s="215" t="s">
        <v>531</v>
      </c>
      <c r="AQ525" s="217">
        <v>16.042459999999998</v>
      </c>
      <c r="AR525" s="217" t="b">
        <v>1</v>
      </c>
      <c r="AS525" s="215" t="s">
        <v>534</v>
      </c>
      <c r="AU525" s="222" t="s">
        <v>819</v>
      </c>
    </row>
    <row r="526" spans="2:47" s="219" customFormat="1" x14ac:dyDescent="0.25">
      <c r="B526" s="218"/>
      <c r="C526" s="218"/>
      <c r="D526" s="218"/>
      <c r="E526" s="218"/>
      <c r="F526" s="218"/>
      <c r="G526" s="218"/>
      <c r="H526" s="218"/>
      <c r="I526" s="218"/>
      <c r="J526" s="218"/>
      <c r="K526" s="221"/>
      <c r="L526" s="215" t="s">
        <v>626</v>
      </c>
      <c r="M526" s="215" t="s">
        <v>448</v>
      </c>
      <c r="N526" s="215" t="s">
        <v>470</v>
      </c>
      <c r="O526" s="216">
        <v>41419</v>
      </c>
      <c r="P526" s="215" t="s">
        <v>531</v>
      </c>
      <c r="Q526" s="217">
        <v>100</v>
      </c>
      <c r="R526" s="215" t="s">
        <v>445</v>
      </c>
      <c r="S526" s="215" t="s">
        <v>532</v>
      </c>
      <c r="T526" s="215" t="s">
        <v>445</v>
      </c>
      <c r="U526" s="215" t="s">
        <v>446</v>
      </c>
      <c r="V526" s="217" t="b">
        <v>1</v>
      </c>
      <c r="W526" s="217">
        <v>1989</v>
      </c>
      <c r="X526" s="217">
        <v>5</v>
      </c>
      <c r="Y526" s="217">
        <v>2</v>
      </c>
      <c r="Z526" s="217">
        <v>4</v>
      </c>
      <c r="AA526" s="215" t="s">
        <v>447</v>
      </c>
      <c r="AB526" s="215" t="s">
        <v>531</v>
      </c>
      <c r="AC526" s="215" t="s">
        <v>533</v>
      </c>
      <c r="AD526" s="217">
        <v>1.2195149999999999</v>
      </c>
      <c r="AE526" s="217">
        <v>550</v>
      </c>
      <c r="AF526" s="217">
        <v>2.0390999999999999</v>
      </c>
      <c r="AG526" s="217">
        <v>-99</v>
      </c>
      <c r="AH526" s="215" t="s">
        <v>224</v>
      </c>
      <c r="AI526" s="215" t="s">
        <v>449</v>
      </c>
      <c r="AJ526" s="215" t="s">
        <v>348</v>
      </c>
      <c r="AK526" s="215" t="s">
        <v>531</v>
      </c>
      <c r="AL526" s="215" t="s">
        <v>396</v>
      </c>
      <c r="AM526" s="217" t="b">
        <v>1</v>
      </c>
      <c r="AN526" s="217" t="b">
        <v>0</v>
      </c>
      <c r="AO526" s="215" t="s">
        <v>349</v>
      </c>
      <c r="AP526" s="215" t="s">
        <v>350</v>
      </c>
      <c r="AQ526" s="217">
        <v>98.186059999999998</v>
      </c>
      <c r="AR526" s="217" t="b">
        <v>0</v>
      </c>
      <c r="AS526" s="215" t="s">
        <v>534</v>
      </c>
      <c r="AU526" s="222" t="s">
        <v>819</v>
      </c>
    </row>
    <row r="527" spans="2:47" s="219" customFormat="1" x14ac:dyDescent="0.25">
      <c r="B527" s="218"/>
      <c r="C527" s="218"/>
      <c r="D527" s="218"/>
      <c r="E527" s="218"/>
      <c r="F527" s="218"/>
      <c r="G527" s="218"/>
      <c r="H527" s="218"/>
      <c r="I527" s="218"/>
      <c r="J527" s="218"/>
      <c r="K527" s="221"/>
      <c r="L527" s="215" t="s">
        <v>626</v>
      </c>
      <c r="M527" s="215" t="s">
        <v>448</v>
      </c>
      <c r="N527" s="215" t="s">
        <v>470</v>
      </c>
      <c r="O527" s="216">
        <v>41419</v>
      </c>
      <c r="P527" s="215" t="s">
        <v>531</v>
      </c>
      <c r="Q527" s="217">
        <v>100</v>
      </c>
      <c r="R527" s="215" t="s">
        <v>445</v>
      </c>
      <c r="S527" s="215" t="s">
        <v>532</v>
      </c>
      <c r="T527" s="215" t="s">
        <v>445</v>
      </c>
      <c r="U527" s="215" t="s">
        <v>446</v>
      </c>
      <c r="V527" s="217" t="b">
        <v>1</v>
      </c>
      <c r="W527" s="217">
        <v>1989</v>
      </c>
      <c r="X527" s="217">
        <v>5</v>
      </c>
      <c r="Y527" s="217">
        <v>2</v>
      </c>
      <c r="Z527" s="217">
        <v>4</v>
      </c>
      <c r="AA527" s="215" t="s">
        <v>447</v>
      </c>
      <c r="AB527" s="215" t="s">
        <v>531</v>
      </c>
      <c r="AC527" s="215" t="s">
        <v>533</v>
      </c>
      <c r="AD527" s="217">
        <v>1.2195149999999999</v>
      </c>
      <c r="AE527" s="217">
        <v>551</v>
      </c>
      <c r="AF527" s="217">
        <v>3.1383000000000001</v>
      </c>
      <c r="AG527" s="217">
        <v>-99</v>
      </c>
      <c r="AH527" s="215" t="s">
        <v>224</v>
      </c>
      <c r="AI527" s="215" t="s">
        <v>449</v>
      </c>
      <c r="AJ527" s="215" t="s">
        <v>351</v>
      </c>
      <c r="AK527" s="215" t="s">
        <v>531</v>
      </c>
      <c r="AL527" s="215" t="s">
        <v>397</v>
      </c>
      <c r="AM527" s="217" t="b">
        <v>1</v>
      </c>
      <c r="AN527" s="217" t="b">
        <v>0</v>
      </c>
      <c r="AO527" s="215" t="s">
        <v>352</v>
      </c>
      <c r="AP527" s="215" t="s">
        <v>353</v>
      </c>
      <c r="AQ527" s="217">
        <v>84.159480000000002</v>
      </c>
      <c r="AR527" s="217" t="b">
        <v>0</v>
      </c>
      <c r="AS527" s="215" t="s">
        <v>534</v>
      </c>
      <c r="AU527" s="222" t="s">
        <v>819</v>
      </c>
    </row>
    <row r="528" spans="2:47" s="219" customFormat="1" x14ac:dyDescent="0.25">
      <c r="B528" s="218"/>
      <c r="C528" s="218"/>
      <c r="D528" s="218"/>
      <c r="E528" s="218"/>
      <c r="F528" s="218"/>
      <c r="G528" s="218"/>
      <c r="H528" s="218"/>
      <c r="I528" s="218"/>
      <c r="J528" s="218"/>
      <c r="K528" s="221"/>
      <c r="L528" s="215" t="s">
        <v>626</v>
      </c>
      <c r="M528" s="215" t="s">
        <v>448</v>
      </c>
      <c r="N528" s="215" t="s">
        <v>470</v>
      </c>
      <c r="O528" s="216">
        <v>41419</v>
      </c>
      <c r="P528" s="215" t="s">
        <v>531</v>
      </c>
      <c r="Q528" s="217">
        <v>100</v>
      </c>
      <c r="R528" s="215" t="s">
        <v>445</v>
      </c>
      <c r="S528" s="215" t="s">
        <v>532</v>
      </c>
      <c r="T528" s="215" t="s">
        <v>445</v>
      </c>
      <c r="U528" s="215" t="s">
        <v>446</v>
      </c>
      <c r="V528" s="217" t="b">
        <v>1</v>
      </c>
      <c r="W528" s="217">
        <v>1989</v>
      </c>
      <c r="X528" s="217">
        <v>5</v>
      </c>
      <c r="Y528" s="217">
        <v>2</v>
      </c>
      <c r="Z528" s="217">
        <v>4</v>
      </c>
      <c r="AA528" s="215" t="s">
        <v>447</v>
      </c>
      <c r="AB528" s="215" t="s">
        <v>531</v>
      </c>
      <c r="AC528" s="215" t="s">
        <v>533</v>
      </c>
      <c r="AD528" s="217">
        <v>1.2195149999999999</v>
      </c>
      <c r="AE528" s="217">
        <v>592</v>
      </c>
      <c r="AF528" s="217">
        <v>14.286099999999999</v>
      </c>
      <c r="AG528" s="217">
        <v>-99</v>
      </c>
      <c r="AH528" s="215" t="s">
        <v>224</v>
      </c>
      <c r="AI528" s="215" t="s">
        <v>449</v>
      </c>
      <c r="AJ528" s="215" t="s">
        <v>273</v>
      </c>
      <c r="AK528" s="215" t="s">
        <v>531</v>
      </c>
      <c r="AL528" s="215" t="s">
        <v>377</v>
      </c>
      <c r="AM528" s="217" t="b">
        <v>1</v>
      </c>
      <c r="AN528" s="217" t="b">
        <v>0</v>
      </c>
      <c r="AO528" s="215" t="s">
        <v>274</v>
      </c>
      <c r="AP528" s="215" t="s">
        <v>275</v>
      </c>
      <c r="AQ528" s="217">
        <v>58.122199999999992</v>
      </c>
      <c r="AR528" s="217" t="b">
        <v>0</v>
      </c>
      <c r="AS528" s="215" t="s">
        <v>534</v>
      </c>
      <c r="AU528" s="222" t="s">
        <v>819</v>
      </c>
    </row>
    <row r="529" spans="2:47" s="219" customFormat="1" x14ac:dyDescent="0.25">
      <c r="B529" s="218"/>
      <c r="C529" s="218"/>
      <c r="D529" s="218"/>
      <c r="E529" s="218"/>
      <c r="F529" s="218"/>
      <c r="G529" s="218"/>
      <c r="H529" s="218"/>
      <c r="I529" s="218"/>
      <c r="J529" s="218"/>
      <c r="K529" s="221"/>
      <c r="L529" s="215" t="s">
        <v>626</v>
      </c>
      <c r="M529" s="215" t="s">
        <v>448</v>
      </c>
      <c r="N529" s="215" t="s">
        <v>470</v>
      </c>
      <c r="O529" s="216">
        <v>41419</v>
      </c>
      <c r="P529" s="215" t="s">
        <v>531</v>
      </c>
      <c r="Q529" s="217">
        <v>100</v>
      </c>
      <c r="R529" s="215" t="s">
        <v>445</v>
      </c>
      <c r="S529" s="215" t="s">
        <v>532</v>
      </c>
      <c r="T529" s="215" t="s">
        <v>445</v>
      </c>
      <c r="U529" s="215" t="s">
        <v>446</v>
      </c>
      <c r="V529" s="217" t="b">
        <v>1</v>
      </c>
      <c r="W529" s="217">
        <v>1989</v>
      </c>
      <c r="X529" s="217">
        <v>5</v>
      </c>
      <c r="Y529" s="217">
        <v>2</v>
      </c>
      <c r="Z529" s="217">
        <v>4</v>
      </c>
      <c r="AA529" s="215" t="s">
        <v>447</v>
      </c>
      <c r="AB529" s="215" t="s">
        <v>531</v>
      </c>
      <c r="AC529" s="215" t="s">
        <v>533</v>
      </c>
      <c r="AD529" s="217">
        <v>1.2195149999999999</v>
      </c>
      <c r="AE529" s="217">
        <v>600</v>
      </c>
      <c r="AF529" s="217">
        <v>1.0401</v>
      </c>
      <c r="AG529" s="217">
        <v>-99</v>
      </c>
      <c r="AH529" s="215" t="s">
        <v>224</v>
      </c>
      <c r="AI529" s="215" t="s">
        <v>449</v>
      </c>
      <c r="AJ529" s="215" t="s">
        <v>276</v>
      </c>
      <c r="AK529" s="215" t="s">
        <v>531</v>
      </c>
      <c r="AL529" s="215" t="s">
        <v>378</v>
      </c>
      <c r="AM529" s="217" t="b">
        <v>1</v>
      </c>
      <c r="AN529" s="217" t="b">
        <v>0</v>
      </c>
      <c r="AO529" s="215" t="s">
        <v>277</v>
      </c>
      <c r="AP529" s="215" t="s">
        <v>278</v>
      </c>
      <c r="AQ529" s="217">
        <v>100.20194000000001</v>
      </c>
      <c r="AR529" s="217" t="b">
        <v>0</v>
      </c>
      <c r="AS529" s="215" t="s">
        <v>534</v>
      </c>
      <c r="AU529" s="222" t="s">
        <v>819</v>
      </c>
    </row>
    <row r="530" spans="2:47" s="219" customFormat="1" x14ac:dyDescent="0.25">
      <c r="B530" s="218"/>
      <c r="C530" s="218"/>
      <c r="D530" s="218"/>
      <c r="E530" s="218"/>
      <c r="F530" s="218"/>
      <c r="G530" s="218"/>
      <c r="H530" s="218"/>
      <c r="I530" s="218"/>
      <c r="J530" s="218"/>
      <c r="K530" s="221"/>
      <c r="L530" s="215" t="s">
        <v>626</v>
      </c>
      <c r="M530" s="215" t="s">
        <v>448</v>
      </c>
      <c r="N530" s="215" t="s">
        <v>470</v>
      </c>
      <c r="O530" s="216">
        <v>41419</v>
      </c>
      <c r="P530" s="215" t="s">
        <v>531</v>
      </c>
      <c r="Q530" s="217">
        <v>100</v>
      </c>
      <c r="R530" s="215" t="s">
        <v>445</v>
      </c>
      <c r="S530" s="215" t="s">
        <v>532</v>
      </c>
      <c r="T530" s="215" t="s">
        <v>445</v>
      </c>
      <c r="U530" s="215" t="s">
        <v>446</v>
      </c>
      <c r="V530" s="217" t="b">
        <v>1</v>
      </c>
      <c r="W530" s="217">
        <v>1989</v>
      </c>
      <c r="X530" s="217">
        <v>5</v>
      </c>
      <c r="Y530" s="217">
        <v>2</v>
      </c>
      <c r="Z530" s="217">
        <v>4</v>
      </c>
      <c r="AA530" s="215" t="s">
        <v>447</v>
      </c>
      <c r="AB530" s="215" t="s">
        <v>531</v>
      </c>
      <c r="AC530" s="215" t="s">
        <v>533</v>
      </c>
      <c r="AD530" s="217">
        <v>1.2195149999999999</v>
      </c>
      <c r="AE530" s="217">
        <v>601</v>
      </c>
      <c r="AF530" s="217">
        <v>1.9154</v>
      </c>
      <c r="AG530" s="217">
        <v>-99</v>
      </c>
      <c r="AH530" s="215" t="s">
        <v>224</v>
      </c>
      <c r="AI530" s="215" t="s">
        <v>449</v>
      </c>
      <c r="AJ530" s="215" t="s">
        <v>279</v>
      </c>
      <c r="AK530" s="215" t="s">
        <v>531</v>
      </c>
      <c r="AL530" s="215" t="s">
        <v>379</v>
      </c>
      <c r="AM530" s="217" t="b">
        <v>1</v>
      </c>
      <c r="AN530" s="217" t="b">
        <v>1</v>
      </c>
      <c r="AO530" s="215" t="s">
        <v>280</v>
      </c>
      <c r="AP530" s="215" t="s">
        <v>281</v>
      </c>
      <c r="AQ530" s="217">
        <v>86.175359999999998</v>
      </c>
      <c r="AR530" s="217" t="b">
        <v>0</v>
      </c>
      <c r="AS530" s="215" t="s">
        <v>534</v>
      </c>
      <c r="AU530" s="222" t="s">
        <v>819</v>
      </c>
    </row>
    <row r="531" spans="2:47" s="219" customFormat="1" x14ac:dyDescent="0.25">
      <c r="B531" s="218"/>
      <c r="C531" s="218"/>
      <c r="D531" s="218"/>
      <c r="E531" s="218"/>
      <c r="F531" s="218"/>
      <c r="G531" s="218"/>
      <c r="H531" s="218"/>
      <c r="I531" s="218"/>
      <c r="J531" s="218"/>
      <c r="K531" s="221"/>
      <c r="L531" s="215" t="s">
        <v>626</v>
      </c>
      <c r="M531" s="215" t="s">
        <v>448</v>
      </c>
      <c r="N531" s="215" t="s">
        <v>470</v>
      </c>
      <c r="O531" s="216">
        <v>41419</v>
      </c>
      <c r="P531" s="215" t="s">
        <v>531</v>
      </c>
      <c r="Q531" s="217">
        <v>100</v>
      </c>
      <c r="R531" s="215" t="s">
        <v>445</v>
      </c>
      <c r="S531" s="215" t="s">
        <v>532</v>
      </c>
      <c r="T531" s="215" t="s">
        <v>445</v>
      </c>
      <c r="U531" s="215" t="s">
        <v>446</v>
      </c>
      <c r="V531" s="217" t="b">
        <v>1</v>
      </c>
      <c r="W531" s="217">
        <v>1989</v>
      </c>
      <c r="X531" s="217">
        <v>5</v>
      </c>
      <c r="Y531" s="217">
        <v>2</v>
      </c>
      <c r="Z531" s="217">
        <v>4</v>
      </c>
      <c r="AA531" s="215" t="s">
        <v>447</v>
      </c>
      <c r="AB531" s="215" t="s">
        <v>531</v>
      </c>
      <c r="AC531" s="215" t="s">
        <v>533</v>
      </c>
      <c r="AD531" s="217">
        <v>1.2195149999999999</v>
      </c>
      <c r="AE531" s="217">
        <v>603</v>
      </c>
      <c r="AF531" s="217">
        <v>0.35249999999999998</v>
      </c>
      <c r="AG531" s="217">
        <v>-99</v>
      </c>
      <c r="AH531" s="215" t="s">
        <v>224</v>
      </c>
      <c r="AI531" s="215" t="s">
        <v>449</v>
      </c>
      <c r="AJ531" s="215" t="s">
        <v>417</v>
      </c>
      <c r="AK531" s="215" t="s">
        <v>531</v>
      </c>
      <c r="AL531" s="215" t="s">
        <v>453</v>
      </c>
      <c r="AM531" s="217" t="b">
        <v>1</v>
      </c>
      <c r="AN531" s="217" t="b">
        <v>0</v>
      </c>
      <c r="AO531" s="215" t="s">
        <v>418</v>
      </c>
      <c r="AP531" s="215" t="s">
        <v>419</v>
      </c>
      <c r="AQ531" s="217">
        <v>128.2551</v>
      </c>
      <c r="AR531" s="217" t="b">
        <v>0</v>
      </c>
      <c r="AS531" s="215" t="s">
        <v>534</v>
      </c>
      <c r="AU531" s="222" t="s">
        <v>819</v>
      </c>
    </row>
    <row r="532" spans="2:47" s="219" customFormat="1" x14ac:dyDescent="0.25">
      <c r="B532" s="218"/>
      <c r="C532" s="218"/>
      <c r="D532" s="218"/>
      <c r="E532" s="218"/>
      <c r="F532" s="218"/>
      <c r="G532" s="218"/>
      <c r="H532" s="218"/>
      <c r="I532" s="218"/>
      <c r="J532" s="218"/>
      <c r="K532" s="221"/>
      <c r="L532" s="215" t="s">
        <v>626</v>
      </c>
      <c r="M532" s="215" t="s">
        <v>448</v>
      </c>
      <c r="N532" s="215" t="s">
        <v>470</v>
      </c>
      <c r="O532" s="216">
        <v>41419</v>
      </c>
      <c r="P532" s="215" t="s">
        <v>531</v>
      </c>
      <c r="Q532" s="217">
        <v>100</v>
      </c>
      <c r="R532" s="215" t="s">
        <v>445</v>
      </c>
      <c r="S532" s="215" t="s">
        <v>532</v>
      </c>
      <c r="T532" s="215" t="s">
        <v>445</v>
      </c>
      <c r="U532" s="215" t="s">
        <v>446</v>
      </c>
      <c r="V532" s="217" t="b">
        <v>1</v>
      </c>
      <c r="W532" s="217">
        <v>1989</v>
      </c>
      <c r="X532" s="217">
        <v>5</v>
      </c>
      <c r="Y532" s="217">
        <v>2</v>
      </c>
      <c r="Z532" s="217">
        <v>4</v>
      </c>
      <c r="AA532" s="215" t="s">
        <v>447</v>
      </c>
      <c r="AB532" s="215" t="s">
        <v>531</v>
      </c>
      <c r="AC532" s="215" t="s">
        <v>533</v>
      </c>
      <c r="AD532" s="217">
        <v>1.2195149999999999</v>
      </c>
      <c r="AE532" s="217">
        <v>604</v>
      </c>
      <c r="AF532" s="217">
        <v>0.67269999999999996</v>
      </c>
      <c r="AG532" s="217">
        <v>-99</v>
      </c>
      <c r="AH532" s="215" t="s">
        <v>224</v>
      </c>
      <c r="AI532" s="215" t="s">
        <v>449</v>
      </c>
      <c r="AJ532" s="215" t="s">
        <v>282</v>
      </c>
      <c r="AK532" s="215" t="s">
        <v>531</v>
      </c>
      <c r="AL532" s="215" t="s">
        <v>380</v>
      </c>
      <c r="AM532" s="217" t="b">
        <v>1</v>
      </c>
      <c r="AN532" s="217" t="b">
        <v>0</v>
      </c>
      <c r="AO532" s="215" t="s">
        <v>283</v>
      </c>
      <c r="AP532" s="215" t="s">
        <v>284</v>
      </c>
      <c r="AQ532" s="217">
        <v>114.22852</v>
      </c>
      <c r="AR532" s="217" t="b">
        <v>0</v>
      </c>
      <c r="AS532" s="215" t="s">
        <v>534</v>
      </c>
      <c r="AU532" s="222" t="s">
        <v>819</v>
      </c>
    </row>
    <row r="533" spans="2:47" s="219" customFormat="1" x14ac:dyDescent="0.25">
      <c r="B533" s="218"/>
      <c r="C533" s="218"/>
      <c r="D533" s="218"/>
      <c r="E533" s="218"/>
      <c r="F533" s="218"/>
      <c r="G533" s="218"/>
      <c r="H533" s="218"/>
      <c r="I533" s="218"/>
      <c r="J533" s="218"/>
      <c r="K533" s="221"/>
      <c r="L533" s="215" t="s">
        <v>626</v>
      </c>
      <c r="M533" s="215" t="s">
        <v>448</v>
      </c>
      <c r="N533" s="215" t="s">
        <v>470</v>
      </c>
      <c r="O533" s="216">
        <v>41419</v>
      </c>
      <c r="P533" s="215" t="s">
        <v>531</v>
      </c>
      <c r="Q533" s="217">
        <v>100</v>
      </c>
      <c r="R533" s="215" t="s">
        <v>445</v>
      </c>
      <c r="S533" s="215" t="s">
        <v>532</v>
      </c>
      <c r="T533" s="215" t="s">
        <v>445</v>
      </c>
      <c r="U533" s="215" t="s">
        <v>446</v>
      </c>
      <c r="V533" s="217" t="b">
        <v>1</v>
      </c>
      <c r="W533" s="217">
        <v>1989</v>
      </c>
      <c r="X533" s="217">
        <v>5</v>
      </c>
      <c r="Y533" s="217">
        <v>2</v>
      </c>
      <c r="Z533" s="217">
        <v>4</v>
      </c>
      <c r="AA533" s="215" t="s">
        <v>447</v>
      </c>
      <c r="AB533" s="215" t="s">
        <v>531</v>
      </c>
      <c r="AC533" s="215" t="s">
        <v>533</v>
      </c>
      <c r="AD533" s="217">
        <v>1.2195149999999999</v>
      </c>
      <c r="AE533" s="217">
        <v>605</v>
      </c>
      <c r="AF533" s="217">
        <v>5.4645000000000001</v>
      </c>
      <c r="AG533" s="217">
        <v>-99</v>
      </c>
      <c r="AH533" s="215" t="s">
        <v>224</v>
      </c>
      <c r="AI533" s="215" t="s">
        <v>449</v>
      </c>
      <c r="AJ533" s="215" t="s">
        <v>285</v>
      </c>
      <c r="AK533" s="215" t="s">
        <v>531</v>
      </c>
      <c r="AL533" s="215" t="s">
        <v>381</v>
      </c>
      <c r="AM533" s="217" t="b">
        <v>1</v>
      </c>
      <c r="AN533" s="217" t="b">
        <v>0</v>
      </c>
      <c r="AO533" s="215" t="s">
        <v>286</v>
      </c>
      <c r="AP533" s="215" t="s">
        <v>287</v>
      </c>
      <c r="AQ533" s="217">
        <v>72.148780000000002</v>
      </c>
      <c r="AR533" s="217" t="b">
        <v>0</v>
      </c>
      <c r="AS533" s="215" t="s">
        <v>534</v>
      </c>
      <c r="AU533" s="222" t="s">
        <v>819</v>
      </c>
    </row>
    <row r="534" spans="2:47" s="219" customFormat="1" x14ac:dyDescent="0.25">
      <c r="B534" s="218"/>
      <c r="C534" s="218"/>
      <c r="D534" s="218"/>
      <c r="E534" s="218"/>
      <c r="F534" s="218"/>
      <c r="G534" s="218"/>
      <c r="H534" s="218"/>
      <c r="I534" s="218"/>
      <c r="J534" s="218"/>
      <c r="K534" s="221"/>
      <c r="L534" s="215" t="s">
        <v>626</v>
      </c>
      <c r="M534" s="215" t="s">
        <v>448</v>
      </c>
      <c r="N534" s="215" t="s">
        <v>470</v>
      </c>
      <c r="O534" s="216">
        <v>41419</v>
      </c>
      <c r="P534" s="215" t="s">
        <v>531</v>
      </c>
      <c r="Q534" s="217">
        <v>100</v>
      </c>
      <c r="R534" s="215" t="s">
        <v>445</v>
      </c>
      <c r="S534" s="215" t="s">
        <v>532</v>
      </c>
      <c r="T534" s="215" t="s">
        <v>445</v>
      </c>
      <c r="U534" s="215" t="s">
        <v>446</v>
      </c>
      <c r="V534" s="217" t="b">
        <v>1</v>
      </c>
      <c r="W534" s="217">
        <v>1989</v>
      </c>
      <c r="X534" s="217">
        <v>5</v>
      </c>
      <c r="Y534" s="217">
        <v>2</v>
      </c>
      <c r="Z534" s="217">
        <v>4</v>
      </c>
      <c r="AA534" s="215" t="s">
        <v>447</v>
      </c>
      <c r="AB534" s="215" t="s">
        <v>531</v>
      </c>
      <c r="AC534" s="215" t="s">
        <v>533</v>
      </c>
      <c r="AD534" s="217">
        <v>1.2195149999999999</v>
      </c>
      <c r="AE534" s="217">
        <v>608</v>
      </c>
      <c r="AF534" s="217">
        <v>0.1527</v>
      </c>
      <c r="AG534" s="217">
        <v>-99</v>
      </c>
      <c r="AH534" s="215" t="s">
        <v>224</v>
      </c>
      <c r="AI534" s="215" t="s">
        <v>449</v>
      </c>
      <c r="AJ534" s="215" t="s">
        <v>420</v>
      </c>
      <c r="AK534" s="215" t="s">
        <v>531</v>
      </c>
      <c r="AL534" s="215" t="s">
        <v>454</v>
      </c>
      <c r="AM534" s="217" t="b">
        <v>1</v>
      </c>
      <c r="AN534" s="217" t="b">
        <v>0</v>
      </c>
      <c r="AO534" s="215" t="s">
        <v>421</v>
      </c>
      <c r="AP534" s="215" t="s">
        <v>422</v>
      </c>
      <c r="AQ534" s="217">
        <v>120.19158</v>
      </c>
      <c r="AR534" s="217" t="b">
        <v>0</v>
      </c>
      <c r="AS534" s="215" t="s">
        <v>534</v>
      </c>
      <c r="AU534" s="222" t="s">
        <v>819</v>
      </c>
    </row>
    <row r="535" spans="2:47" s="219" customFormat="1" x14ac:dyDescent="0.25">
      <c r="B535" s="218"/>
      <c r="C535" s="218"/>
      <c r="D535" s="218"/>
      <c r="E535" s="218"/>
      <c r="F535" s="218"/>
      <c r="G535" s="218"/>
      <c r="H535" s="218"/>
      <c r="I535" s="218"/>
      <c r="J535" s="218"/>
      <c r="K535" s="221"/>
      <c r="L535" s="215" t="s">
        <v>626</v>
      </c>
      <c r="M535" s="215" t="s">
        <v>448</v>
      </c>
      <c r="N535" s="215" t="s">
        <v>470</v>
      </c>
      <c r="O535" s="216">
        <v>41419</v>
      </c>
      <c r="P535" s="215" t="s">
        <v>531</v>
      </c>
      <c r="Q535" s="217">
        <v>100</v>
      </c>
      <c r="R535" s="215" t="s">
        <v>445</v>
      </c>
      <c r="S535" s="215" t="s">
        <v>532</v>
      </c>
      <c r="T535" s="215" t="s">
        <v>445</v>
      </c>
      <c r="U535" s="215" t="s">
        <v>446</v>
      </c>
      <c r="V535" s="217" t="b">
        <v>1</v>
      </c>
      <c r="W535" s="217">
        <v>1989</v>
      </c>
      <c r="X535" s="217">
        <v>5</v>
      </c>
      <c r="Y535" s="217">
        <v>2</v>
      </c>
      <c r="Z535" s="217">
        <v>4</v>
      </c>
      <c r="AA535" s="215" t="s">
        <v>447</v>
      </c>
      <c r="AB535" s="215" t="s">
        <v>531</v>
      </c>
      <c r="AC535" s="215" t="s">
        <v>533</v>
      </c>
      <c r="AD535" s="217">
        <v>1.2195149999999999</v>
      </c>
      <c r="AE535" s="217">
        <v>620</v>
      </c>
      <c r="AF535" s="217">
        <v>0.2485</v>
      </c>
      <c r="AG535" s="217">
        <v>-99</v>
      </c>
      <c r="AH535" s="215" t="s">
        <v>224</v>
      </c>
      <c r="AI535" s="215" t="s">
        <v>449</v>
      </c>
      <c r="AJ535" s="215" t="s">
        <v>354</v>
      </c>
      <c r="AK535" s="215" t="s">
        <v>531</v>
      </c>
      <c r="AL535" s="215" t="s">
        <v>398</v>
      </c>
      <c r="AM535" s="217" t="b">
        <v>1</v>
      </c>
      <c r="AN535" s="217" t="b">
        <v>1</v>
      </c>
      <c r="AO535" s="215" t="s">
        <v>355</v>
      </c>
      <c r="AP535" s="215" t="s">
        <v>356</v>
      </c>
      <c r="AQ535" s="217">
        <v>106.16500000000001</v>
      </c>
      <c r="AR535" s="217" t="b">
        <v>0</v>
      </c>
      <c r="AS535" s="215" t="s">
        <v>534</v>
      </c>
      <c r="AU535" s="222" t="s">
        <v>819</v>
      </c>
    </row>
    <row r="536" spans="2:47" s="219" customFormat="1" x14ac:dyDescent="0.25">
      <c r="B536" s="218"/>
      <c r="C536" s="218"/>
      <c r="D536" s="218"/>
      <c r="E536" s="218"/>
      <c r="F536" s="218"/>
      <c r="G536" s="218"/>
      <c r="H536" s="218"/>
      <c r="I536" s="218"/>
      <c r="J536" s="218"/>
      <c r="K536" s="221"/>
      <c r="L536" s="215" t="s">
        <v>626</v>
      </c>
      <c r="M536" s="215" t="s">
        <v>448</v>
      </c>
      <c r="N536" s="215" t="s">
        <v>470</v>
      </c>
      <c r="O536" s="216">
        <v>41419</v>
      </c>
      <c r="P536" s="215" t="s">
        <v>531</v>
      </c>
      <c r="Q536" s="217">
        <v>100</v>
      </c>
      <c r="R536" s="215" t="s">
        <v>445</v>
      </c>
      <c r="S536" s="215" t="s">
        <v>532</v>
      </c>
      <c r="T536" s="215" t="s">
        <v>445</v>
      </c>
      <c r="U536" s="215" t="s">
        <v>446</v>
      </c>
      <c r="V536" s="217" t="b">
        <v>1</v>
      </c>
      <c r="W536" s="217">
        <v>1989</v>
      </c>
      <c r="X536" s="217">
        <v>5</v>
      </c>
      <c r="Y536" s="217">
        <v>2</v>
      </c>
      <c r="Z536" s="217">
        <v>4</v>
      </c>
      <c r="AA536" s="215" t="s">
        <v>447</v>
      </c>
      <c r="AB536" s="215" t="s">
        <v>531</v>
      </c>
      <c r="AC536" s="215" t="s">
        <v>533</v>
      </c>
      <c r="AD536" s="217">
        <v>1.2195149999999999</v>
      </c>
      <c r="AE536" s="217">
        <v>671</v>
      </c>
      <c r="AF536" s="217">
        <v>3.7709000000000001</v>
      </c>
      <c r="AG536" s="217">
        <v>-99</v>
      </c>
      <c r="AH536" s="215" t="s">
        <v>224</v>
      </c>
      <c r="AI536" s="215" t="s">
        <v>449</v>
      </c>
      <c r="AJ536" s="215" t="s">
        <v>288</v>
      </c>
      <c r="AK536" s="215" t="s">
        <v>531</v>
      </c>
      <c r="AL536" s="215" t="s">
        <v>382</v>
      </c>
      <c r="AM536" s="217" t="b">
        <v>1</v>
      </c>
      <c r="AN536" s="217" t="b">
        <v>0</v>
      </c>
      <c r="AO536" s="215" t="s">
        <v>289</v>
      </c>
      <c r="AP536" s="215" t="s">
        <v>290</v>
      </c>
      <c r="AQ536" s="217">
        <v>44.095619999999997</v>
      </c>
      <c r="AR536" s="217" t="b">
        <v>0</v>
      </c>
      <c r="AS536" s="215" t="s">
        <v>534</v>
      </c>
      <c r="AU536" s="222" t="s">
        <v>819</v>
      </c>
    </row>
    <row r="537" spans="2:47" s="219" customFormat="1" x14ac:dyDescent="0.25">
      <c r="B537" s="218"/>
      <c r="C537" s="218"/>
      <c r="D537" s="218"/>
      <c r="E537" s="218"/>
      <c r="F537" s="218"/>
      <c r="G537" s="218"/>
      <c r="H537" s="218"/>
      <c r="I537" s="218"/>
      <c r="J537" s="218"/>
      <c r="K537" s="221"/>
      <c r="L537" s="215" t="s">
        <v>626</v>
      </c>
      <c r="M537" s="215" t="s">
        <v>448</v>
      </c>
      <c r="N537" s="215" t="s">
        <v>470</v>
      </c>
      <c r="O537" s="216">
        <v>41419</v>
      </c>
      <c r="P537" s="215" t="s">
        <v>531</v>
      </c>
      <c r="Q537" s="217">
        <v>100</v>
      </c>
      <c r="R537" s="215" t="s">
        <v>445</v>
      </c>
      <c r="S537" s="215" t="s">
        <v>532</v>
      </c>
      <c r="T537" s="215" t="s">
        <v>445</v>
      </c>
      <c r="U537" s="215" t="s">
        <v>446</v>
      </c>
      <c r="V537" s="217" t="b">
        <v>1</v>
      </c>
      <c r="W537" s="217">
        <v>1989</v>
      </c>
      <c r="X537" s="217">
        <v>5</v>
      </c>
      <c r="Y537" s="217">
        <v>2</v>
      </c>
      <c r="Z537" s="217">
        <v>4</v>
      </c>
      <c r="AA537" s="215" t="s">
        <v>447</v>
      </c>
      <c r="AB537" s="215" t="s">
        <v>531</v>
      </c>
      <c r="AC537" s="215" t="s">
        <v>533</v>
      </c>
      <c r="AD537" s="217">
        <v>1.2195149999999999</v>
      </c>
      <c r="AE537" s="217">
        <v>717</v>
      </c>
      <c r="AF537" s="217">
        <v>0.18049999999999999</v>
      </c>
      <c r="AG537" s="217">
        <v>-99</v>
      </c>
      <c r="AH537" s="215" t="s">
        <v>224</v>
      </c>
      <c r="AI537" s="215" t="s">
        <v>449</v>
      </c>
      <c r="AJ537" s="215" t="s">
        <v>294</v>
      </c>
      <c r="AK537" s="215" t="s">
        <v>531</v>
      </c>
      <c r="AL537" s="215" t="s">
        <v>383</v>
      </c>
      <c r="AM537" s="217" t="b">
        <v>1</v>
      </c>
      <c r="AN537" s="217" t="b">
        <v>1</v>
      </c>
      <c r="AO537" s="215" t="s">
        <v>295</v>
      </c>
      <c r="AP537" s="215" t="s">
        <v>296</v>
      </c>
      <c r="AQ537" s="217">
        <v>92.138419999999996</v>
      </c>
      <c r="AR537" s="217" t="b">
        <v>0</v>
      </c>
      <c r="AS537" s="215" t="s">
        <v>534</v>
      </c>
      <c r="AU537" s="222" t="s">
        <v>819</v>
      </c>
    </row>
    <row r="538" spans="2:47" s="219" customFormat="1" x14ac:dyDescent="0.25">
      <c r="B538" s="218"/>
      <c r="C538" s="218"/>
      <c r="D538" s="218"/>
      <c r="E538" s="218"/>
      <c r="F538" s="218"/>
      <c r="G538" s="218"/>
      <c r="H538" s="218"/>
      <c r="I538" s="218"/>
      <c r="J538" s="218"/>
      <c r="K538" s="221"/>
      <c r="L538" s="215" t="s">
        <v>626</v>
      </c>
      <c r="M538" s="215" t="s">
        <v>448</v>
      </c>
      <c r="N538" s="215" t="s">
        <v>470</v>
      </c>
      <c r="O538" s="216">
        <v>41419</v>
      </c>
      <c r="P538" s="215" t="s">
        <v>531</v>
      </c>
      <c r="Q538" s="217">
        <v>100</v>
      </c>
      <c r="R538" s="215" t="s">
        <v>445</v>
      </c>
      <c r="S538" s="215" t="s">
        <v>532</v>
      </c>
      <c r="T538" s="215" t="s">
        <v>445</v>
      </c>
      <c r="U538" s="215" t="s">
        <v>446</v>
      </c>
      <c r="V538" s="217" t="b">
        <v>1</v>
      </c>
      <c r="W538" s="217">
        <v>1989</v>
      </c>
      <c r="X538" s="217">
        <v>5</v>
      </c>
      <c r="Y538" s="217">
        <v>2</v>
      </c>
      <c r="Z538" s="217">
        <v>4</v>
      </c>
      <c r="AA538" s="215" t="s">
        <v>447</v>
      </c>
      <c r="AB538" s="215" t="s">
        <v>531</v>
      </c>
      <c r="AC538" s="215" t="s">
        <v>533</v>
      </c>
      <c r="AD538" s="217">
        <v>1.2195149999999999</v>
      </c>
      <c r="AE538" s="217">
        <v>1924</v>
      </c>
      <c r="AF538" s="217">
        <v>0.65980000000000005</v>
      </c>
      <c r="AG538" s="217">
        <v>-99</v>
      </c>
      <c r="AH538" s="215" t="s">
        <v>224</v>
      </c>
      <c r="AI538" s="215" t="s">
        <v>449</v>
      </c>
      <c r="AJ538" s="215" t="s">
        <v>224</v>
      </c>
      <c r="AK538" s="215" t="s">
        <v>531</v>
      </c>
      <c r="AL538" s="215" t="s">
        <v>466</v>
      </c>
      <c r="AM538" s="217" t="b">
        <v>0</v>
      </c>
      <c r="AN538" s="217" t="b">
        <v>0</v>
      </c>
      <c r="AO538" s="215" t="s">
        <v>535</v>
      </c>
      <c r="AP538" s="215" t="s">
        <v>536</v>
      </c>
      <c r="AQ538" s="217">
        <v>142.28167999999999</v>
      </c>
      <c r="AR538" s="217" t="b">
        <v>0</v>
      </c>
      <c r="AS538" s="215" t="s">
        <v>534</v>
      </c>
      <c r="AU538" s="222" t="s">
        <v>819</v>
      </c>
    </row>
    <row r="539" spans="2:47" s="219" customFormat="1" x14ac:dyDescent="0.25">
      <c r="B539" s="218"/>
      <c r="C539" s="218"/>
      <c r="D539" s="218"/>
      <c r="E539" s="218"/>
      <c r="F539" s="218"/>
      <c r="G539" s="218"/>
      <c r="H539" s="218"/>
      <c r="I539" s="218"/>
      <c r="J539" s="218"/>
      <c r="K539" s="221"/>
      <c r="L539" s="215" t="s">
        <v>626</v>
      </c>
      <c r="M539" s="215" t="s">
        <v>448</v>
      </c>
      <c r="N539" s="215" t="s">
        <v>470</v>
      </c>
      <c r="O539" s="216">
        <v>41419</v>
      </c>
      <c r="P539" s="215" t="s">
        <v>531</v>
      </c>
      <c r="Q539" s="217">
        <v>100</v>
      </c>
      <c r="R539" s="215" t="s">
        <v>445</v>
      </c>
      <c r="S539" s="215" t="s">
        <v>532</v>
      </c>
      <c r="T539" s="215" t="s">
        <v>445</v>
      </c>
      <c r="U539" s="215" t="s">
        <v>446</v>
      </c>
      <c r="V539" s="217" t="b">
        <v>1</v>
      </c>
      <c r="W539" s="217">
        <v>1989</v>
      </c>
      <c r="X539" s="217">
        <v>5</v>
      </c>
      <c r="Y539" s="217">
        <v>2</v>
      </c>
      <c r="Z539" s="217">
        <v>4</v>
      </c>
      <c r="AA539" s="215" t="s">
        <v>447</v>
      </c>
      <c r="AB539" s="215" t="s">
        <v>531</v>
      </c>
      <c r="AC539" s="215" t="s">
        <v>533</v>
      </c>
      <c r="AD539" s="217">
        <v>1.2195149999999999</v>
      </c>
      <c r="AE539" s="217">
        <v>1929</v>
      </c>
      <c r="AF539" s="217">
        <v>0.1404</v>
      </c>
      <c r="AG539" s="217">
        <v>-99</v>
      </c>
      <c r="AH539" s="215" t="s">
        <v>224</v>
      </c>
      <c r="AI539" s="215" t="s">
        <v>449</v>
      </c>
      <c r="AJ539" s="215" t="s">
        <v>224</v>
      </c>
      <c r="AK539" s="215" t="s">
        <v>531</v>
      </c>
      <c r="AL539" s="215" t="s">
        <v>467</v>
      </c>
      <c r="AM539" s="217" t="b">
        <v>0</v>
      </c>
      <c r="AN539" s="217" t="b">
        <v>0</v>
      </c>
      <c r="AO539" s="215" t="s">
        <v>468</v>
      </c>
      <c r="AP539" s="215" t="s">
        <v>469</v>
      </c>
      <c r="AQ539" s="217">
        <v>156.30826000000002</v>
      </c>
      <c r="AR539" s="217" t="b">
        <v>0</v>
      </c>
      <c r="AS539" s="215" t="s">
        <v>534</v>
      </c>
      <c r="AU539" s="222" t="s">
        <v>819</v>
      </c>
    </row>
    <row r="540" spans="2:47" s="219" customFormat="1" x14ac:dyDescent="0.25">
      <c r="B540" s="218"/>
      <c r="C540" s="218"/>
      <c r="D540" s="218"/>
      <c r="E540" s="218"/>
      <c r="F540" s="218"/>
      <c r="G540" s="218"/>
      <c r="H540" s="218"/>
      <c r="I540" s="218"/>
      <c r="J540" s="218"/>
      <c r="K540" s="221"/>
      <c r="L540" s="215" t="s">
        <v>626</v>
      </c>
      <c r="M540" s="215" t="s">
        <v>448</v>
      </c>
      <c r="N540" s="215" t="s">
        <v>470</v>
      </c>
      <c r="O540" s="216">
        <v>41419</v>
      </c>
      <c r="P540" s="215" t="s">
        <v>531</v>
      </c>
      <c r="Q540" s="217">
        <v>100</v>
      </c>
      <c r="R540" s="215" t="s">
        <v>445</v>
      </c>
      <c r="S540" s="215" t="s">
        <v>532</v>
      </c>
      <c r="T540" s="215" t="s">
        <v>445</v>
      </c>
      <c r="U540" s="215" t="s">
        <v>446</v>
      </c>
      <c r="V540" s="217" t="b">
        <v>1</v>
      </c>
      <c r="W540" s="217">
        <v>1989</v>
      </c>
      <c r="X540" s="217">
        <v>5</v>
      </c>
      <c r="Y540" s="217">
        <v>2</v>
      </c>
      <c r="Z540" s="217">
        <v>4</v>
      </c>
      <c r="AA540" s="215" t="s">
        <v>447</v>
      </c>
      <c r="AB540" s="215" t="s">
        <v>531</v>
      </c>
      <c r="AC540" s="215" t="s">
        <v>533</v>
      </c>
      <c r="AD540" s="217">
        <v>1.2195149999999999</v>
      </c>
      <c r="AE540" s="217">
        <v>1986</v>
      </c>
      <c r="AF540" s="217">
        <v>0.96340000000000003</v>
      </c>
      <c r="AG540" s="217">
        <v>-99</v>
      </c>
      <c r="AH540" s="215" t="s">
        <v>224</v>
      </c>
      <c r="AI540" s="215" t="s">
        <v>449</v>
      </c>
      <c r="AJ540" s="215" t="s">
        <v>224</v>
      </c>
      <c r="AK540" s="215" t="s">
        <v>531</v>
      </c>
      <c r="AL540" s="215" t="s">
        <v>537</v>
      </c>
      <c r="AM540" s="217" t="b">
        <v>0</v>
      </c>
      <c r="AN540" s="217" t="b">
        <v>0</v>
      </c>
      <c r="AO540" s="215" t="s">
        <v>538</v>
      </c>
      <c r="AP540" s="215" t="s">
        <v>539</v>
      </c>
      <c r="AQ540" s="217">
        <v>72.148780000000002</v>
      </c>
      <c r="AR540" s="217" t="b">
        <v>0</v>
      </c>
      <c r="AS540" s="215" t="s">
        <v>534</v>
      </c>
      <c r="AU540" s="222" t="s">
        <v>819</v>
      </c>
    </row>
    <row r="541" spans="2:47" s="219" customFormat="1" x14ac:dyDescent="0.25">
      <c r="B541" s="218"/>
      <c r="C541" s="218"/>
      <c r="D541" s="218"/>
      <c r="E541" s="218"/>
      <c r="F541" s="218"/>
      <c r="G541" s="218"/>
      <c r="H541" s="218"/>
      <c r="I541" s="218"/>
      <c r="J541" s="218"/>
      <c r="K541" s="221"/>
      <c r="L541" s="215" t="s">
        <v>626</v>
      </c>
      <c r="M541" s="215" t="s">
        <v>448</v>
      </c>
      <c r="N541" s="215" t="s">
        <v>470</v>
      </c>
      <c r="O541" s="216">
        <v>41419</v>
      </c>
      <c r="P541" s="215" t="s">
        <v>531</v>
      </c>
      <c r="Q541" s="217">
        <v>100</v>
      </c>
      <c r="R541" s="215" t="s">
        <v>445</v>
      </c>
      <c r="S541" s="215" t="s">
        <v>532</v>
      </c>
      <c r="T541" s="215" t="s">
        <v>445</v>
      </c>
      <c r="U541" s="215" t="s">
        <v>446</v>
      </c>
      <c r="V541" s="217" t="b">
        <v>1</v>
      </c>
      <c r="W541" s="217">
        <v>1989</v>
      </c>
      <c r="X541" s="217">
        <v>5</v>
      </c>
      <c r="Y541" s="217">
        <v>2</v>
      </c>
      <c r="Z541" s="217">
        <v>4</v>
      </c>
      <c r="AA541" s="215" t="s">
        <v>447</v>
      </c>
      <c r="AB541" s="215" t="s">
        <v>531</v>
      </c>
      <c r="AC541" s="215" t="s">
        <v>533</v>
      </c>
      <c r="AD541" s="217">
        <v>1.2195149999999999</v>
      </c>
      <c r="AE541" s="217">
        <v>1999</v>
      </c>
      <c r="AF541" s="217">
        <v>5.6425999999999998</v>
      </c>
      <c r="AG541" s="217">
        <v>-99</v>
      </c>
      <c r="AH541" s="215" t="s">
        <v>224</v>
      </c>
      <c r="AI541" s="215" t="s">
        <v>449</v>
      </c>
      <c r="AJ541" s="215" t="s">
        <v>224</v>
      </c>
      <c r="AK541" s="215" t="s">
        <v>531</v>
      </c>
      <c r="AL541" s="215" t="s">
        <v>540</v>
      </c>
      <c r="AM541" s="217" t="b">
        <v>0</v>
      </c>
      <c r="AN541" s="217" t="b">
        <v>0</v>
      </c>
      <c r="AO541" s="215" t="s">
        <v>541</v>
      </c>
      <c r="AP541" s="215" t="s">
        <v>542</v>
      </c>
      <c r="AQ541" s="217">
        <v>86.175359999999998</v>
      </c>
      <c r="AR541" s="217" t="b">
        <v>0</v>
      </c>
      <c r="AS541" s="215" t="s">
        <v>534</v>
      </c>
      <c r="AU541" s="222" t="s">
        <v>819</v>
      </c>
    </row>
    <row r="542" spans="2:47" s="219" customFormat="1" x14ac:dyDescent="0.25">
      <c r="B542" s="218"/>
      <c r="C542" s="218"/>
      <c r="D542" s="218"/>
      <c r="E542" s="218"/>
      <c r="F542" s="218"/>
      <c r="G542" s="218"/>
      <c r="H542" s="218"/>
      <c r="I542" s="218"/>
      <c r="J542" s="218"/>
      <c r="K542" s="221"/>
      <c r="L542" s="215" t="s">
        <v>626</v>
      </c>
      <c r="M542" s="215" t="s">
        <v>448</v>
      </c>
      <c r="N542" s="215" t="s">
        <v>470</v>
      </c>
      <c r="O542" s="216">
        <v>41419</v>
      </c>
      <c r="P542" s="215" t="s">
        <v>531</v>
      </c>
      <c r="Q542" s="217">
        <v>100</v>
      </c>
      <c r="R542" s="215" t="s">
        <v>445</v>
      </c>
      <c r="S542" s="215" t="s">
        <v>532</v>
      </c>
      <c r="T542" s="215" t="s">
        <v>445</v>
      </c>
      <c r="U542" s="215" t="s">
        <v>446</v>
      </c>
      <c r="V542" s="217" t="b">
        <v>1</v>
      </c>
      <c r="W542" s="217">
        <v>1989</v>
      </c>
      <c r="X542" s="217">
        <v>5</v>
      </c>
      <c r="Y542" s="217">
        <v>2</v>
      </c>
      <c r="Z542" s="217">
        <v>4</v>
      </c>
      <c r="AA542" s="215" t="s">
        <v>447</v>
      </c>
      <c r="AB542" s="215" t="s">
        <v>531</v>
      </c>
      <c r="AC542" s="215" t="s">
        <v>533</v>
      </c>
      <c r="AD542" s="217">
        <v>1.2195149999999999</v>
      </c>
      <c r="AE542" s="217">
        <v>2005</v>
      </c>
      <c r="AF542" s="217">
        <v>5.4870000000000001</v>
      </c>
      <c r="AG542" s="217">
        <v>-99</v>
      </c>
      <c r="AH542" s="215" t="s">
        <v>224</v>
      </c>
      <c r="AI542" s="215" t="s">
        <v>449</v>
      </c>
      <c r="AJ542" s="215" t="s">
        <v>224</v>
      </c>
      <c r="AK542" s="215" t="s">
        <v>531</v>
      </c>
      <c r="AL542" s="215" t="s">
        <v>543</v>
      </c>
      <c r="AM542" s="217" t="b">
        <v>0</v>
      </c>
      <c r="AN542" s="217" t="b">
        <v>0</v>
      </c>
      <c r="AO542" s="215" t="s">
        <v>544</v>
      </c>
      <c r="AP542" s="215" t="s">
        <v>545</v>
      </c>
      <c r="AQ542" s="217">
        <v>100.20194000000001</v>
      </c>
      <c r="AR542" s="217" t="b">
        <v>0</v>
      </c>
      <c r="AS542" s="215" t="s">
        <v>534</v>
      </c>
      <c r="AU542" s="222" t="s">
        <v>819</v>
      </c>
    </row>
    <row r="543" spans="2:47" s="219" customFormat="1" x14ac:dyDescent="0.25">
      <c r="B543" s="218"/>
      <c r="C543" s="218"/>
      <c r="D543" s="218"/>
      <c r="E543" s="218"/>
      <c r="F543" s="218"/>
      <c r="G543" s="218"/>
      <c r="H543" s="218"/>
      <c r="I543" s="218"/>
      <c r="J543" s="218"/>
      <c r="K543" s="221"/>
      <c r="L543" s="215" t="s">
        <v>626</v>
      </c>
      <c r="M543" s="215" t="s">
        <v>448</v>
      </c>
      <c r="N543" s="215" t="s">
        <v>470</v>
      </c>
      <c r="O543" s="216">
        <v>41419</v>
      </c>
      <c r="P543" s="215" t="s">
        <v>531</v>
      </c>
      <c r="Q543" s="217">
        <v>100</v>
      </c>
      <c r="R543" s="215" t="s">
        <v>445</v>
      </c>
      <c r="S543" s="215" t="s">
        <v>532</v>
      </c>
      <c r="T543" s="215" t="s">
        <v>445</v>
      </c>
      <c r="U543" s="215" t="s">
        <v>446</v>
      </c>
      <c r="V543" s="217" t="b">
        <v>1</v>
      </c>
      <c r="W543" s="217">
        <v>1989</v>
      </c>
      <c r="X543" s="217">
        <v>5</v>
      </c>
      <c r="Y543" s="217">
        <v>2</v>
      </c>
      <c r="Z543" s="217">
        <v>4</v>
      </c>
      <c r="AA543" s="215" t="s">
        <v>447</v>
      </c>
      <c r="AB543" s="215" t="s">
        <v>531</v>
      </c>
      <c r="AC543" s="215" t="s">
        <v>533</v>
      </c>
      <c r="AD543" s="217">
        <v>1.2195149999999999</v>
      </c>
      <c r="AE543" s="217">
        <v>2011</v>
      </c>
      <c r="AF543" s="217">
        <v>5.4825999999999997</v>
      </c>
      <c r="AG543" s="217">
        <v>-99</v>
      </c>
      <c r="AH543" s="215" t="s">
        <v>224</v>
      </c>
      <c r="AI543" s="215" t="s">
        <v>449</v>
      </c>
      <c r="AJ543" s="215" t="s">
        <v>224</v>
      </c>
      <c r="AK543" s="215" t="s">
        <v>531</v>
      </c>
      <c r="AL543" s="215" t="s">
        <v>546</v>
      </c>
      <c r="AM543" s="217" t="b">
        <v>0</v>
      </c>
      <c r="AN543" s="217" t="b">
        <v>0</v>
      </c>
      <c r="AO543" s="215" t="s">
        <v>547</v>
      </c>
      <c r="AP543" s="215" t="s">
        <v>548</v>
      </c>
      <c r="AQ543" s="217">
        <v>113.21160686946486</v>
      </c>
      <c r="AR543" s="217" t="b">
        <v>0</v>
      </c>
      <c r="AS543" s="215" t="s">
        <v>534</v>
      </c>
      <c r="AU543" s="222" t="s">
        <v>819</v>
      </c>
    </row>
    <row r="544" spans="2:47" s="219" customFormat="1" x14ac:dyDescent="0.25">
      <c r="B544" s="218"/>
      <c r="C544" s="218"/>
      <c r="D544" s="218"/>
      <c r="E544" s="218"/>
      <c r="F544" s="218"/>
      <c r="G544" s="218"/>
      <c r="H544" s="218"/>
      <c r="I544" s="218"/>
      <c r="J544" s="218"/>
      <c r="K544" s="221"/>
      <c r="L544" s="215" t="s">
        <v>626</v>
      </c>
      <c r="M544" s="215" t="s">
        <v>448</v>
      </c>
      <c r="N544" s="215" t="s">
        <v>470</v>
      </c>
      <c r="O544" s="216">
        <v>41419</v>
      </c>
      <c r="P544" s="215" t="s">
        <v>531</v>
      </c>
      <c r="Q544" s="217">
        <v>100</v>
      </c>
      <c r="R544" s="215" t="s">
        <v>445</v>
      </c>
      <c r="S544" s="215" t="s">
        <v>532</v>
      </c>
      <c r="T544" s="215" t="s">
        <v>445</v>
      </c>
      <c r="U544" s="215" t="s">
        <v>446</v>
      </c>
      <c r="V544" s="217" t="b">
        <v>1</v>
      </c>
      <c r="W544" s="217">
        <v>1989</v>
      </c>
      <c r="X544" s="217">
        <v>5</v>
      </c>
      <c r="Y544" s="217">
        <v>2</v>
      </c>
      <c r="Z544" s="217">
        <v>4</v>
      </c>
      <c r="AA544" s="215" t="s">
        <v>447</v>
      </c>
      <c r="AB544" s="215" t="s">
        <v>531</v>
      </c>
      <c r="AC544" s="215" t="s">
        <v>533</v>
      </c>
      <c r="AD544" s="217">
        <v>1.2195149999999999</v>
      </c>
      <c r="AE544" s="217">
        <v>2018</v>
      </c>
      <c r="AF544" s="217">
        <v>2.7414999999999998</v>
      </c>
      <c r="AG544" s="217">
        <v>-99</v>
      </c>
      <c r="AH544" s="215" t="s">
        <v>224</v>
      </c>
      <c r="AI544" s="215" t="s">
        <v>449</v>
      </c>
      <c r="AJ544" s="215" t="s">
        <v>224</v>
      </c>
      <c r="AK544" s="215" t="s">
        <v>531</v>
      </c>
      <c r="AL544" s="215" t="s">
        <v>464</v>
      </c>
      <c r="AM544" s="217" t="b">
        <v>0</v>
      </c>
      <c r="AN544" s="217" t="b">
        <v>0</v>
      </c>
      <c r="AO544" s="215" t="s">
        <v>549</v>
      </c>
      <c r="AP544" s="215" t="s">
        <v>550</v>
      </c>
      <c r="AQ544" s="217">
        <v>127.23917598649743</v>
      </c>
      <c r="AR544" s="217" t="b">
        <v>0</v>
      </c>
      <c r="AS544" s="215" t="s">
        <v>534</v>
      </c>
      <c r="AU544" s="222" t="s">
        <v>819</v>
      </c>
    </row>
    <row r="545" spans="2:13" s="219" customFormat="1" x14ac:dyDescent="0.25">
      <c r="B545" s="218"/>
      <c r="C545" s="218"/>
      <c r="D545" s="218"/>
      <c r="E545" s="218"/>
      <c r="F545" s="218"/>
      <c r="G545" s="218"/>
      <c r="H545" s="218"/>
      <c r="I545" s="218"/>
      <c r="J545" s="218"/>
      <c r="K545" s="221"/>
      <c r="L545" s="218"/>
      <c r="M545" s="267"/>
    </row>
    <row r="546" spans="2:13" s="219" customFormat="1" x14ac:dyDescent="0.25">
      <c r="B546" s="218"/>
      <c r="C546" s="218"/>
      <c r="D546" s="218"/>
      <c r="E546" s="218"/>
      <c r="F546" s="218"/>
      <c r="G546" s="218"/>
      <c r="H546" s="218"/>
      <c r="I546" s="218"/>
      <c r="J546" s="218"/>
      <c r="K546" s="221"/>
      <c r="L546" s="218"/>
      <c r="M546" s="267"/>
    </row>
    <row r="547" spans="2:13" s="219" customFormat="1" x14ac:dyDescent="0.25">
      <c r="B547" s="218"/>
      <c r="C547" s="218"/>
      <c r="D547" s="218"/>
      <c r="E547" s="218"/>
      <c r="F547" s="218"/>
      <c r="G547" s="218"/>
      <c r="H547" s="218"/>
      <c r="I547" s="218"/>
      <c r="J547" s="218"/>
      <c r="K547" s="221"/>
      <c r="L547" s="218"/>
      <c r="M547" s="267"/>
    </row>
    <row r="548" spans="2:13" s="219" customFormat="1" x14ac:dyDescent="0.25">
      <c r="B548" s="218"/>
      <c r="C548" s="218"/>
      <c r="D548" s="218"/>
      <c r="E548" s="218"/>
      <c r="F548" s="218"/>
      <c r="G548" s="218"/>
      <c r="H548" s="218"/>
      <c r="I548" s="218"/>
      <c r="J548" s="218"/>
      <c r="K548" s="221"/>
      <c r="L548" s="218"/>
      <c r="M548" s="267"/>
    </row>
    <row r="549" spans="2:13" s="219" customFormat="1" x14ac:dyDescent="0.25">
      <c r="B549" s="218"/>
      <c r="C549" s="218"/>
      <c r="D549" s="218"/>
      <c r="E549" s="218"/>
      <c r="F549" s="218"/>
      <c r="G549" s="218"/>
      <c r="H549" s="218"/>
      <c r="I549" s="218"/>
      <c r="J549" s="218"/>
      <c r="K549" s="221"/>
      <c r="L549" s="218"/>
      <c r="M549" s="267"/>
    </row>
    <row r="550" spans="2:13" s="219" customFormat="1" x14ac:dyDescent="0.25">
      <c r="B550" s="218"/>
      <c r="C550" s="218"/>
      <c r="D550" s="218"/>
      <c r="E550" s="218"/>
      <c r="F550" s="218"/>
      <c r="G550" s="218"/>
      <c r="H550" s="218"/>
      <c r="I550" s="218"/>
      <c r="J550" s="218"/>
      <c r="K550" s="221"/>
      <c r="L550" s="218"/>
      <c r="M550" s="267"/>
    </row>
    <row r="551" spans="2:13" s="219" customFormat="1" x14ac:dyDescent="0.25">
      <c r="B551" s="218"/>
      <c r="C551" s="218"/>
      <c r="D551" s="218"/>
      <c r="E551" s="218"/>
      <c r="F551" s="218"/>
      <c r="G551" s="218"/>
      <c r="H551" s="218"/>
      <c r="I551" s="218"/>
      <c r="J551" s="218"/>
      <c r="K551" s="221"/>
      <c r="L551" s="218"/>
      <c r="M551" s="267"/>
    </row>
    <row r="552" spans="2:13" s="219" customFormat="1" x14ac:dyDescent="0.25">
      <c r="B552" s="218"/>
      <c r="C552" s="218"/>
      <c r="D552" s="218"/>
      <c r="E552" s="218"/>
      <c r="F552" s="218"/>
      <c r="G552" s="218"/>
      <c r="H552" s="218"/>
      <c r="I552" s="218"/>
      <c r="J552" s="218"/>
      <c r="K552" s="221"/>
      <c r="L552" s="218"/>
      <c r="M552" s="267"/>
    </row>
    <row r="553" spans="2:13" s="219" customFormat="1" x14ac:dyDescent="0.25">
      <c r="B553" s="218"/>
      <c r="C553" s="218"/>
      <c r="D553" s="218"/>
      <c r="E553" s="218"/>
      <c r="F553" s="218"/>
      <c r="G553" s="218"/>
      <c r="H553" s="218"/>
      <c r="I553" s="218"/>
      <c r="J553" s="218"/>
      <c r="K553" s="221"/>
      <c r="L553" s="218"/>
      <c r="M553" s="267"/>
    </row>
    <row r="554" spans="2:13" s="219" customFormat="1" x14ac:dyDescent="0.25">
      <c r="B554" s="218"/>
      <c r="C554" s="218"/>
      <c r="D554" s="218"/>
      <c r="E554" s="218"/>
      <c r="F554" s="218"/>
      <c r="G554" s="218"/>
      <c r="H554" s="218"/>
      <c r="I554" s="218"/>
      <c r="J554" s="218"/>
      <c r="K554" s="221"/>
      <c r="L554" s="218"/>
      <c r="M554" s="267"/>
    </row>
    <row r="555" spans="2:13" s="219" customFormat="1" x14ac:dyDescent="0.25">
      <c r="B555" s="218"/>
      <c r="C555" s="218"/>
      <c r="D555" s="218"/>
      <c r="E555" s="218"/>
      <c r="F555" s="218"/>
      <c r="G555" s="218"/>
      <c r="H555" s="218"/>
      <c r="I555" s="218"/>
      <c r="J555" s="218"/>
      <c r="K555" s="221"/>
      <c r="L555" s="218"/>
      <c r="M555" s="267"/>
    </row>
    <row r="556" spans="2:13" s="219" customFormat="1" x14ac:dyDescent="0.25">
      <c r="B556" s="218"/>
      <c r="C556" s="218"/>
      <c r="D556" s="218"/>
      <c r="E556" s="218"/>
      <c r="F556" s="218"/>
      <c r="G556" s="218"/>
      <c r="H556" s="218"/>
      <c r="I556" s="218"/>
      <c r="J556" s="218"/>
      <c r="K556" s="221"/>
      <c r="L556" s="218"/>
      <c r="M556" s="267"/>
    </row>
    <row r="557" spans="2:13" s="219" customFormat="1" x14ac:dyDescent="0.25">
      <c r="B557" s="218"/>
      <c r="C557" s="218"/>
      <c r="D557" s="218"/>
      <c r="E557" s="218"/>
      <c r="F557" s="218"/>
      <c r="G557" s="218"/>
      <c r="H557" s="218"/>
      <c r="I557" s="218"/>
      <c r="J557" s="218"/>
      <c r="K557" s="221"/>
      <c r="L557" s="218"/>
      <c r="M557" s="267"/>
    </row>
    <row r="558" spans="2:13" s="219" customFormat="1" x14ac:dyDescent="0.25">
      <c r="B558" s="218"/>
      <c r="C558" s="218"/>
      <c r="D558" s="218"/>
      <c r="E558" s="218"/>
      <c r="F558" s="218"/>
      <c r="G558" s="218"/>
      <c r="H558" s="218"/>
      <c r="I558" s="218"/>
      <c r="J558" s="218"/>
      <c r="K558" s="221"/>
      <c r="L558" s="218"/>
      <c r="M558" s="267"/>
    </row>
    <row r="559" spans="2:13" s="219" customFormat="1" x14ac:dyDescent="0.25">
      <c r="B559" s="218"/>
      <c r="C559" s="218"/>
      <c r="D559" s="218"/>
      <c r="E559" s="218"/>
      <c r="F559" s="218"/>
      <c r="G559" s="218"/>
      <c r="H559" s="218"/>
      <c r="I559" s="218"/>
      <c r="J559" s="218"/>
      <c r="K559" s="221"/>
      <c r="L559" s="218"/>
      <c r="M559" s="267"/>
    </row>
    <row r="560" spans="2:13" s="219" customFormat="1" x14ac:dyDescent="0.25">
      <c r="B560" s="218"/>
      <c r="C560" s="218"/>
      <c r="D560" s="218"/>
      <c r="E560" s="218"/>
      <c r="F560" s="218"/>
      <c r="G560" s="218"/>
      <c r="H560" s="218"/>
      <c r="I560" s="218"/>
      <c r="J560" s="218"/>
      <c r="K560" s="221"/>
      <c r="L560" s="218"/>
      <c r="M560" s="267"/>
    </row>
    <row r="561" spans="2:13" s="219" customFormat="1" x14ac:dyDescent="0.25">
      <c r="B561" s="218"/>
      <c r="C561" s="218"/>
      <c r="D561" s="218"/>
      <c r="E561" s="218"/>
      <c r="F561" s="218"/>
      <c r="G561" s="218"/>
      <c r="H561" s="218"/>
      <c r="I561" s="218"/>
      <c r="J561" s="218"/>
      <c r="K561" s="221"/>
      <c r="L561" s="218"/>
      <c r="M561" s="267"/>
    </row>
    <row r="562" spans="2:13" s="219" customFormat="1" x14ac:dyDescent="0.25">
      <c r="B562" s="218"/>
      <c r="C562" s="218"/>
      <c r="D562" s="218"/>
      <c r="E562" s="218"/>
      <c r="F562" s="218"/>
      <c r="G562" s="218"/>
      <c r="H562" s="218"/>
      <c r="I562" s="218"/>
      <c r="J562" s="218"/>
      <c r="K562" s="221"/>
      <c r="L562" s="218"/>
      <c r="M562" s="267"/>
    </row>
    <row r="563" spans="2:13" s="204" customFormat="1" x14ac:dyDescent="0.25">
      <c r="B563" s="246"/>
      <c r="C563" s="246"/>
      <c r="D563" s="246"/>
      <c r="E563" s="246"/>
      <c r="F563" s="246"/>
      <c r="G563" s="246"/>
      <c r="H563" s="246"/>
      <c r="I563" s="246"/>
      <c r="J563" s="246"/>
      <c r="K563" s="299"/>
      <c r="L563" s="246"/>
      <c r="M563" s="246"/>
    </row>
    <row r="564" spans="2:13" s="204" customFormat="1" x14ac:dyDescent="0.25">
      <c r="J564" s="247"/>
      <c r="K564" s="300"/>
    </row>
    <row r="565" spans="2:13" s="204" customFormat="1" x14ac:dyDescent="0.25">
      <c r="J565" s="247"/>
      <c r="K565" s="300"/>
    </row>
    <row r="566" spans="2:13" s="204" customFormat="1" x14ac:dyDescent="0.25">
      <c r="J566" s="247"/>
      <c r="K566" s="300"/>
    </row>
    <row r="567" spans="2:13" s="204" customFormat="1" x14ac:dyDescent="0.25">
      <c r="J567" s="247"/>
      <c r="K567" s="300"/>
    </row>
    <row r="568" spans="2:13" s="204" customFormat="1" x14ac:dyDescent="0.25">
      <c r="J568" s="247"/>
      <c r="K568" s="300"/>
    </row>
    <row r="569" spans="2:13" s="204" customFormat="1" x14ac:dyDescent="0.25">
      <c r="J569" s="247"/>
      <c r="K569" s="300"/>
    </row>
    <row r="570" spans="2:13" s="204" customFormat="1" x14ac:dyDescent="0.25">
      <c r="J570" s="247"/>
      <c r="K570" s="300"/>
    </row>
    <row r="571" spans="2:13" s="204" customFormat="1" x14ac:dyDescent="0.25">
      <c r="J571" s="247"/>
      <c r="K571" s="300"/>
    </row>
    <row r="572" spans="2:13" s="204" customFormat="1" x14ac:dyDescent="0.25">
      <c r="J572" s="247"/>
      <c r="K572" s="300"/>
    </row>
    <row r="573" spans="2:13" s="204" customFormat="1" x14ac:dyDescent="0.25">
      <c r="J573" s="247"/>
      <c r="K573" s="300"/>
    </row>
    <row r="574" spans="2:13" s="204" customFormat="1" x14ac:dyDescent="0.25">
      <c r="J574" s="247"/>
      <c r="K574" s="300"/>
    </row>
    <row r="575" spans="2:13" s="204" customFormat="1" x14ac:dyDescent="0.25">
      <c r="J575" s="247"/>
      <c r="K575" s="300"/>
    </row>
    <row r="576" spans="2:13" s="204" customFormat="1" x14ac:dyDescent="0.25">
      <c r="J576" s="247"/>
      <c r="K576" s="300"/>
    </row>
    <row r="577" spans="10:11" s="204" customFormat="1" x14ac:dyDescent="0.25">
      <c r="J577" s="247"/>
      <c r="K577" s="300"/>
    </row>
    <row r="578" spans="10:11" s="204" customFormat="1" x14ac:dyDescent="0.25">
      <c r="J578" s="247"/>
      <c r="K578" s="300"/>
    </row>
    <row r="579" spans="10:11" s="204" customFormat="1" x14ac:dyDescent="0.25">
      <c r="J579" s="247"/>
      <c r="K579" s="300"/>
    </row>
    <row r="580" spans="10:11" s="204" customFormat="1" x14ac:dyDescent="0.25">
      <c r="J580" s="247"/>
      <c r="K580" s="300"/>
    </row>
    <row r="581" spans="10:11" s="204" customFormat="1" x14ac:dyDescent="0.25">
      <c r="J581" s="247"/>
      <c r="K581" s="300"/>
    </row>
    <row r="582" spans="10:11" s="204" customFormat="1" x14ac:dyDescent="0.25">
      <c r="J582" s="247"/>
      <c r="K582" s="300"/>
    </row>
    <row r="583" spans="10:11" s="204" customFormat="1" x14ac:dyDescent="0.25">
      <c r="J583" s="247"/>
      <c r="K583" s="300"/>
    </row>
    <row r="584" spans="10:11" s="204" customFormat="1" x14ac:dyDescent="0.25">
      <c r="J584" s="247"/>
      <c r="K584" s="300"/>
    </row>
    <row r="585" spans="10:11" s="204" customFormat="1" x14ac:dyDescent="0.25">
      <c r="J585" s="247"/>
      <c r="K585" s="300"/>
    </row>
    <row r="586" spans="10:11" s="204" customFormat="1" x14ac:dyDescent="0.25">
      <c r="J586" s="247"/>
      <c r="K586" s="300"/>
    </row>
    <row r="587" spans="10:11" s="204" customFormat="1" x14ac:dyDescent="0.25">
      <c r="J587" s="247"/>
      <c r="K587" s="300"/>
    </row>
    <row r="588" spans="10:11" s="204" customFormat="1" x14ac:dyDescent="0.25">
      <c r="J588" s="247"/>
      <c r="K588" s="300"/>
    </row>
    <row r="589" spans="10:11" s="204" customFormat="1" x14ac:dyDescent="0.25">
      <c r="J589" s="247"/>
      <c r="K589" s="300"/>
    </row>
    <row r="590" spans="10:11" s="204" customFormat="1" x14ac:dyDescent="0.25">
      <c r="J590" s="247"/>
      <c r="K590" s="300"/>
    </row>
    <row r="591" spans="10:11" s="204" customFormat="1" x14ac:dyDescent="0.25">
      <c r="J591" s="247"/>
      <c r="K591" s="300"/>
    </row>
    <row r="592" spans="10:11" s="204" customFormat="1" x14ac:dyDescent="0.25">
      <c r="J592" s="247"/>
      <c r="K592" s="300"/>
    </row>
    <row r="593" spans="10:11" s="204" customFormat="1" x14ac:dyDescent="0.25">
      <c r="J593" s="247"/>
      <c r="K593" s="300"/>
    </row>
    <row r="594" spans="10:11" s="204" customFormat="1" x14ac:dyDescent="0.25">
      <c r="J594" s="247"/>
      <c r="K594" s="300"/>
    </row>
    <row r="595" spans="10:11" s="204" customFormat="1" x14ac:dyDescent="0.25">
      <c r="J595" s="247"/>
      <c r="K595" s="300"/>
    </row>
    <row r="596" spans="10:11" s="204" customFormat="1" x14ac:dyDescent="0.25">
      <c r="J596" s="247"/>
      <c r="K596" s="300"/>
    </row>
    <row r="597" spans="10:11" s="204" customFormat="1" x14ac:dyDescent="0.25">
      <c r="J597" s="247"/>
      <c r="K597" s="300"/>
    </row>
    <row r="598" spans="10:11" s="204" customFormat="1" x14ac:dyDescent="0.25">
      <c r="J598" s="247"/>
      <c r="K598" s="300"/>
    </row>
    <row r="599" spans="10:11" s="204" customFormat="1" x14ac:dyDescent="0.25">
      <c r="J599" s="247"/>
      <c r="K599" s="300"/>
    </row>
    <row r="600" spans="10:11" s="204" customFormat="1" x14ac:dyDescent="0.25">
      <c r="J600" s="247"/>
      <c r="K600" s="300"/>
    </row>
    <row r="601" spans="10:11" s="204" customFormat="1" x14ac:dyDescent="0.25">
      <c r="J601" s="247"/>
      <c r="K601" s="300"/>
    </row>
    <row r="602" spans="10:11" s="204" customFormat="1" x14ac:dyDescent="0.25">
      <c r="J602" s="247"/>
      <c r="K602" s="300"/>
    </row>
    <row r="603" spans="10:11" s="204" customFormat="1" x14ac:dyDescent="0.25">
      <c r="J603" s="247"/>
      <c r="K603" s="300"/>
    </row>
    <row r="604" spans="10:11" s="204" customFormat="1" x14ac:dyDescent="0.25">
      <c r="J604" s="247"/>
      <c r="K604" s="300"/>
    </row>
    <row r="605" spans="10:11" s="204" customFormat="1" x14ac:dyDescent="0.25">
      <c r="J605" s="247"/>
      <c r="K605" s="300"/>
    </row>
    <row r="606" spans="10:11" s="204" customFormat="1" x14ac:dyDescent="0.25">
      <c r="J606" s="247"/>
      <c r="K606" s="300"/>
    </row>
    <row r="607" spans="10:11" s="204" customFormat="1" x14ac:dyDescent="0.25">
      <c r="J607" s="247"/>
      <c r="K607" s="300"/>
    </row>
    <row r="608" spans="10:11" s="204" customFormat="1" x14ac:dyDescent="0.25">
      <c r="J608" s="247"/>
      <c r="K608" s="300"/>
    </row>
    <row r="609" spans="2:13" s="204" customFormat="1" x14ac:dyDescent="0.25">
      <c r="J609" s="247"/>
      <c r="K609" s="300"/>
    </row>
    <row r="610" spans="2:13" s="204" customFormat="1" x14ac:dyDescent="0.25">
      <c r="J610" s="247"/>
      <c r="K610" s="300"/>
    </row>
    <row r="611" spans="2:13" s="204" customFormat="1" x14ac:dyDescent="0.25">
      <c r="J611" s="247"/>
      <c r="K611" s="300"/>
    </row>
    <row r="612" spans="2:13" s="204" customFormat="1" x14ac:dyDescent="0.25">
      <c r="B612" s="246"/>
      <c r="C612" s="246"/>
      <c r="D612" s="246"/>
      <c r="E612" s="246"/>
      <c r="F612" s="246"/>
      <c r="G612" s="246"/>
      <c r="H612" s="246"/>
      <c r="I612" s="246"/>
      <c r="J612" s="246"/>
      <c r="K612" s="299"/>
      <c r="L612" s="246"/>
      <c r="M612" s="246"/>
    </row>
    <row r="613" spans="2:13" s="204" customFormat="1" x14ac:dyDescent="0.25">
      <c r="B613" s="246"/>
      <c r="C613" s="246"/>
      <c r="D613" s="246"/>
      <c r="E613" s="246"/>
      <c r="F613" s="246"/>
      <c r="G613" s="246"/>
      <c r="H613" s="246"/>
      <c r="I613" s="246"/>
      <c r="J613" s="246"/>
      <c r="K613" s="299"/>
      <c r="L613" s="246"/>
      <c r="M613" s="246"/>
    </row>
    <row r="614" spans="2:13" s="204" customFormat="1" x14ac:dyDescent="0.25">
      <c r="B614" s="246"/>
      <c r="C614" s="246"/>
      <c r="D614" s="246"/>
      <c r="E614" s="246"/>
      <c r="F614" s="246"/>
      <c r="G614" s="246"/>
      <c r="H614" s="246"/>
      <c r="I614" s="246"/>
      <c r="J614" s="246"/>
      <c r="K614" s="299"/>
      <c r="L614" s="246"/>
      <c r="M614" s="246"/>
    </row>
    <row r="615" spans="2:13" s="204" customFormat="1" x14ac:dyDescent="0.25">
      <c r="B615" s="246"/>
      <c r="C615" s="246"/>
      <c r="D615" s="246"/>
      <c r="E615" s="246"/>
      <c r="F615" s="246"/>
      <c r="G615" s="246"/>
      <c r="H615" s="246"/>
      <c r="I615" s="246"/>
      <c r="J615" s="246"/>
      <c r="K615" s="299"/>
      <c r="L615" s="246"/>
      <c r="M615" s="246"/>
    </row>
    <row r="616" spans="2:13" s="204" customFormat="1" x14ac:dyDescent="0.25">
      <c r="B616" s="246"/>
      <c r="C616" s="246"/>
      <c r="D616" s="246"/>
      <c r="E616" s="246"/>
      <c r="F616" s="246"/>
      <c r="G616" s="246"/>
      <c r="H616" s="246"/>
      <c r="I616" s="246"/>
      <c r="J616" s="246"/>
      <c r="K616" s="299"/>
      <c r="L616" s="246"/>
      <c r="M616" s="246"/>
    </row>
    <row r="617" spans="2:13" s="204" customFormat="1" x14ac:dyDescent="0.25">
      <c r="B617" s="246"/>
      <c r="C617" s="246"/>
      <c r="D617" s="246"/>
      <c r="E617" s="246"/>
      <c r="F617" s="246"/>
      <c r="G617" s="246"/>
      <c r="H617" s="246"/>
      <c r="I617" s="246"/>
      <c r="J617" s="246"/>
      <c r="K617" s="299"/>
      <c r="L617" s="246"/>
      <c r="M617" s="246"/>
    </row>
    <row r="618" spans="2:13" s="204" customFormat="1" x14ac:dyDescent="0.25">
      <c r="B618" s="246"/>
      <c r="C618" s="246"/>
      <c r="D618" s="246"/>
      <c r="E618" s="246"/>
      <c r="F618" s="246"/>
      <c r="G618" s="246"/>
      <c r="H618" s="246"/>
      <c r="I618" s="246"/>
      <c r="J618" s="246"/>
      <c r="K618" s="299"/>
      <c r="L618" s="246"/>
      <c r="M618" s="246"/>
    </row>
    <row r="619" spans="2:13" s="204" customFormat="1" x14ac:dyDescent="0.25">
      <c r="B619" s="246"/>
      <c r="C619" s="246"/>
      <c r="D619" s="246"/>
      <c r="E619" s="246"/>
      <c r="F619" s="246"/>
      <c r="G619" s="246"/>
      <c r="H619" s="246"/>
      <c r="I619" s="246"/>
      <c r="J619" s="246"/>
      <c r="K619" s="299"/>
      <c r="L619" s="246"/>
      <c r="M619" s="246"/>
    </row>
    <row r="620" spans="2:13" s="204" customFormat="1" x14ac:dyDescent="0.25">
      <c r="B620" s="246"/>
      <c r="C620" s="246"/>
      <c r="D620" s="246"/>
      <c r="E620" s="246"/>
      <c r="F620" s="246"/>
      <c r="G620" s="246"/>
      <c r="H620" s="246"/>
      <c r="I620" s="246"/>
      <c r="J620" s="246"/>
      <c r="K620" s="299"/>
      <c r="L620" s="246"/>
      <c r="M620" s="246"/>
    </row>
    <row r="621" spans="2:13" s="204" customFormat="1" x14ac:dyDescent="0.25">
      <c r="B621" s="246"/>
      <c r="C621" s="246"/>
      <c r="D621" s="246"/>
      <c r="E621" s="246"/>
      <c r="F621" s="246"/>
      <c r="G621" s="246"/>
      <c r="H621" s="246"/>
      <c r="I621" s="246"/>
      <c r="J621" s="246"/>
      <c r="K621" s="299"/>
      <c r="L621" s="246"/>
      <c r="M621" s="246"/>
    </row>
    <row r="622" spans="2:13" s="204" customFormat="1" x14ac:dyDescent="0.25">
      <c r="B622" s="246"/>
      <c r="C622" s="246"/>
      <c r="D622" s="246"/>
      <c r="E622" s="246"/>
      <c r="F622" s="246"/>
      <c r="G622" s="246"/>
      <c r="H622" s="246"/>
      <c r="I622" s="246"/>
      <c r="J622" s="246"/>
      <c r="K622" s="299"/>
      <c r="L622" s="246"/>
      <c r="M622" s="246"/>
    </row>
    <row r="623" spans="2:13" s="204" customFormat="1" x14ac:dyDescent="0.25">
      <c r="B623" s="246"/>
      <c r="C623" s="246"/>
      <c r="D623" s="246"/>
      <c r="E623" s="246"/>
      <c r="F623" s="246"/>
      <c r="G623" s="246"/>
      <c r="H623" s="246"/>
      <c r="I623" s="246"/>
      <c r="J623" s="246"/>
      <c r="K623" s="299"/>
      <c r="L623" s="246"/>
      <c r="M623" s="246"/>
    </row>
    <row r="624" spans="2:13" s="204" customFormat="1" x14ac:dyDescent="0.25">
      <c r="B624" s="246"/>
      <c r="C624" s="246"/>
      <c r="D624" s="246"/>
      <c r="E624" s="246"/>
      <c r="F624" s="246"/>
      <c r="G624" s="246"/>
      <c r="H624" s="246"/>
      <c r="I624" s="246"/>
      <c r="J624" s="246"/>
      <c r="K624" s="299"/>
      <c r="L624" s="246"/>
      <c r="M624" s="246"/>
    </row>
    <row r="625" spans="2:13" s="204" customFormat="1" x14ac:dyDescent="0.25">
      <c r="B625" s="246"/>
      <c r="C625" s="246"/>
      <c r="D625" s="246"/>
      <c r="E625" s="246"/>
      <c r="F625" s="246"/>
      <c r="G625" s="246"/>
      <c r="H625" s="246"/>
      <c r="I625" s="246"/>
      <c r="J625" s="246"/>
      <c r="K625" s="299"/>
      <c r="L625" s="246"/>
      <c r="M625" s="246"/>
    </row>
    <row r="626" spans="2:13" s="204" customFormat="1" x14ac:dyDescent="0.25">
      <c r="B626" s="246"/>
      <c r="C626" s="246"/>
      <c r="D626" s="246"/>
      <c r="E626" s="246"/>
      <c r="F626" s="246"/>
      <c r="G626" s="246"/>
      <c r="H626" s="246"/>
      <c r="I626" s="246"/>
      <c r="J626" s="246"/>
      <c r="K626" s="299"/>
      <c r="L626" s="246"/>
      <c r="M626" s="246"/>
    </row>
    <row r="627" spans="2:13" s="204" customFormat="1" x14ac:dyDescent="0.25">
      <c r="B627" s="246"/>
      <c r="C627" s="246"/>
      <c r="D627" s="246"/>
      <c r="E627" s="246"/>
      <c r="F627" s="246"/>
      <c r="G627" s="246"/>
      <c r="H627" s="246"/>
      <c r="I627" s="246"/>
      <c r="J627" s="246"/>
      <c r="K627" s="299"/>
      <c r="L627" s="246"/>
      <c r="M627" s="246"/>
    </row>
    <row r="628" spans="2:13" s="204" customFormat="1" x14ac:dyDescent="0.25">
      <c r="B628" s="246"/>
      <c r="C628" s="246"/>
      <c r="D628" s="246"/>
      <c r="E628" s="246"/>
      <c r="F628" s="246"/>
      <c r="G628" s="246"/>
      <c r="H628" s="246"/>
      <c r="I628" s="246"/>
      <c r="J628" s="246"/>
      <c r="K628" s="299"/>
      <c r="L628" s="246"/>
      <c r="M628" s="246"/>
    </row>
    <row r="629" spans="2:13" s="204" customFormat="1" x14ac:dyDescent="0.25">
      <c r="B629" s="246"/>
      <c r="C629" s="246"/>
      <c r="D629" s="246"/>
      <c r="E629" s="246"/>
      <c r="F629" s="246"/>
      <c r="G629" s="246"/>
      <c r="H629" s="246"/>
      <c r="I629" s="246"/>
      <c r="J629" s="246"/>
      <c r="K629" s="299"/>
      <c r="L629" s="246"/>
      <c r="M629" s="246"/>
    </row>
    <row r="630" spans="2:13" s="204" customFormat="1" x14ac:dyDescent="0.25">
      <c r="B630" s="246"/>
      <c r="C630" s="246"/>
      <c r="D630" s="246"/>
      <c r="E630" s="246"/>
      <c r="F630" s="246"/>
      <c r="G630" s="246"/>
      <c r="H630" s="246"/>
      <c r="I630" s="246"/>
      <c r="J630" s="246"/>
      <c r="K630" s="299"/>
      <c r="L630" s="246"/>
      <c r="M630" s="246"/>
    </row>
    <row r="631" spans="2:13" s="204" customFormat="1" x14ac:dyDescent="0.25">
      <c r="B631" s="246"/>
      <c r="C631" s="246"/>
      <c r="D631" s="246"/>
      <c r="E631" s="246"/>
      <c r="F631" s="246"/>
      <c r="G631" s="246"/>
      <c r="H631" s="246"/>
      <c r="I631" s="246"/>
      <c r="J631" s="246"/>
      <c r="K631" s="299"/>
      <c r="L631" s="246"/>
      <c r="M631" s="246"/>
    </row>
    <row r="632" spans="2:13" s="204" customFormat="1" x14ac:dyDescent="0.25">
      <c r="B632" s="246"/>
      <c r="C632" s="246"/>
      <c r="D632" s="246"/>
      <c r="E632" s="246"/>
      <c r="F632" s="246"/>
      <c r="G632" s="246"/>
      <c r="H632" s="246"/>
      <c r="I632" s="246"/>
      <c r="J632" s="246"/>
      <c r="K632" s="299"/>
      <c r="L632" s="246"/>
      <c r="M632" s="246"/>
    </row>
    <row r="633" spans="2:13" s="204" customFormat="1" x14ac:dyDescent="0.25">
      <c r="B633" s="246"/>
      <c r="C633" s="246"/>
      <c r="D633" s="246"/>
      <c r="E633" s="246"/>
      <c r="F633" s="246"/>
      <c r="G633" s="246"/>
      <c r="H633" s="246"/>
      <c r="I633" s="246"/>
      <c r="J633" s="246"/>
      <c r="K633" s="299"/>
      <c r="L633" s="246"/>
      <c r="M633" s="246"/>
    </row>
    <row r="634" spans="2:13" s="204" customFormat="1" x14ac:dyDescent="0.25">
      <c r="B634" s="246"/>
      <c r="C634" s="246"/>
      <c r="D634" s="246"/>
      <c r="E634" s="246"/>
      <c r="F634" s="246"/>
      <c r="G634" s="246"/>
      <c r="H634" s="246"/>
      <c r="I634" s="246"/>
      <c r="J634" s="246"/>
      <c r="K634" s="299"/>
      <c r="L634" s="246"/>
      <c r="M634" s="246"/>
    </row>
    <row r="635" spans="2:13" s="204" customFormat="1" x14ac:dyDescent="0.25">
      <c r="B635" s="246"/>
      <c r="C635" s="246"/>
      <c r="D635" s="246"/>
      <c r="E635" s="246"/>
      <c r="F635" s="246"/>
      <c r="G635" s="246"/>
      <c r="H635" s="246"/>
      <c r="I635" s="246"/>
      <c r="J635" s="246"/>
      <c r="K635" s="299"/>
      <c r="L635" s="246"/>
      <c r="M635" s="246"/>
    </row>
    <row r="636" spans="2:13" s="204" customFormat="1" x14ac:dyDescent="0.25">
      <c r="B636" s="246"/>
      <c r="C636" s="246"/>
      <c r="D636" s="246"/>
      <c r="E636" s="246"/>
      <c r="F636" s="246"/>
      <c r="G636" s="246"/>
      <c r="H636" s="246"/>
      <c r="I636" s="246"/>
      <c r="J636" s="246"/>
      <c r="K636" s="299"/>
      <c r="L636" s="246"/>
      <c r="M636" s="246"/>
    </row>
    <row r="637" spans="2:13" s="204" customFormat="1" x14ac:dyDescent="0.25">
      <c r="B637" s="246"/>
      <c r="C637" s="246"/>
      <c r="D637" s="246"/>
      <c r="E637" s="246"/>
      <c r="F637" s="246"/>
      <c r="G637" s="246"/>
      <c r="H637" s="246"/>
      <c r="I637" s="246"/>
      <c r="J637" s="246"/>
      <c r="K637" s="299"/>
      <c r="L637" s="246"/>
      <c r="M637" s="246"/>
    </row>
    <row r="638" spans="2:13" s="204" customFormat="1" x14ac:dyDescent="0.25">
      <c r="B638" s="246"/>
      <c r="C638" s="246"/>
      <c r="D638" s="246"/>
      <c r="E638" s="246"/>
      <c r="F638" s="246"/>
      <c r="G638" s="246"/>
      <c r="H638" s="246"/>
      <c r="I638" s="246"/>
      <c r="J638" s="246"/>
      <c r="K638" s="299"/>
      <c r="L638" s="246"/>
      <c r="M638" s="246"/>
    </row>
    <row r="639" spans="2:13" s="204" customFormat="1" x14ac:dyDescent="0.25">
      <c r="B639" s="246"/>
      <c r="C639" s="246"/>
      <c r="D639" s="246"/>
      <c r="E639" s="246"/>
      <c r="F639" s="246"/>
      <c r="G639" s="246"/>
      <c r="H639" s="246"/>
      <c r="I639" s="246"/>
      <c r="J639" s="246"/>
      <c r="K639" s="299"/>
      <c r="L639" s="246"/>
      <c r="M639" s="246"/>
    </row>
    <row r="640" spans="2:13" s="204" customFormat="1" x14ac:dyDescent="0.25">
      <c r="B640" s="246"/>
      <c r="C640" s="246"/>
      <c r="D640" s="246"/>
      <c r="E640" s="246"/>
      <c r="F640" s="246"/>
      <c r="G640" s="246"/>
      <c r="H640" s="246"/>
      <c r="I640" s="246"/>
      <c r="J640" s="246"/>
      <c r="K640" s="299"/>
      <c r="L640" s="246"/>
      <c r="M640" s="246"/>
    </row>
    <row r="641" spans="2:13" s="204" customFormat="1" x14ac:dyDescent="0.25">
      <c r="B641" s="246"/>
      <c r="C641" s="246"/>
      <c r="D641" s="246"/>
      <c r="E641" s="246"/>
      <c r="F641" s="246"/>
      <c r="G641" s="246"/>
      <c r="H641" s="246"/>
      <c r="I641" s="246"/>
      <c r="J641" s="246"/>
      <c r="K641" s="299"/>
      <c r="L641" s="246"/>
      <c r="M641" s="246"/>
    </row>
    <row r="642" spans="2:13" s="204" customFormat="1" x14ac:dyDescent="0.25">
      <c r="B642" s="246"/>
      <c r="C642" s="246"/>
      <c r="D642" s="246"/>
      <c r="E642" s="246"/>
      <c r="F642" s="246"/>
      <c r="G642" s="246"/>
      <c r="H642" s="246"/>
      <c r="I642" s="246"/>
      <c r="J642" s="246"/>
      <c r="K642" s="299"/>
      <c r="L642" s="246"/>
      <c r="M642" s="246"/>
    </row>
    <row r="643" spans="2:13" s="204" customFormat="1" x14ac:dyDescent="0.25">
      <c r="B643" s="246"/>
      <c r="C643" s="246"/>
      <c r="D643" s="246"/>
      <c r="E643" s="246"/>
      <c r="F643" s="246"/>
      <c r="G643" s="246"/>
      <c r="H643" s="246"/>
      <c r="I643" s="246"/>
      <c r="J643" s="246"/>
      <c r="K643" s="299"/>
      <c r="L643" s="246"/>
      <c r="M643" s="246"/>
    </row>
    <row r="644" spans="2:13" s="204" customFormat="1" x14ac:dyDescent="0.25">
      <c r="B644" s="246"/>
      <c r="C644" s="246"/>
      <c r="D644" s="246"/>
      <c r="E644" s="246"/>
      <c r="F644" s="246"/>
      <c r="G644" s="246"/>
      <c r="H644" s="246"/>
      <c r="I644" s="246"/>
      <c r="J644" s="246"/>
      <c r="K644" s="299"/>
      <c r="L644" s="246"/>
      <c r="M644" s="246"/>
    </row>
    <row r="645" spans="2:13" s="204" customFormat="1" x14ac:dyDescent="0.25">
      <c r="B645" s="246"/>
      <c r="C645" s="246"/>
      <c r="D645" s="246"/>
      <c r="E645" s="246"/>
      <c r="F645" s="246"/>
      <c r="G645" s="246"/>
      <c r="H645" s="246"/>
      <c r="I645" s="246"/>
      <c r="J645" s="246"/>
      <c r="K645" s="299"/>
      <c r="L645" s="246"/>
      <c r="M645" s="246"/>
    </row>
    <row r="646" spans="2:13" s="204" customFormat="1" x14ac:dyDescent="0.25">
      <c r="B646" s="246"/>
      <c r="C646" s="246"/>
      <c r="D646" s="246"/>
      <c r="E646" s="246"/>
      <c r="F646" s="246"/>
      <c r="G646" s="246"/>
      <c r="H646" s="246"/>
      <c r="I646" s="246"/>
      <c r="J646" s="246"/>
      <c r="K646" s="299"/>
      <c r="L646" s="246"/>
      <c r="M646" s="246"/>
    </row>
    <row r="647" spans="2:13" s="204" customFormat="1" x14ac:dyDescent="0.25">
      <c r="B647" s="246"/>
      <c r="C647" s="246"/>
      <c r="D647" s="246"/>
      <c r="E647" s="246"/>
      <c r="F647" s="246"/>
      <c r="G647" s="246"/>
      <c r="H647" s="246"/>
      <c r="I647" s="246"/>
      <c r="J647" s="246"/>
      <c r="K647" s="299"/>
      <c r="L647" s="246"/>
      <c r="M647" s="246"/>
    </row>
    <row r="648" spans="2:13" s="204" customFormat="1" x14ac:dyDescent="0.25">
      <c r="B648" s="246"/>
      <c r="C648" s="246"/>
      <c r="D648" s="246"/>
      <c r="E648" s="246"/>
      <c r="F648" s="246"/>
      <c r="G648" s="246"/>
      <c r="H648" s="246"/>
      <c r="I648" s="246"/>
      <c r="J648" s="246"/>
      <c r="K648" s="299"/>
      <c r="L648" s="246"/>
      <c r="M648" s="246"/>
    </row>
    <row r="649" spans="2:13" s="204" customFormat="1" x14ac:dyDescent="0.25">
      <c r="J649" s="247"/>
      <c r="K649" s="300"/>
    </row>
    <row r="650" spans="2:13" s="204" customFormat="1" x14ac:dyDescent="0.25">
      <c r="J650" s="247"/>
      <c r="K650" s="300"/>
    </row>
    <row r="651" spans="2:13" s="204" customFormat="1" x14ac:dyDescent="0.25">
      <c r="J651" s="247"/>
      <c r="K651" s="300"/>
    </row>
    <row r="652" spans="2:13" s="204" customFormat="1" x14ac:dyDescent="0.25">
      <c r="J652" s="247"/>
      <c r="K652" s="300"/>
    </row>
    <row r="653" spans="2:13" s="204" customFormat="1" x14ac:dyDescent="0.25">
      <c r="J653" s="247"/>
      <c r="K653" s="300"/>
    </row>
    <row r="654" spans="2:13" s="204" customFormat="1" x14ac:dyDescent="0.25">
      <c r="J654" s="247"/>
      <c r="K654" s="300"/>
    </row>
    <row r="655" spans="2:13" s="204" customFormat="1" x14ac:dyDescent="0.25">
      <c r="J655" s="247"/>
      <c r="K655" s="300"/>
    </row>
    <row r="656" spans="2:13" s="204" customFormat="1" x14ac:dyDescent="0.25">
      <c r="J656" s="247"/>
      <c r="K656" s="300"/>
    </row>
    <row r="657" spans="10:11" s="204" customFormat="1" x14ac:dyDescent="0.25">
      <c r="J657" s="247"/>
      <c r="K657" s="300"/>
    </row>
    <row r="658" spans="10:11" s="204" customFormat="1" x14ac:dyDescent="0.25">
      <c r="J658" s="247"/>
      <c r="K658" s="300"/>
    </row>
    <row r="659" spans="10:11" s="204" customFormat="1" x14ac:dyDescent="0.25">
      <c r="J659" s="247"/>
      <c r="K659" s="300"/>
    </row>
    <row r="660" spans="10:11" s="204" customFormat="1" x14ac:dyDescent="0.25">
      <c r="J660" s="247"/>
      <c r="K660" s="300"/>
    </row>
    <row r="661" spans="10:11" s="204" customFormat="1" x14ac:dyDescent="0.25">
      <c r="J661" s="247"/>
      <c r="K661" s="300"/>
    </row>
    <row r="662" spans="10:11" s="204" customFormat="1" x14ac:dyDescent="0.25">
      <c r="J662" s="247"/>
      <c r="K662" s="300"/>
    </row>
    <row r="663" spans="10:11" s="204" customFormat="1" x14ac:dyDescent="0.25">
      <c r="J663" s="247"/>
      <c r="K663" s="300"/>
    </row>
    <row r="664" spans="10:11" s="204" customFormat="1" x14ac:dyDescent="0.25">
      <c r="J664" s="247"/>
      <c r="K664" s="300"/>
    </row>
    <row r="665" spans="10:11" s="204" customFormat="1" x14ac:dyDescent="0.25">
      <c r="J665" s="247"/>
      <c r="K665" s="300"/>
    </row>
    <row r="666" spans="10:11" s="204" customFormat="1" x14ac:dyDescent="0.25">
      <c r="J666" s="247"/>
      <c r="K666" s="300"/>
    </row>
    <row r="667" spans="10:11" s="204" customFormat="1" x14ac:dyDescent="0.25">
      <c r="J667" s="247"/>
      <c r="K667" s="300"/>
    </row>
    <row r="668" spans="10:11" s="204" customFormat="1" x14ac:dyDescent="0.25">
      <c r="J668" s="247"/>
      <c r="K668" s="300"/>
    </row>
    <row r="669" spans="10:11" s="204" customFormat="1" x14ac:dyDescent="0.25">
      <c r="J669" s="247"/>
      <c r="K669" s="300"/>
    </row>
    <row r="670" spans="10:11" s="204" customFormat="1" x14ac:dyDescent="0.25">
      <c r="J670" s="247"/>
      <c r="K670" s="300"/>
    </row>
    <row r="671" spans="10:11" s="204" customFormat="1" x14ac:dyDescent="0.25">
      <c r="J671" s="247"/>
      <c r="K671" s="300"/>
    </row>
    <row r="672" spans="10:11" s="204" customFormat="1" x14ac:dyDescent="0.25">
      <c r="J672" s="247"/>
      <c r="K672" s="300"/>
    </row>
    <row r="673" spans="10:11" s="204" customFormat="1" x14ac:dyDescent="0.25">
      <c r="J673" s="247"/>
      <c r="K673" s="300"/>
    </row>
    <row r="674" spans="10:11" s="204" customFormat="1" x14ac:dyDescent="0.25">
      <c r="J674" s="247"/>
      <c r="K674" s="300"/>
    </row>
    <row r="675" spans="10:11" s="204" customFormat="1" x14ac:dyDescent="0.25">
      <c r="J675" s="247"/>
      <c r="K675" s="300"/>
    </row>
    <row r="676" spans="10:11" s="204" customFormat="1" x14ac:dyDescent="0.25">
      <c r="J676" s="247"/>
      <c r="K676" s="300"/>
    </row>
    <row r="677" spans="10:11" s="204" customFormat="1" x14ac:dyDescent="0.25">
      <c r="J677" s="247"/>
      <c r="K677" s="300"/>
    </row>
    <row r="678" spans="10:11" s="204" customFormat="1" x14ac:dyDescent="0.25">
      <c r="J678" s="247"/>
      <c r="K678" s="300"/>
    </row>
    <row r="679" spans="10:11" s="204" customFormat="1" x14ac:dyDescent="0.25">
      <c r="J679" s="247"/>
      <c r="K679" s="300"/>
    </row>
    <row r="680" spans="10:11" s="204" customFormat="1" x14ac:dyDescent="0.25">
      <c r="J680" s="247"/>
      <c r="K680" s="300"/>
    </row>
    <row r="681" spans="10:11" s="204" customFormat="1" x14ac:dyDescent="0.25">
      <c r="J681" s="247"/>
      <c r="K681" s="300"/>
    </row>
    <row r="682" spans="10:11" s="204" customFormat="1" x14ac:dyDescent="0.25">
      <c r="J682" s="247"/>
      <c r="K682" s="300"/>
    </row>
    <row r="683" spans="10:11" s="204" customFormat="1" x14ac:dyDescent="0.25">
      <c r="J683" s="247"/>
      <c r="K683" s="300"/>
    </row>
    <row r="684" spans="10:11" s="204" customFormat="1" x14ac:dyDescent="0.25">
      <c r="J684" s="247"/>
      <c r="K684" s="300"/>
    </row>
    <row r="685" spans="10:11" s="204" customFormat="1" x14ac:dyDescent="0.25">
      <c r="J685" s="247"/>
      <c r="K685" s="300"/>
    </row>
    <row r="686" spans="10:11" s="204" customFormat="1" x14ac:dyDescent="0.25">
      <c r="J686" s="247"/>
      <c r="K686" s="300"/>
    </row>
    <row r="687" spans="10:11" s="204" customFormat="1" x14ac:dyDescent="0.25">
      <c r="J687" s="247"/>
      <c r="K687" s="300"/>
    </row>
    <row r="688" spans="10:11" s="204" customFormat="1" x14ac:dyDescent="0.25">
      <c r="J688" s="247"/>
      <c r="K688" s="300"/>
    </row>
    <row r="689" spans="2:13" s="204" customFormat="1" x14ac:dyDescent="0.25">
      <c r="J689" s="247"/>
      <c r="K689" s="300"/>
    </row>
    <row r="690" spans="2:13" s="204" customFormat="1" x14ac:dyDescent="0.25">
      <c r="J690" s="247"/>
      <c r="K690" s="300"/>
    </row>
    <row r="691" spans="2:13" s="204" customFormat="1" x14ac:dyDescent="0.25">
      <c r="J691" s="247"/>
      <c r="K691" s="300"/>
    </row>
    <row r="692" spans="2:13" s="204" customFormat="1" x14ac:dyDescent="0.25">
      <c r="J692" s="247"/>
      <c r="K692" s="300"/>
    </row>
    <row r="693" spans="2:13" s="204" customFormat="1" x14ac:dyDescent="0.25">
      <c r="J693" s="247"/>
      <c r="K693" s="300"/>
    </row>
    <row r="694" spans="2:13" s="204" customFormat="1" x14ac:dyDescent="0.25">
      <c r="J694" s="247"/>
      <c r="K694" s="300"/>
    </row>
    <row r="695" spans="2:13" s="204" customFormat="1" x14ac:dyDescent="0.25">
      <c r="J695" s="247"/>
      <c r="K695" s="300"/>
    </row>
    <row r="696" spans="2:13" s="204" customFormat="1" x14ac:dyDescent="0.25">
      <c r="J696" s="247"/>
      <c r="K696" s="300"/>
    </row>
    <row r="697" spans="2:13" s="204" customFormat="1" x14ac:dyDescent="0.25">
      <c r="J697" s="247"/>
      <c r="K697" s="300"/>
    </row>
    <row r="698" spans="2:13" s="204" customFormat="1" x14ac:dyDescent="0.25">
      <c r="J698" s="247"/>
      <c r="K698" s="300"/>
    </row>
    <row r="699" spans="2:13" s="204" customFormat="1" x14ac:dyDescent="0.25">
      <c r="J699" s="247"/>
      <c r="K699" s="300"/>
    </row>
    <row r="700" spans="2:13" s="204" customFormat="1" x14ac:dyDescent="0.25">
      <c r="B700" s="246"/>
      <c r="C700" s="246"/>
      <c r="D700" s="246"/>
      <c r="E700" s="246"/>
      <c r="F700" s="246"/>
      <c r="G700" s="246"/>
      <c r="H700" s="246"/>
      <c r="I700" s="246"/>
      <c r="J700" s="246"/>
      <c r="K700" s="299"/>
      <c r="L700" s="246"/>
      <c r="M700" s="246"/>
    </row>
    <row r="701" spans="2:13" s="204" customFormat="1" x14ac:dyDescent="0.25">
      <c r="B701" s="246"/>
      <c r="C701" s="246"/>
      <c r="D701" s="246"/>
      <c r="E701" s="246"/>
      <c r="F701" s="246"/>
      <c r="G701" s="246"/>
      <c r="H701" s="246"/>
      <c r="I701" s="246"/>
      <c r="J701" s="246"/>
      <c r="K701" s="299"/>
      <c r="L701" s="246"/>
      <c r="M701" s="246"/>
    </row>
    <row r="702" spans="2:13" s="204" customFormat="1" x14ac:dyDescent="0.25">
      <c r="B702" s="246"/>
      <c r="C702" s="246"/>
      <c r="D702" s="246"/>
      <c r="E702" s="246"/>
      <c r="F702" s="246"/>
      <c r="G702" s="246"/>
      <c r="H702" s="246"/>
      <c r="I702" s="246"/>
      <c r="J702" s="246"/>
      <c r="K702" s="299"/>
      <c r="L702" s="246"/>
      <c r="M702" s="246"/>
    </row>
    <row r="703" spans="2:13" s="204" customFormat="1" x14ac:dyDescent="0.25">
      <c r="B703" s="246"/>
      <c r="C703" s="246"/>
      <c r="D703" s="246"/>
      <c r="E703" s="246"/>
      <c r="F703" s="246"/>
      <c r="G703" s="246"/>
      <c r="H703" s="246"/>
      <c r="I703" s="246"/>
      <c r="J703" s="246"/>
      <c r="K703" s="299"/>
      <c r="L703" s="246"/>
      <c r="M703" s="246"/>
    </row>
    <row r="704" spans="2:13" s="204" customFormat="1" x14ac:dyDescent="0.25">
      <c r="B704" s="246"/>
      <c r="C704" s="246"/>
      <c r="D704" s="246"/>
      <c r="E704" s="246"/>
      <c r="F704" s="246"/>
      <c r="G704" s="246"/>
      <c r="H704" s="246"/>
      <c r="I704" s="246"/>
      <c r="J704" s="246"/>
      <c r="K704" s="299"/>
      <c r="L704" s="246"/>
      <c r="M704" s="246"/>
    </row>
    <row r="705" spans="2:13" s="204" customFormat="1" x14ac:dyDescent="0.25">
      <c r="B705" s="246"/>
      <c r="C705" s="246"/>
      <c r="D705" s="246"/>
      <c r="E705" s="246"/>
      <c r="F705" s="246"/>
      <c r="G705" s="246"/>
      <c r="H705" s="246"/>
      <c r="I705" s="246"/>
      <c r="J705" s="246"/>
      <c r="K705" s="299"/>
      <c r="L705" s="246"/>
      <c r="M705" s="246"/>
    </row>
    <row r="706" spans="2:13" s="204" customFormat="1" x14ac:dyDescent="0.25">
      <c r="B706" s="246"/>
      <c r="C706" s="246"/>
      <c r="D706" s="246"/>
      <c r="E706" s="246"/>
      <c r="F706" s="246"/>
      <c r="G706" s="246"/>
      <c r="H706" s="246"/>
      <c r="I706" s="246"/>
      <c r="J706" s="246"/>
      <c r="K706" s="299"/>
      <c r="L706" s="246"/>
      <c r="M706" s="246"/>
    </row>
    <row r="707" spans="2:13" s="204" customFormat="1" x14ac:dyDescent="0.25">
      <c r="B707" s="246"/>
      <c r="C707" s="246"/>
      <c r="D707" s="246"/>
      <c r="E707" s="246"/>
      <c r="F707" s="246"/>
      <c r="G707" s="246"/>
      <c r="H707" s="246"/>
      <c r="I707" s="246"/>
      <c r="J707" s="246"/>
      <c r="K707" s="299"/>
      <c r="L707" s="246"/>
      <c r="M707" s="246"/>
    </row>
    <row r="708" spans="2:13" s="204" customFormat="1" x14ac:dyDescent="0.25">
      <c r="B708" s="246"/>
      <c r="C708" s="246"/>
      <c r="D708" s="246"/>
      <c r="E708" s="246"/>
      <c r="F708" s="246"/>
      <c r="G708" s="246"/>
      <c r="H708" s="246"/>
      <c r="I708" s="246"/>
      <c r="J708" s="246"/>
      <c r="K708" s="299"/>
      <c r="L708" s="246"/>
      <c r="M708" s="246"/>
    </row>
    <row r="709" spans="2:13" s="204" customFormat="1" x14ac:dyDescent="0.25">
      <c r="B709" s="246"/>
      <c r="C709" s="246"/>
      <c r="D709" s="246"/>
      <c r="E709" s="246"/>
      <c r="F709" s="246"/>
      <c r="G709" s="246"/>
      <c r="H709" s="246"/>
      <c r="I709" s="246"/>
      <c r="J709" s="246"/>
      <c r="K709" s="299"/>
      <c r="L709" s="246"/>
      <c r="M709" s="246"/>
    </row>
    <row r="710" spans="2:13" s="204" customFormat="1" x14ac:dyDescent="0.25">
      <c r="B710" s="246"/>
      <c r="C710" s="246"/>
      <c r="D710" s="246"/>
      <c r="E710" s="246"/>
      <c r="F710" s="246"/>
      <c r="G710" s="246"/>
      <c r="H710" s="246"/>
      <c r="I710" s="246"/>
      <c r="J710" s="246"/>
      <c r="K710" s="299"/>
      <c r="L710" s="246"/>
      <c r="M710" s="246"/>
    </row>
    <row r="711" spans="2:13" s="204" customFormat="1" x14ac:dyDescent="0.25">
      <c r="B711" s="246"/>
      <c r="C711" s="246"/>
      <c r="D711" s="246"/>
      <c r="E711" s="246"/>
      <c r="F711" s="246"/>
      <c r="G711" s="246"/>
      <c r="H711" s="246"/>
      <c r="I711" s="246"/>
      <c r="J711" s="246"/>
      <c r="K711" s="299"/>
      <c r="L711" s="246"/>
      <c r="M711" s="246"/>
    </row>
    <row r="712" spans="2:13" s="204" customFormat="1" x14ac:dyDescent="0.25">
      <c r="B712" s="246"/>
      <c r="C712" s="246"/>
      <c r="D712" s="246"/>
      <c r="E712" s="246"/>
      <c r="F712" s="246"/>
      <c r="G712" s="246"/>
      <c r="H712" s="246"/>
      <c r="I712" s="246"/>
      <c r="J712" s="246"/>
      <c r="K712" s="299"/>
      <c r="L712" s="246"/>
      <c r="M712" s="246"/>
    </row>
    <row r="713" spans="2:13" s="204" customFormat="1" x14ac:dyDescent="0.25">
      <c r="B713" s="246"/>
      <c r="C713" s="246"/>
      <c r="D713" s="246"/>
      <c r="E713" s="246"/>
      <c r="F713" s="246"/>
      <c r="G713" s="246"/>
      <c r="H713" s="246"/>
      <c r="I713" s="246"/>
      <c r="J713" s="246"/>
      <c r="K713" s="299"/>
      <c r="L713" s="246"/>
      <c r="M713" s="246"/>
    </row>
    <row r="714" spans="2:13" s="204" customFormat="1" x14ac:dyDescent="0.25">
      <c r="B714" s="246"/>
      <c r="C714" s="246"/>
      <c r="D714" s="246"/>
      <c r="E714" s="246"/>
      <c r="F714" s="246"/>
      <c r="G714" s="246"/>
      <c r="H714" s="246"/>
      <c r="I714" s="246"/>
      <c r="J714" s="246"/>
      <c r="K714" s="299"/>
      <c r="L714" s="246"/>
      <c r="M714" s="246"/>
    </row>
    <row r="715" spans="2:13" s="204" customFormat="1" x14ac:dyDescent="0.25">
      <c r="B715" s="246"/>
      <c r="C715" s="246"/>
      <c r="D715" s="246"/>
      <c r="E715" s="246"/>
      <c r="F715" s="246"/>
      <c r="G715" s="246"/>
      <c r="H715" s="246"/>
      <c r="I715" s="246"/>
      <c r="J715" s="246"/>
      <c r="K715" s="299"/>
      <c r="L715" s="246"/>
      <c r="M715" s="246"/>
    </row>
    <row r="716" spans="2:13" s="204" customFormat="1" x14ac:dyDescent="0.25">
      <c r="B716" s="246"/>
      <c r="C716" s="246"/>
      <c r="D716" s="246"/>
      <c r="E716" s="246"/>
      <c r="F716" s="246"/>
      <c r="G716" s="246"/>
      <c r="H716" s="246"/>
      <c r="I716" s="246"/>
      <c r="J716" s="246"/>
      <c r="K716" s="299"/>
      <c r="L716" s="246"/>
      <c r="M716" s="246"/>
    </row>
    <row r="717" spans="2:13" s="204" customFormat="1" x14ac:dyDescent="0.25">
      <c r="B717" s="246"/>
      <c r="C717" s="246"/>
      <c r="D717" s="246"/>
      <c r="E717" s="246"/>
      <c r="F717" s="246"/>
      <c r="G717" s="246"/>
      <c r="H717" s="246"/>
      <c r="I717" s="246"/>
      <c r="J717" s="246"/>
      <c r="K717" s="299"/>
      <c r="L717" s="246"/>
      <c r="M717" s="246"/>
    </row>
    <row r="718" spans="2:13" s="204" customFormat="1" x14ac:dyDescent="0.25">
      <c r="B718" s="246"/>
      <c r="C718" s="246"/>
      <c r="D718" s="246"/>
      <c r="E718" s="246"/>
      <c r="F718" s="246"/>
      <c r="G718" s="246"/>
      <c r="H718" s="246"/>
      <c r="I718" s="246"/>
      <c r="J718" s="246"/>
      <c r="K718" s="299"/>
      <c r="L718" s="246"/>
      <c r="M718" s="246"/>
    </row>
    <row r="719" spans="2:13" s="204" customFormat="1" x14ac:dyDescent="0.25">
      <c r="B719" s="246"/>
      <c r="C719" s="246"/>
      <c r="D719" s="246"/>
      <c r="E719" s="246"/>
      <c r="F719" s="246"/>
      <c r="G719" s="246"/>
      <c r="H719" s="246"/>
      <c r="I719" s="246"/>
      <c r="J719" s="246"/>
      <c r="K719" s="299"/>
      <c r="L719" s="246"/>
      <c r="M719" s="246"/>
    </row>
    <row r="720" spans="2:13" s="204" customFormat="1" x14ac:dyDescent="0.25">
      <c r="B720" s="246"/>
      <c r="C720" s="246"/>
      <c r="D720" s="246"/>
      <c r="E720" s="246"/>
      <c r="F720" s="246"/>
      <c r="G720" s="246"/>
      <c r="H720" s="246"/>
      <c r="I720" s="246"/>
      <c r="J720" s="246"/>
      <c r="K720" s="299"/>
      <c r="L720" s="246"/>
      <c r="M720" s="246"/>
    </row>
    <row r="721" spans="2:13" s="204" customFormat="1" x14ac:dyDescent="0.25">
      <c r="B721" s="246"/>
      <c r="C721" s="246"/>
      <c r="D721" s="246"/>
      <c r="E721" s="246"/>
      <c r="F721" s="246"/>
      <c r="G721" s="246"/>
      <c r="H721" s="246"/>
      <c r="I721" s="246"/>
      <c r="J721" s="246"/>
      <c r="K721" s="299"/>
      <c r="L721" s="246"/>
      <c r="M721" s="246"/>
    </row>
    <row r="722" spans="2:13" s="204" customFormat="1" x14ac:dyDescent="0.25">
      <c r="B722" s="246"/>
      <c r="C722" s="246"/>
      <c r="D722" s="246"/>
      <c r="E722" s="246"/>
      <c r="F722" s="246"/>
      <c r="G722" s="246"/>
      <c r="H722" s="246"/>
      <c r="I722" s="246"/>
      <c r="J722" s="246"/>
      <c r="K722" s="299"/>
      <c r="L722" s="246"/>
      <c r="M722" s="246"/>
    </row>
    <row r="723" spans="2:13" s="204" customFormat="1" x14ac:dyDescent="0.25">
      <c r="B723" s="246"/>
      <c r="C723" s="246"/>
      <c r="D723" s="246"/>
      <c r="E723" s="246"/>
      <c r="F723" s="246"/>
      <c r="G723" s="246"/>
      <c r="H723" s="246"/>
      <c r="I723" s="246"/>
      <c r="J723" s="246"/>
      <c r="K723" s="299"/>
      <c r="L723" s="246"/>
      <c r="M723" s="246"/>
    </row>
    <row r="724" spans="2:13" s="204" customFormat="1" x14ac:dyDescent="0.25">
      <c r="B724" s="246"/>
      <c r="C724" s="246"/>
      <c r="D724" s="246"/>
      <c r="E724" s="246"/>
      <c r="F724" s="246"/>
      <c r="G724" s="246"/>
      <c r="H724" s="246"/>
      <c r="I724" s="246"/>
      <c r="J724" s="246"/>
      <c r="K724" s="299"/>
      <c r="L724" s="246"/>
      <c r="M724" s="246"/>
    </row>
    <row r="725" spans="2:13" s="204" customFormat="1" x14ac:dyDescent="0.25">
      <c r="B725" s="246"/>
      <c r="C725" s="246"/>
      <c r="D725" s="246"/>
      <c r="E725" s="246"/>
      <c r="F725" s="246"/>
      <c r="G725" s="246"/>
      <c r="H725" s="246"/>
      <c r="I725" s="246"/>
      <c r="J725" s="246"/>
      <c r="K725" s="299"/>
      <c r="L725" s="246"/>
      <c r="M725" s="246"/>
    </row>
    <row r="726" spans="2:13" s="204" customFormat="1" x14ac:dyDescent="0.25">
      <c r="B726" s="246"/>
      <c r="C726" s="246"/>
      <c r="D726" s="246"/>
      <c r="E726" s="246"/>
      <c r="F726" s="246"/>
      <c r="G726" s="246"/>
      <c r="H726" s="246"/>
      <c r="I726" s="246"/>
      <c r="J726" s="246"/>
      <c r="K726" s="299"/>
      <c r="L726" s="246"/>
      <c r="M726" s="246"/>
    </row>
    <row r="727" spans="2:13" s="204" customFormat="1" x14ac:dyDescent="0.25">
      <c r="B727" s="246"/>
      <c r="C727" s="246"/>
      <c r="D727" s="246"/>
      <c r="E727" s="246"/>
      <c r="F727" s="246"/>
      <c r="G727" s="246"/>
      <c r="H727" s="246"/>
      <c r="I727" s="246"/>
      <c r="J727" s="246"/>
      <c r="K727" s="299"/>
      <c r="L727" s="246"/>
      <c r="M727" s="246"/>
    </row>
    <row r="728" spans="2:13" s="204" customFormat="1" x14ac:dyDescent="0.25">
      <c r="B728" s="246"/>
      <c r="C728" s="246"/>
      <c r="D728" s="246"/>
      <c r="E728" s="246"/>
      <c r="F728" s="246"/>
      <c r="G728" s="246"/>
      <c r="H728" s="246"/>
      <c r="I728" s="246"/>
      <c r="J728" s="246"/>
      <c r="K728" s="299"/>
      <c r="L728" s="246"/>
      <c r="M728" s="246"/>
    </row>
    <row r="729" spans="2:13" s="204" customFormat="1" x14ac:dyDescent="0.25">
      <c r="B729" s="246"/>
      <c r="C729" s="246"/>
      <c r="D729" s="246"/>
      <c r="E729" s="246"/>
      <c r="F729" s="246"/>
      <c r="G729" s="246"/>
      <c r="H729" s="246"/>
      <c r="I729" s="246"/>
      <c r="J729" s="246"/>
      <c r="K729" s="299"/>
      <c r="L729" s="246"/>
      <c r="M729" s="246"/>
    </row>
    <row r="730" spans="2:13" s="204" customFormat="1" x14ac:dyDescent="0.25">
      <c r="B730" s="246"/>
      <c r="C730" s="246"/>
      <c r="D730" s="246"/>
      <c r="E730" s="246"/>
      <c r="F730" s="246"/>
      <c r="G730" s="246"/>
      <c r="H730" s="246"/>
      <c r="I730" s="246"/>
      <c r="J730" s="246"/>
      <c r="K730" s="299"/>
      <c r="L730" s="246"/>
      <c r="M730" s="246"/>
    </row>
    <row r="731" spans="2:13" s="204" customFormat="1" x14ac:dyDescent="0.25">
      <c r="B731" s="246"/>
      <c r="C731" s="246"/>
      <c r="D731" s="246"/>
      <c r="E731" s="246"/>
      <c r="F731" s="246"/>
      <c r="G731" s="246"/>
      <c r="H731" s="246"/>
      <c r="I731" s="246"/>
      <c r="J731" s="246"/>
      <c r="K731" s="299"/>
      <c r="L731" s="246"/>
      <c r="M731" s="246"/>
    </row>
    <row r="732" spans="2:13" s="204" customFormat="1" x14ac:dyDescent="0.25">
      <c r="B732" s="246"/>
      <c r="C732" s="246"/>
      <c r="D732" s="246"/>
      <c r="E732" s="246"/>
      <c r="F732" s="246"/>
      <c r="G732" s="246"/>
      <c r="H732" s="246"/>
      <c r="I732" s="246"/>
      <c r="J732" s="246"/>
      <c r="K732" s="299"/>
      <c r="L732" s="246"/>
      <c r="M732" s="246"/>
    </row>
    <row r="733" spans="2:13" s="204" customFormat="1" x14ac:dyDescent="0.25">
      <c r="B733" s="246"/>
      <c r="C733" s="246"/>
      <c r="D733" s="246"/>
      <c r="E733" s="246"/>
      <c r="F733" s="246"/>
      <c r="G733" s="246"/>
      <c r="H733" s="246"/>
      <c r="I733" s="246"/>
      <c r="J733" s="246"/>
      <c r="K733" s="299"/>
      <c r="L733" s="246"/>
      <c r="M733" s="246"/>
    </row>
    <row r="734" spans="2:13" s="204" customFormat="1" x14ac:dyDescent="0.25">
      <c r="B734" s="246"/>
      <c r="C734" s="246"/>
      <c r="D734" s="246"/>
      <c r="E734" s="246"/>
      <c r="F734" s="246"/>
      <c r="G734" s="246"/>
      <c r="H734" s="246"/>
      <c r="I734" s="246"/>
      <c r="J734" s="246"/>
      <c r="K734" s="299"/>
      <c r="L734" s="246"/>
      <c r="M734" s="246"/>
    </row>
    <row r="735" spans="2:13" s="204" customFormat="1" x14ac:dyDescent="0.25">
      <c r="B735" s="246"/>
      <c r="C735" s="246"/>
      <c r="D735" s="246"/>
      <c r="E735" s="246"/>
      <c r="F735" s="246"/>
      <c r="G735" s="246"/>
      <c r="H735" s="246"/>
      <c r="I735" s="246"/>
      <c r="J735" s="246"/>
      <c r="K735" s="299"/>
      <c r="L735" s="246"/>
      <c r="M735" s="246"/>
    </row>
    <row r="736" spans="2:13" s="204" customFormat="1" x14ac:dyDescent="0.25">
      <c r="B736" s="246"/>
      <c r="C736" s="246"/>
      <c r="D736" s="246"/>
      <c r="E736" s="246"/>
      <c r="F736" s="246"/>
      <c r="G736" s="246"/>
      <c r="H736" s="246"/>
      <c r="I736" s="246"/>
      <c r="J736" s="246"/>
      <c r="K736" s="299"/>
      <c r="L736" s="246"/>
      <c r="M736" s="246"/>
    </row>
    <row r="737" spans="2:13" s="204" customFormat="1" x14ac:dyDescent="0.25">
      <c r="B737" s="246"/>
      <c r="C737" s="246"/>
      <c r="D737" s="246"/>
      <c r="E737" s="246"/>
      <c r="F737" s="246"/>
      <c r="G737" s="246"/>
      <c r="H737" s="246"/>
      <c r="I737" s="246"/>
      <c r="J737" s="246"/>
      <c r="K737" s="299"/>
      <c r="L737" s="246"/>
      <c r="M737" s="246"/>
    </row>
    <row r="738" spans="2:13" s="204" customFormat="1" x14ac:dyDescent="0.25">
      <c r="B738" s="246"/>
      <c r="C738" s="246"/>
      <c r="D738" s="246"/>
      <c r="E738" s="246"/>
      <c r="F738" s="246"/>
      <c r="G738" s="246"/>
      <c r="H738" s="246"/>
      <c r="I738" s="246"/>
      <c r="J738" s="246"/>
      <c r="K738" s="299"/>
      <c r="L738" s="246"/>
      <c r="M738" s="246"/>
    </row>
    <row r="739" spans="2:13" s="204" customFormat="1" x14ac:dyDescent="0.25">
      <c r="B739" s="246"/>
      <c r="C739" s="246"/>
      <c r="D739" s="246"/>
      <c r="E739" s="246"/>
      <c r="F739" s="246"/>
      <c r="G739" s="246"/>
      <c r="H739" s="246"/>
      <c r="I739" s="246"/>
      <c r="J739" s="246"/>
      <c r="K739" s="299"/>
      <c r="L739" s="246"/>
      <c r="M739" s="246"/>
    </row>
    <row r="740" spans="2:13" s="204" customFormat="1" x14ac:dyDescent="0.25">
      <c r="B740" s="246"/>
      <c r="C740" s="246"/>
      <c r="D740" s="246"/>
      <c r="E740" s="246"/>
      <c r="F740" s="246"/>
      <c r="G740" s="246"/>
      <c r="H740" s="246"/>
      <c r="I740" s="246"/>
      <c r="J740" s="246"/>
      <c r="K740" s="299"/>
      <c r="L740" s="246"/>
      <c r="M740" s="246"/>
    </row>
    <row r="741" spans="2:13" s="204" customFormat="1" x14ac:dyDescent="0.25">
      <c r="B741" s="246"/>
      <c r="C741" s="246"/>
      <c r="D741" s="246"/>
      <c r="E741" s="246"/>
      <c r="F741" s="246"/>
      <c r="G741" s="246"/>
      <c r="H741" s="246"/>
      <c r="I741" s="246"/>
      <c r="J741" s="246"/>
      <c r="K741" s="299"/>
      <c r="L741" s="246"/>
      <c r="M741" s="246"/>
    </row>
    <row r="742" spans="2:13" s="204" customFormat="1" x14ac:dyDescent="0.25">
      <c r="B742" s="246"/>
      <c r="C742" s="246"/>
      <c r="D742" s="246"/>
      <c r="E742" s="246"/>
      <c r="F742" s="246"/>
      <c r="G742" s="246"/>
      <c r="H742" s="246"/>
      <c r="I742" s="246"/>
      <c r="J742" s="246"/>
      <c r="K742" s="299"/>
      <c r="L742" s="246"/>
      <c r="M742" s="246"/>
    </row>
    <row r="743" spans="2:13" s="204" customFormat="1" x14ac:dyDescent="0.25">
      <c r="B743" s="246"/>
      <c r="C743" s="246"/>
      <c r="D743" s="246"/>
      <c r="E743" s="246"/>
      <c r="F743" s="246"/>
      <c r="G743" s="246"/>
      <c r="H743" s="246"/>
      <c r="I743" s="246"/>
      <c r="J743" s="246"/>
      <c r="K743" s="299"/>
      <c r="L743" s="246"/>
      <c r="M743" s="246"/>
    </row>
    <row r="744" spans="2:13" s="204" customFormat="1" x14ac:dyDescent="0.25">
      <c r="B744" s="246"/>
      <c r="C744" s="246"/>
      <c r="D744" s="246"/>
      <c r="E744" s="246"/>
      <c r="F744" s="246"/>
      <c r="G744" s="246"/>
      <c r="H744" s="246"/>
      <c r="I744" s="246"/>
      <c r="J744" s="246"/>
      <c r="K744" s="299"/>
      <c r="L744" s="246"/>
      <c r="M744" s="246"/>
    </row>
    <row r="745" spans="2:13" s="204" customFormat="1" x14ac:dyDescent="0.25">
      <c r="B745" s="246"/>
      <c r="C745" s="246"/>
      <c r="D745" s="246"/>
      <c r="E745" s="246"/>
      <c r="F745" s="246"/>
      <c r="G745" s="246"/>
      <c r="H745" s="246"/>
      <c r="I745" s="246"/>
      <c r="J745" s="246"/>
      <c r="K745" s="299"/>
      <c r="L745" s="246"/>
      <c r="M745" s="246"/>
    </row>
    <row r="746" spans="2:13" s="204" customFormat="1" x14ac:dyDescent="0.25">
      <c r="B746" s="246"/>
      <c r="C746" s="246"/>
      <c r="D746" s="246"/>
      <c r="E746" s="246"/>
      <c r="F746" s="246"/>
      <c r="G746" s="246"/>
      <c r="H746" s="246"/>
      <c r="I746" s="246"/>
      <c r="J746" s="246"/>
      <c r="K746" s="299"/>
      <c r="L746" s="246"/>
      <c r="M746" s="246"/>
    </row>
    <row r="747" spans="2:13" s="204" customFormat="1" x14ac:dyDescent="0.25">
      <c r="B747" s="246"/>
      <c r="C747" s="246"/>
      <c r="D747" s="246"/>
      <c r="E747" s="246"/>
      <c r="F747" s="246"/>
      <c r="G747" s="246"/>
      <c r="H747" s="246"/>
      <c r="I747" s="246"/>
      <c r="J747" s="246"/>
      <c r="K747" s="299"/>
      <c r="L747" s="246"/>
      <c r="M747" s="246"/>
    </row>
    <row r="748" spans="2:13" s="204" customFormat="1" x14ac:dyDescent="0.25">
      <c r="B748" s="246"/>
      <c r="C748" s="246"/>
      <c r="D748" s="246"/>
      <c r="E748" s="246"/>
      <c r="F748" s="246"/>
      <c r="G748" s="246"/>
      <c r="H748" s="246"/>
      <c r="I748" s="246"/>
      <c r="J748" s="246"/>
      <c r="K748" s="299"/>
      <c r="L748" s="246"/>
      <c r="M748" s="246"/>
    </row>
    <row r="749" spans="2:13" s="204" customFormat="1" x14ac:dyDescent="0.25">
      <c r="B749" s="246"/>
      <c r="C749" s="246"/>
      <c r="D749" s="246"/>
      <c r="E749" s="246"/>
      <c r="F749" s="246"/>
      <c r="G749" s="246"/>
      <c r="H749" s="246"/>
      <c r="I749" s="246"/>
      <c r="J749" s="246"/>
      <c r="K749" s="299"/>
      <c r="L749" s="246"/>
      <c r="M749" s="246"/>
    </row>
    <row r="750" spans="2:13" s="204" customFormat="1" x14ac:dyDescent="0.25">
      <c r="B750" s="246"/>
      <c r="C750" s="246"/>
      <c r="D750" s="246"/>
      <c r="E750" s="246"/>
      <c r="F750" s="246"/>
      <c r="G750" s="246"/>
      <c r="H750" s="246"/>
      <c r="I750" s="246"/>
      <c r="J750" s="246"/>
      <c r="K750" s="299"/>
      <c r="L750" s="246"/>
      <c r="M750" s="246"/>
    </row>
    <row r="751" spans="2:13" s="204" customFormat="1" x14ac:dyDescent="0.25">
      <c r="B751" s="246"/>
      <c r="C751" s="246"/>
      <c r="D751" s="246"/>
      <c r="E751" s="246"/>
      <c r="F751" s="246"/>
      <c r="G751" s="246"/>
      <c r="H751" s="246"/>
      <c r="I751" s="246"/>
      <c r="J751" s="246"/>
      <c r="K751" s="299"/>
      <c r="L751" s="246"/>
      <c r="M751" s="246"/>
    </row>
    <row r="752" spans="2:13" s="204" customFormat="1" x14ac:dyDescent="0.25">
      <c r="B752" s="246"/>
      <c r="C752" s="246"/>
      <c r="D752" s="246"/>
      <c r="E752" s="246"/>
      <c r="F752" s="246"/>
      <c r="G752" s="246"/>
      <c r="H752" s="246"/>
      <c r="I752" s="246"/>
      <c r="J752" s="246"/>
      <c r="K752" s="299"/>
      <c r="L752" s="246"/>
      <c r="M752" s="246"/>
    </row>
    <row r="753" spans="2:13" s="204" customFormat="1" x14ac:dyDescent="0.25">
      <c r="B753" s="246"/>
      <c r="C753" s="246"/>
      <c r="D753" s="246"/>
      <c r="E753" s="246"/>
      <c r="F753" s="246"/>
      <c r="G753" s="246"/>
      <c r="H753" s="246"/>
      <c r="I753" s="246"/>
      <c r="J753" s="246"/>
      <c r="K753" s="299"/>
      <c r="L753" s="246"/>
      <c r="M753" s="246"/>
    </row>
    <row r="754" spans="2:13" s="204" customFormat="1" x14ac:dyDescent="0.25">
      <c r="B754" s="246"/>
      <c r="C754" s="246"/>
      <c r="D754" s="246"/>
      <c r="E754" s="246"/>
      <c r="F754" s="246"/>
      <c r="G754" s="246"/>
      <c r="H754" s="246"/>
      <c r="I754" s="246"/>
      <c r="J754" s="246"/>
      <c r="K754" s="299"/>
      <c r="L754" s="246"/>
      <c r="M754" s="246"/>
    </row>
    <row r="755" spans="2:13" s="204" customFormat="1" x14ac:dyDescent="0.25">
      <c r="B755" s="246"/>
      <c r="C755" s="246"/>
      <c r="D755" s="246"/>
      <c r="E755" s="246"/>
      <c r="F755" s="246"/>
      <c r="G755" s="246"/>
      <c r="H755" s="246"/>
      <c r="I755" s="246"/>
      <c r="J755" s="246"/>
      <c r="K755" s="299"/>
      <c r="L755" s="246"/>
      <c r="M755" s="246"/>
    </row>
    <row r="756" spans="2:13" s="204" customFormat="1" x14ac:dyDescent="0.25">
      <c r="B756" s="246"/>
      <c r="C756" s="246"/>
      <c r="D756" s="246"/>
      <c r="E756" s="246"/>
      <c r="F756" s="246"/>
      <c r="G756" s="246"/>
      <c r="H756" s="246"/>
      <c r="I756" s="246"/>
      <c r="J756" s="246"/>
      <c r="K756" s="299"/>
      <c r="L756" s="246"/>
      <c r="M756" s="246"/>
    </row>
    <row r="757" spans="2:13" s="204" customFormat="1" x14ac:dyDescent="0.25">
      <c r="B757" s="246"/>
      <c r="C757" s="246"/>
      <c r="D757" s="246"/>
      <c r="E757" s="246"/>
      <c r="F757" s="246"/>
      <c r="G757" s="246"/>
      <c r="H757" s="246"/>
      <c r="I757" s="246"/>
      <c r="J757" s="246"/>
      <c r="K757" s="299"/>
      <c r="L757" s="246"/>
      <c r="M757" s="246"/>
    </row>
    <row r="758" spans="2:13" s="204" customFormat="1" x14ac:dyDescent="0.25">
      <c r="B758" s="246"/>
      <c r="C758" s="246"/>
      <c r="D758" s="246"/>
      <c r="E758" s="246"/>
      <c r="F758" s="246"/>
      <c r="G758" s="246"/>
      <c r="H758" s="246"/>
      <c r="I758" s="246"/>
      <c r="J758" s="246"/>
      <c r="K758" s="299"/>
      <c r="L758" s="246"/>
      <c r="M758" s="246"/>
    </row>
    <row r="759" spans="2:13" s="204" customFormat="1" x14ac:dyDescent="0.25">
      <c r="B759" s="246"/>
      <c r="C759" s="246"/>
      <c r="D759" s="246"/>
      <c r="E759" s="246"/>
      <c r="F759" s="246"/>
      <c r="G759" s="246"/>
      <c r="H759" s="246"/>
      <c r="I759" s="246"/>
      <c r="J759" s="246"/>
      <c r="K759" s="299"/>
      <c r="L759" s="246"/>
      <c r="M759" s="246"/>
    </row>
    <row r="760" spans="2:13" s="204" customFormat="1" x14ac:dyDescent="0.25">
      <c r="B760" s="246"/>
      <c r="C760" s="246"/>
      <c r="D760" s="246"/>
      <c r="E760" s="246"/>
      <c r="F760" s="246"/>
      <c r="G760" s="246"/>
      <c r="H760" s="246"/>
      <c r="I760" s="246"/>
      <c r="J760" s="246"/>
      <c r="K760" s="299"/>
      <c r="L760" s="246"/>
      <c r="M760" s="246"/>
    </row>
    <row r="761" spans="2:13" s="204" customFormat="1" x14ac:dyDescent="0.25">
      <c r="B761" s="246"/>
      <c r="C761" s="246"/>
      <c r="D761" s="246"/>
      <c r="E761" s="246"/>
      <c r="F761" s="246"/>
      <c r="G761" s="246"/>
      <c r="H761" s="246"/>
      <c r="I761" s="246"/>
      <c r="J761" s="246"/>
      <c r="K761" s="299"/>
      <c r="L761" s="246"/>
      <c r="M761" s="246"/>
    </row>
    <row r="762" spans="2:13" s="204" customFormat="1" x14ac:dyDescent="0.25">
      <c r="B762" s="246"/>
      <c r="C762" s="246"/>
      <c r="D762" s="246"/>
      <c r="E762" s="246"/>
      <c r="F762" s="246"/>
      <c r="G762" s="246"/>
      <c r="H762" s="246"/>
      <c r="I762" s="246"/>
      <c r="J762" s="246"/>
      <c r="K762" s="299"/>
      <c r="L762" s="246"/>
      <c r="M762" s="246"/>
    </row>
    <row r="763" spans="2:13" s="204" customFormat="1" x14ac:dyDescent="0.25">
      <c r="B763" s="246"/>
      <c r="C763" s="246"/>
      <c r="D763" s="246"/>
      <c r="E763" s="246"/>
      <c r="F763" s="246"/>
      <c r="G763" s="246"/>
      <c r="H763" s="246"/>
      <c r="I763" s="246"/>
      <c r="J763" s="246"/>
      <c r="K763" s="299"/>
      <c r="L763" s="246"/>
      <c r="M763" s="246"/>
    </row>
    <row r="764" spans="2:13" s="204" customFormat="1" x14ac:dyDescent="0.25">
      <c r="B764" s="246"/>
      <c r="C764" s="246"/>
      <c r="D764" s="246"/>
      <c r="E764" s="246"/>
      <c r="F764" s="246"/>
      <c r="G764" s="246"/>
      <c r="H764" s="246"/>
      <c r="I764" s="246"/>
      <c r="J764" s="246"/>
      <c r="K764" s="299"/>
      <c r="L764" s="246"/>
      <c r="M764" s="246"/>
    </row>
    <row r="765" spans="2:13" s="204" customFormat="1" x14ac:dyDescent="0.25">
      <c r="B765" s="246"/>
      <c r="C765" s="246"/>
      <c r="D765" s="246"/>
      <c r="E765" s="246"/>
      <c r="F765" s="246"/>
      <c r="G765" s="246"/>
      <c r="H765" s="246"/>
      <c r="I765" s="246"/>
      <c r="J765" s="246"/>
      <c r="K765" s="299"/>
      <c r="L765" s="246"/>
      <c r="M765" s="246"/>
    </row>
    <row r="766" spans="2:13" s="204" customFormat="1" x14ac:dyDescent="0.25">
      <c r="B766" s="246"/>
      <c r="C766" s="246"/>
      <c r="D766" s="246"/>
      <c r="E766" s="246"/>
      <c r="F766" s="246"/>
      <c r="G766" s="246"/>
      <c r="H766" s="246"/>
      <c r="I766" s="246"/>
      <c r="J766" s="246"/>
      <c r="K766" s="299"/>
      <c r="L766" s="246"/>
      <c r="M766" s="246"/>
    </row>
    <row r="767" spans="2:13" s="204" customFormat="1" x14ac:dyDescent="0.25">
      <c r="B767" s="246"/>
      <c r="C767" s="246"/>
      <c r="D767" s="246"/>
      <c r="E767" s="246"/>
      <c r="F767" s="246"/>
      <c r="G767" s="246"/>
      <c r="H767" s="246"/>
      <c r="I767" s="246"/>
      <c r="J767" s="246"/>
      <c r="K767" s="299"/>
      <c r="L767" s="246"/>
      <c r="M767" s="246"/>
    </row>
    <row r="768" spans="2:13" s="204" customFormat="1" x14ac:dyDescent="0.25">
      <c r="B768" s="246"/>
      <c r="C768" s="246"/>
      <c r="D768" s="246"/>
      <c r="E768" s="246"/>
      <c r="F768" s="246"/>
      <c r="G768" s="246"/>
      <c r="H768" s="246"/>
      <c r="I768" s="246"/>
      <c r="J768" s="246"/>
      <c r="K768" s="299"/>
      <c r="L768" s="246"/>
      <c r="M768" s="246"/>
    </row>
    <row r="769" spans="2:13" s="204" customFormat="1" x14ac:dyDescent="0.25">
      <c r="B769" s="246"/>
      <c r="C769" s="246"/>
      <c r="D769" s="246"/>
      <c r="E769" s="246"/>
      <c r="F769" s="246"/>
      <c r="G769" s="246"/>
      <c r="H769" s="246"/>
      <c r="I769" s="246"/>
      <c r="J769" s="246"/>
      <c r="K769" s="299"/>
      <c r="L769" s="246"/>
      <c r="M769" s="246"/>
    </row>
    <row r="770" spans="2:13" s="204" customFormat="1" x14ac:dyDescent="0.25">
      <c r="B770" s="246"/>
      <c r="C770" s="246"/>
      <c r="D770" s="246"/>
      <c r="E770" s="246"/>
      <c r="F770" s="246"/>
      <c r="G770" s="246"/>
      <c r="H770" s="246"/>
      <c r="I770" s="246"/>
      <c r="J770" s="246"/>
      <c r="K770" s="299"/>
      <c r="L770" s="246"/>
      <c r="M770" s="246"/>
    </row>
    <row r="771" spans="2:13" s="204" customFormat="1" x14ac:dyDescent="0.25">
      <c r="B771" s="246"/>
      <c r="C771" s="246"/>
      <c r="D771" s="246"/>
      <c r="E771" s="246"/>
      <c r="F771" s="246"/>
      <c r="G771" s="246"/>
      <c r="H771" s="246"/>
      <c r="I771" s="246"/>
      <c r="J771" s="246"/>
      <c r="K771" s="299"/>
      <c r="L771" s="246"/>
      <c r="M771" s="246"/>
    </row>
    <row r="772" spans="2:13" s="204" customFormat="1" x14ac:dyDescent="0.25">
      <c r="B772" s="246"/>
      <c r="C772" s="246"/>
      <c r="D772" s="246"/>
      <c r="E772" s="246"/>
      <c r="F772" s="246"/>
      <c r="G772" s="246"/>
      <c r="H772" s="246"/>
      <c r="I772" s="246"/>
      <c r="J772" s="246"/>
      <c r="K772" s="299"/>
      <c r="L772" s="246"/>
      <c r="M772" s="246"/>
    </row>
    <row r="773" spans="2:13" s="204" customFormat="1" x14ac:dyDescent="0.25">
      <c r="B773" s="246"/>
      <c r="C773" s="246"/>
      <c r="D773" s="246"/>
      <c r="E773" s="246"/>
      <c r="F773" s="246"/>
      <c r="G773" s="246"/>
      <c r="H773" s="246"/>
      <c r="I773" s="246"/>
      <c r="J773" s="246"/>
      <c r="K773" s="299"/>
      <c r="L773" s="246"/>
      <c r="M773" s="246"/>
    </row>
    <row r="774" spans="2:13" s="204" customFormat="1" x14ac:dyDescent="0.25">
      <c r="B774" s="246"/>
      <c r="C774" s="246"/>
      <c r="D774" s="246"/>
      <c r="E774" s="246"/>
      <c r="F774" s="246"/>
      <c r="G774" s="246"/>
      <c r="H774" s="246"/>
      <c r="I774" s="246"/>
      <c r="J774" s="246"/>
      <c r="K774" s="299"/>
      <c r="L774" s="246"/>
      <c r="M774" s="246"/>
    </row>
    <row r="775" spans="2:13" s="204" customFormat="1" x14ac:dyDescent="0.25">
      <c r="B775" s="246"/>
      <c r="C775" s="246"/>
      <c r="D775" s="246"/>
      <c r="E775" s="246"/>
      <c r="F775" s="246"/>
      <c r="G775" s="246"/>
      <c r="H775" s="246"/>
      <c r="I775" s="246"/>
      <c r="J775" s="246"/>
      <c r="K775" s="299"/>
      <c r="L775" s="246"/>
      <c r="M775" s="246"/>
    </row>
    <row r="776" spans="2:13" s="204" customFormat="1" x14ac:dyDescent="0.25">
      <c r="B776" s="246"/>
      <c r="C776" s="246"/>
      <c r="D776" s="246"/>
      <c r="E776" s="246"/>
      <c r="F776" s="246"/>
      <c r="G776" s="246"/>
      <c r="H776" s="246"/>
      <c r="I776" s="246"/>
      <c r="J776" s="246"/>
      <c r="K776" s="299"/>
      <c r="L776" s="246"/>
      <c r="M776" s="246"/>
    </row>
    <row r="777" spans="2:13" s="204" customFormat="1" x14ac:dyDescent="0.25">
      <c r="B777" s="246"/>
      <c r="C777" s="246"/>
      <c r="D777" s="246"/>
      <c r="E777" s="246"/>
      <c r="F777" s="246"/>
      <c r="G777" s="246"/>
      <c r="H777" s="246"/>
      <c r="I777" s="246"/>
      <c r="J777" s="246"/>
      <c r="K777" s="299"/>
      <c r="L777" s="246"/>
      <c r="M777" s="246"/>
    </row>
    <row r="778" spans="2:13" s="204" customFormat="1" x14ac:dyDescent="0.25">
      <c r="B778" s="246"/>
      <c r="C778" s="246"/>
      <c r="D778" s="246"/>
      <c r="E778" s="246"/>
      <c r="F778" s="246"/>
      <c r="G778" s="246"/>
      <c r="H778" s="246"/>
      <c r="I778" s="246"/>
      <c r="J778" s="246"/>
      <c r="K778" s="299"/>
      <c r="L778" s="246"/>
      <c r="M778" s="246"/>
    </row>
    <row r="779" spans="2:13" s="204" customFormat="1" x14ac:dyDescent="0.25">
      <c r="B779" s="246"/>
      <c r="C779" s="246"/>
      <c r="D779" s="246"/>
      <c r="E779" s="246"/>
      <c r="F779" s="246"/>
      <c r="G779" s="246"/>
      <c r="H779" s="246"/>
      <c r="I779" s="246"/>
      <c r="J779" s="246"/>
      <c r="K779" s="299"/>
      <c r="L779" s="246"/>
      <c r="M779" s="246"/>
    </row>
    <row r="780" spans="2:13" s="204" customFormat="1" x14ac:dyDescent="0.25">
      <c r="B780" s="246"/>
      <c r="C780" s="246"/>
      <c r="D780" s="246"/>
      <c r="E780" s="246"/>
      <c r="F780" s="246"/>
      <c r="G780" s="246"/>
      <c r="H780" s="246"/>
      <c r="I780" s="246"/>
      <c r="J780" s="246"/>
      <c r="K780" s="299"/>
      <c r="L780" s="246"/>
      <c r="M780" s="246"/>
    </row>
    <row r="781" spans="2:13" s="204" customFormat="1" x14ac:dyDescent="0.25">
      <c r="B781" s="246"/>
      <c r="C781" s="246"/>
      <c r="D781" s="246"/>
      <c r="E781" s="246"/>
      <c r="F781" s="246"/>
      <c r="G781" s="246"/>
      <c r="H781" s="246"/>
      <c r="I781" s="246"/>
      <c r="J781" s="246"/>
      <c r="K781" s="299"/>
      <c r="L781" s="246"/>
      <c r="M781" s="246"/>
    </row>
    <row r="782" spans="2:13" s="204" customFormat="1" x14ac:dyDescent="0.25">
      <c r="B782" s="246"/>
      <c r="C782" s="246"/>
      <c r="D782" s="246"/>
      <c r="E782" s="246"/>
      <c r="F782" s="246"/>
      <c r="G782" s="246"/>
      <c r="H782" s="246"/>
      <c r="I782" s="246"/>
      <c r="J782" s="246"/>
      <c r="K782" s="299"/>
      <c r="L782" s="246"/>
      <c r="M782" s="246"/>
    </row>
    <row r="783" spans="2:13" s="204" customFormat="1" x14ac:dyDescent="0.25">
      <c r="B783" s="246"/>
      <c r="C783" s="246"/>
      <c r="D783" s="246"/>
      <c r="E783" s="246"/>
      <c r="F783" s="246"/>
      <c r="G783" s="246"/>
      <c r="H783" s="246"/>
      <c r="I783" s="246"/>
      <c r="J783" s="246"/>
      <c r="K783" s="299"/>
      <c r="L783" s="246"/>
      <c r="M783" s="246"/>
    </row>
    <row r="784" spans="2:13" s="204" customFormat="1" x14ac:dyDescent="0.25">
      <c r="B784" s="246"/>
      <c r="C784" s="246"/>
      <c r="D784" s="246"/>
      <c r="E784" s="246"/>
      <c r="F784" s="246"/>
      <c r="G784" s="246"/>
      <c r="H784" s="246"/>
      <c r="I784" s="246"/>
      <c r="J784" s="246"/>
      <c r="K784" s="299"/>
      <c r="L784" s="246"/>
      <c r="M784" s="246"/>
    </row>
    <row r="785" spans="2:13" s="204" customFormat="1" x14ac:dyDescent="0.25">
      <c r="B785" s="246"/>
      <c r="C785" s="246"/>
      <c r="D785" s="246"/>
      <c r="E785" s="246"/>
      <c r="F785" s="246"/>
      <c r="G785" s="246"/>
      <c r="H785" s="246"/>
      <c r="I785" s="246"/>
      <c r="J785" s="246"/>
      <c r="K785" s="299"/>
      <c r="L785" s="246"/>
      <c r="M785" s="246"/>
    </row>
    <row r="786" spans="2:13" s="204" customFormat="1" x14ac:dyDescent="0.25">
      <c r="B786" s="246"/>
      <c r="C786" s="246"/>
      <c r="D786" s="246"/>
      <c r="E786" s="246"/>
      <c r="F786" s="246"/>
      <c r="G786" s="246"/>
      <c r="H786" s="246"/>
      <c r="I786" s="246"/>
      <c r="J786" s="246"/>
      <c r="K786" s="299"/>
      <c r="L786" s="246"/>
      <c r="M786" s="246"/>
    </row>
    <row r="787" spans="2:13" s="204" customFormat="1" x14ac:dyDescent="0.25">
      <c r="B787" s="246"/>
      <c r="C787" s="246"/>
      <c r="D787" s="246"/>
      <c r="E787" s="246"/>
      <c r="F787" s="246"/>
      <c r="G787" s="246"/>
      <c r="H787" s="246"/>
      <c r="I787" s="246"/>
      <c r="J787" s="246"/>
      <c r="K787" s="299"/>
      <c r="L787" s="246"/>
      <c r="M787" s="246"/>
    </row>
    <row r="788" spans="2:13" s="204" customFormat="1" x14ac:dyDescent="0.25">
      <c r="B788" s="246"/>
      <c r="C788" s="246"/>
      <c r="D788" s="246"/>
      <c r="E788" s="246"/>
      <c r="F788" s="246"/>
      <c r="G788" s="246"/>
      <c r="H788" s="246"/>
      <c r="I788" s="246"/>
      <c r="J788" s="246"/>
      <c r="K788" s="299"/>
      <c r="L788" s="246"/>
      <c r="M788" s="246"/>
    </row>
    <row r="789" spans="2:13" s="204" customFormat="1" x14ac:dyDescent="0.25">
      <c r="B789" s="246"/>
      <c r="C789" s="246"/>
      <c r="D789" s="246"/>
      <c r="E789" s="246"/>
      <c r="F789" s="246"/>
      <c r="G789" s="246"/>
      <c r="H789" s="246"/>
      <c r="I789" s="246"/>
      <c r="J789" s="246"/>
      <c r="K789" s="299"/>
      <c r="L789" s="246"/>
      <c r="M789" s="246"/>
    </row>
    <row r="790" spans="2:13" s="204" customFormat="1" x14ac:dyDescent="0.25">
      <c r="B790" s="246"/>
      <c r="C790" s="246"/>
      <c r="D790" s="246"/>
      <c r="E790" s="246"/>
      <c r="F790" s="246"/>
      <c r="G790" s="246"/>
      <c r="H790" s="246"/>
      <c r="I790" s="246"/>
      <c r="J790" s="246"/>
      <c r="K790" s="299"/>
      <c r="L790" s="246"/>
      <c r="M790" s="246"/>
    </row>
    <row r="791" spans="2:13" s="204" customFormat="1" x14ac:dyDescent="0.25">
      <c r="B791" s="246"/>
      <c r="C791" s="246"/>
      <c r="D791" s="246"/>
      <c r="E791" s="246"/>
      <c r="F791" s="246"/>
      <c r="G791" s="246"/>
      <c r="H791" s="246"/>
      <c r="I791" s="246"/>
      <c r="J791" s="246"/>
      <c r="K791" s="299"/>
      <c r="L791" s="246"/>
      <c r="M791" s="246"/>
    </row>
    <row r="792" spans="2:13" s="204" customFormat="1" x14ac:dyDescent="0.25">
      <c r="B792" s="246"/>
      <c r="C792" s="246"/>
      <c r="D792" s="246"/>
      <c r="E792" s="246"/>
      <c r="F792" s="246"/>
      <c r="G792" s="246"/>
      <c r="H792" s="246"/>
      <c r="I792" s="246"/>
      <c r="J792" s="246"/>
      <c r="K792" s="299"/>
      <c r="L792" s="246"/>
      <c r="M792" s="246"/>
    </row>
    <row r="793" spans="2:13" s="204" customFormat="1" x14ac:dyDescent="0.25">
      <c r="B793" s="246"/>
      <c r="C793" s="246"/>
      <c r="D793" s="246"/>
      <c r="E793" s="246"/>
      <c r="F793" s="246"/>
      <c r="G793" s="246"/>
      <c r="H793" s="246"/>
      <c r="I793" s="246"/>
      <c r="J793" s="246"/>
      <c r="K793" s="299"/>
      <c r="L793" s="246"/>
      <c r="M793" s="246"/>
    </row>
    <row r="794" spans="2:13" s="204" customFormat="1" x14ac:dyDescent="0.25">
      <c r="B794" s="246"/>
      <c r="C794" s="246"/>
      <c r="D794" s="246"/>
      <c r="E794" s="246"/>
      <c r="F794" s="246"/>
      <c r="G794" s="246"/>
      <c r="H794" s="246"/>
      <c r="I794" s="246"/>
      <c r="J794" s="246"/>
      <c r="K794" s="299"/>
      <c r="L794" s="246"/>
      <c r="M794" s="246"/>
    </row>
    <row r="795" spans="2:13" s="204" customFormat="1" x14ac:dyDescent="0.25">
      <c r="B795" s="246"/>
      <c r="C795" s="246"/>
      <c r="D795" s="246"/>
      <c r="E795" s="246"/>
      <c r="F795" s="246"/>
      <c r="G795" s="246"/>
      <c r="H795" s="246"/>
      <c r="I795" s="246"/>
      <c r="J795" s="246"/>
      <c r="K795" s="299"/>
      <c r="L795" s="246"/>
      <c r="M795" s="246"/>
    </row>
    <row r="796" spans="2:13" s="204" customFormat="1" x14ac:dyDescent="0.25">
      <c r="B796" s="246"/>
      <c r="C796" s="246"/>
      <c r="D796" s="246"/>
      <c r="E796" s="246"/>
      <c r="F796" s="246"/>
      <c r="G796" s="246"/>
      <c r="H796" s="246"/>
      <c r="I796" s="246"/>
      <c r="J796" s="246"/>
      <c r="K796" s="299"/>
      <c r="L796" s="246"/>
      <c r="M796" s="246"/>
    </row>
    <row r="797" spans="2:13" s="204" customFormat="1" x14ac:dyDescent="0.25">
      <c r="B797" s="246"/>
      <c r="C797" s="246"/>
      <c r="D797" s="246"/>
      <c r="E797" s="246"/>
      <c r="F797" s="246"/>
      <c r="G797" s="246"/>
      <c r="H797" s="246"/>
      <c r="I797" s="246"/>
      <c r="J797" s="246"/>
      <c r="K797" s="299"/>
      <c r="L797" s="246"/>
      <c r="M797" s="246"/>
    </row>
    <row r="798" spans="2:13" s="204" customFormat="1" x14ac:dyDescent="0.25">
      <c r="B798" s="246"/>
      <c r="C798" s="246"/>
      <c r="D798" s="246"/>
      <c r="E798" s="246"/>
      <c r="F798" s="246"/>
      <c r="G798" s="246"/>
      <c r="H798" s="246"/>
      <c r="I798" s="246"/>
      <c r="J798" s="246"/>
      <c r="K798" s="299"/>
      <c r="L798" s="246"/>
      <c r="M798" s="246"/>
    </row>
    <row r="799" spans="2:13" s="204" customFormat="1" x14ac:dyDescent="0.25">
      <c r="B799" s="246"/>
      <c r="C799" s="246"/>
      <c r="D799" s="246"/>
      <c r="E799" s="246"/>
      <c r="F799" s="246"/>
      <c r="G799" s="246"/>
      <c r="H799" s="246"/>
      <c r="I799" s="246"/>
      <c r="J799" s="246"/>
      <c r="K799" s="299"/>
      <c r="L799" s="246"/>
      <c r="M799" s="246"/>
    </row>
    <row r="800" spans="2:13" s="204" customFormat="1" x14ac:dyDescent="0.25">
      <c r="B800" s="246"/>
      <c r="C800" s="246"/>
      <c r="D800" s="246"/>
      <c r="E800" s="246"/>
      <c r="F800" s="246"/>
      <c r="G800" s="246"/>
      <c r="H800" s="246"/>
      <c r="I800" s="246"/>
      <c r="J800" s="246"/>
      <c r="K800" s="299"/>
      <c r="L800" s="246"/>
      <c r="M800" s="246"/>
    </row>
    <row r="801" spans="2:13" s="204" customFormat="1" x14ac:dyDescent="0.25">
      <c r="B801" s="246"/>
      <c r="C801" s="246"/>
      <c r="D801" s="246"/>
      <c r="E801" s="246"/>
      <c r="F801" s="246"/>
      <c r="G801" s="246"/>
      <c r="H801" s="246"/>
      <c r="I801" s="246"/>
      <c r="J801" s="246"/>
      <c r="K801" s="299"/>
      <c r="L801" s="246"/>
      <c r="M801" s="246"/>
    </row>
    <row r="802" spans="2:13" s="204" customFormat="1" x14ac:dyDescent="0.25">
      <c r="B802" s="246"/>
      <c r="C802" s="246"/>
      <c r="D802" s="246"/>
      <c r="E802" s="246"/>
      <c r="F802" s="246"/>
      <c r="G802" s="246"/>
      <c r="H802" s="246"/>
      <c r="I802" s="246"/>
      <c r="J802" s="246"/>
      <c r="K802" s="299"/>
      <c r="L802" s="246"/>
      <c r="M802" s="246"/>
    </row>
    <row r="803" spans="2:13" s="204" customFormat="1" x14ac:dyDescent="0.25">
      <c r="B803" s="246"/>
      <c r="C803" s="246"/>
      <c r="D803" s="246"/>
      <c r="E803" s="246"/>
      <c r="F803" s="246"/>
      <c r="G803" s="246"/>
      <c r="H803" s="246"/>
      <c r="I803" s="246"/>
      <c r="J803" s="246"/>
      <c r="K803" s="299"/>
      <c r="L803" s="246"/>
      <c r="M803" s="246"/>
    </row>
    <row r="804" spans="2:13" s="204" customFormat="1" x14ac:dyDescent="0.25">
      <c r="B804" s="246"/>
      <c r="C804" s="246"/>
      <c r="D804" s="246"/>
      <c r="E804" s="246"/>
      <c r="F804" s="246"/>
      <c r="G804" s="246"/>
      <c r="H804" s="246"/>
      <c r="I804" s="246"/>
      <c r="J804" s="246"/>
      <c r="K804" s="299"/>
      <c r="L804" s="246"/>
      <c r="M804" s="246"/>
    </row>
    <row r="805" spans="2:13" s="204" customFormat="1" x14ac:dyDescent="0.25">
      <c r="B805" s="246"/>
      <c r="C805" s="246"/>
      <c r="D805" s="246"/>
      <c r="E805" s="246"/>
      <c r="F805" s="246"/>
      <c r="G805" s="246"/>
      <c r="H805" s="246"/>
      <c r="I805" s="246"/>
      <c r="J805" s="246"/>
      <c r="K805" s="299"/>
      <c r="L805" s="246"/>
      <c r="M805" s="246"/>
    </row>
    <row r="806" spans="2:13" s="204" customFormat="1" x14ac:dyDescent="0.25">
      <c r="B806" s="246"/>
      <c r="C806" s="246"/>
      <c r="D806" s="246"/>
      <c r="E806" s="246"/>
      <c r="F806" s="246"/>
      <c r="G806" s="246"/>
      <c r="H806" s="246"/>
      <c r="I806" s="246"/>
      <c r="J806" s="246"/>
      <c r="K806" s="299"/>
      <c r="L806" s="246"/>
      <c r="M806" s="246"/>
    </row>
    <row r="807" spans="2:13" s="204" customFormat="1" x14ac:dyDescent="0.25">
      <c r="B807" s="246"/>
      <c r="C807" s="246"/>
      <c r="D807" s="246"/>
      <c r="E807" s="246"/>
      <c r="F807" s="246"/>
      <c r="G807" s="246"/>
      <c r="H807" s="246"/>
      <c r="I807" s="246"/>
      <c r="J807" s="246"/>
      <c r="K807" s="299"/>
      <c r="L807" s="246"/>
      <c r="M807" s="246"/>
    </row>
    <row r="808" spans="2:13" s="204" customFormat="1" x14ac:dyDescent="0.25">
      <c r="B808" s="246"/>
      <c r="C808" s="246"/>
      <c r="D808" s="246"/>
      <c r="E808" s="246"/>
      <c r="F808" s="246"/>
      <c r="G808" s="246"/>
      <c r="H808" s="246"/>
      <c r="I808" s="246"/>
      <c r="J808" s="246"/>
      <c r="K808" s="299"/>
      <c r="L808" s="246"/>
      <c r="M808" s="246"/>
    </row>
    <row r="809" spans="2:13" s="204" customFormat="1" x14ac:dyDescent="0.25">
      <c r="B809" s="246"/>
      <c r="C809" s="246"/>
      <c r="D809" s="246"/>
      <c r="E809" s="246"/>
      <c r="F809" s="246"/>
      <c r="G809" s="246"/>
      <c r="H809" s="246"/>
      <c r="I809" s="246"/>
      <c r="J809" s="246"/>
      <c r="K809" s="299"/>
      <c r="L809" s="246"/>
      <c r="M809" s="246"/>
    </row>
    <row r="810" spans="2:13" s="204" customFormat="1" x14ac:dyDescent="0.25">
      <c r="B810" s="246"/>
      <c r="C810" s="246"/>
      <c r="D810" s="246"/>
      <c r="E810" s="246"/>
      <c r="F810" s="246"/>
      <c r="G810" s="246"/>
      <c r="H810" s="246"/>
      <c r="I810" s="246"/>
      <c r="J810" s="246"/>
      <c r="K810" s="299"/>
      <c r="L810" s="246"/>
      <c r="M810" s="246"/>
    </row>
    <row r="811" spans="2:13" s="204" customFormat="1" x14ac:dyDescent="0.25">
      <c r="B811" s="246"/>
      <c r="C811" s="246"/>
      <c r="D811" s="246"/>
      <c r="E811" s="246"/>
      <c r="F811" s="246"/>
      <c r="G811" s="246"/>
      <c r="H811" s="246"/>
      <c r="I811" s="246"/>
      <c r="J811" s="246"/>
      <c r="K811" s="299"/>
      <c r="L811" s="246"/>
      <c r="M811" s="246"/>
    </row>
    <row r="812" spans="2:13" s="204" customFormat="1" x14ac:dyDescent="0.25">
      <c r="B812" s="246"/>
      <c r="C812" s="246"/>
      <c r="D812" s="246"/>
      <c r="E812" s="246"/>
      <c r="F812" s="246"/>
      <c r="G812" s="246"/>
      <c r="H812" s="246"/>
      <c r="I812" s="246"/>
      <c r="J812" s="246"/>
      <c r="K812" s="299"/>
      <c r="L812" s="246"/>
      <c r="M812" s="246"/>
    </row>
    <row r="813" spans="2:13" s="204" customFormat="1" x14ac:dyDescent="0.25">
      <c r="B813" s="246"/>
      <c r="C813" s="246"/>
      <c r="D813" s="246"/>
      <c r="E813" s="246"/>
      <c r="F813" s="246"/>
      <c r="G813" s="246"/>
      <c r="H813" s="246"/>
      <c r="I813" s="246"/>
      <c r="J813" s="246"/>
      <c r="K813" s="299"/>
      <c r="L813" s="246"/>
      <c r="M813" s="246"/>
    </row>
    <row r="814" spans="2:13" s="204" customFormat="1" x14ac:dyDescent="0.25">
      <c r="B814" s="246"/>
      <c r="C814" s="246"/>
      <c r="D814" s="246"/>
      <c r="E814" s="246"/>
      <c r="F814" s="246"/>
      <c r="G814" s="246"/>
      <c r="H814" s="246"/>
      <c r="I814" s="246"/>
      <c r="J814" s="246"/>
      <c r="K814" s="299"/>
      <c r="L814" s="246"/>
      <c r="M814" s="246"/>
    </row>
    <row r="815" spans="2:13" s="204" customFormat="1" x14ac:dyDescent="0.25">
      <c r="B815" s="246"/>
      <c r="C815" s="246"/>
      <c r="D815" s="246"/>
      <c r="E815" s="246"/>
      <c r="F815" s="246"/>
      <c r="G815" s="246"/>
      <c r="H815" s="246"/>
      <c r="I815" s="246"/>
      <c r="J815" s="246"/>
      <c r="K815" s="299"/>
      <c r="L815" s="246"/>
      <c r="M815" s="246"/>
    </row>
    <row r="816" spans="2:13" s="204" customFormat="1" x14ac:dyDescent="0.25">
      <c r="B816" s="246"/>
      <c r="C816" s="246"/>
      <c r="D816" s="246"/>
      <c r="E816" s="246"/>
      <c r="F816" s="246"/>
      <c r="G816" s="246"/>
      <c r="H816" s="246"/>
      <c r="I816" s="246"/>
      <c r="J816" s="246"/>
      <c r="K816" s="299"/>
      <c r="L816" s="246"/>
      <c r="M816" s="246"/>
    </row>
    <row r="817" spans="2:13" s="204" customFormat="1" x14ac:dyDescent="0.25">
      <c r="B817" s="246"/>
      <c r="C817" s="246"/>
      <c r="D817" s="246"/>
      <c r="E817" s="246"/>
      <c r="F817" s="246"/>
      <c r="G817" s="246"/>
      <c r="H817" s="246"/>
      <c r="I817" s="246"/>
      <c r="J817" s="246"/>
      <c r="K817" s="299"/>
      <c r="L817" s="246"/>
      <c r="M817" s="246"/>
    </row>
    <row r="818" spans="2:13" s="204" customFormat="1" x14ac:dyDescent="0.25">
      <c r="B818" s="246"/>
      <c r="C818" s="246"/>
      <c r="D818" s="246"/>
      <c r="E818" s="246"/>
      <c r="F818" s="246"/>
      <c r="G818" s="246"/>
      <c r="H818" s="246"/>
      <c r="I818" s="246"/>
      <c r="J818" s="246"/>
      <c r="K818" s="299"/>
      <c r="L818" s="246"/>
      <c r="M818" s="246"/>
    </row>
    <row r="819" spans="2:13" s="204" customFormat="1" x14ac:dyDescent="0.25">
      <c r="B819" s="246"/>
      <c r="C819" s="246"/>
      <c r="D819" s="246"/>
      <c r="E819" s="246"/>
      <c r="F819" s="246"/>
      <c r="G819" s="246"/>
      <c r="H819" s="246"/>
      <c r="I819" s="246"/>
      <c r="J819" s="246"/>
      <c r="K819" s="299"/>
      <c r="L819" s="246"/>
      <c r="M819" s="246"/>
    </row>
    <row r="820" spans="2:13" s="204" customFormat="1" x14ac:dyDescent="0.25">
      <c r="B820" s="246"/>
      <c r="C820" s="246"/>
      <c r="D820" s="246"/>
      <c r="E820" s="246"/>
      <c r="F820" s="246"/>
      <c r="G820" s="246"/>
      <c r="H820" s="246"/>
      <c r="I820" s="246"/>
      <c r="J820" s="246"/>
      <c r="K820" s="299"/>
      <c r="L820" s="246"/>
      <c r="M820" s="246"/>
    </row>
    <row r="821" spans="2:13" s="204" customFormat="1" x14ac:dyDescent="0.25">
      <c r="B821" s="246"/>
      <c r="C821" s="246"/>
      <c r="D821" s="246"/>
      <c r="E821" s="246"/>
      <c r="F821" s="246"/>
      <c r="G821" s="246"/>
      <c r="H821" s="246"/>
      <c r="I821" s="246"/>
      <c r="J821" s="246"/>
      <c r="K821" s="299"/>
      <c r="L821" s="246"/>
      <c r="M821" s="246"/>
    </row>
    <row r="822" spans="2:13" s="204" customFormat="1" x14ac:dyDescent="0.25">
      <c r="B822" s="246"/>
      <c r="C822" s="246"/>
      <c r="D822" s="246"/>
      <c r="E822" s="246"/>
      <c r="F822" s="246"/>
      <c r="G822" s="246"/>
      <c r="H822" s="246"/>
      <c r="I822" s="246"/>
      <c r="J822" s="246"/>
      <c r="K822" s="299"/>
      <c r="L822" s="246"/>
      <c r="M822" s="246"/>
    </row>
    <row r="823" spans="2:13" s="204" customFormat="1" x14ac:dyDescent="0.25">
      <c r="B823" s="246"/>
      <c r="C823" s="246"/>
      <c r="D823" s="246"/>
      <c r="E823" s="246"/>
      <c r="F823" s="246"/>
      <c r="G823" s="246"/>
      <c r="H823" s="246"/>
      <c r="I823" s="246"/>
      <c r="J823" s="246"/>
      <c r="K823" s="299"/>
      <c r="L823" s="246"/>
      <c r="M823" s="246"/>
    </row>
    <row r="824" spans="2:13" s="204" customFormat="1" x14ac:dyDescent="0.25">
      <c r="B824" s="246"/>
      <c r="C824" s="246"/>
      <c r="D824" s="246"/>
      <c r="E824" s="246"/>
      <c r="F824" s="246"/>
      <c r="G824" s="246"/>
      <c r="H824" s="246"/>
      <c r="I824" s="246"/>
      <c r="J824" s="246"/>
      <c r="K824" s="299"/>
      <c r="L824" s="246"/>
      <c r="M824" s="246"/>
    </row>
    <row r="825" spans="2:13" s="204" customFormat="1" x14ac:dyDescent="0.25">
      <c r="B825" s="246"/>
      <c r="C825" s="246"/>
      <c r="D825" s="246"/>
      <c r="E825" s="246"/>
      <c r="F825" s="246"/>
      <c r="G825" s="246"/>
      <c r="H825" s="246"/>
      <c r="I825" s="246"/>
      <c r="J825" s="246"/>
      <c r="K825" s="299"/>
      <c r="L825" s="246"/>
      <c r="M825" s="246"/>
    </row>
    <row r="826" spans="2:13" s="204" customFormat="1" x14ac:dyDescent="0.25">
      <c r="B826" s="246"/>
      <c r="C826" s="246"/>
      <c r="D826" s="246"/>
      <c r="E826" s="246"/>
      <c r="F826" s="246"/>
      <c r="G826" s="246"/>
      <c r="H826" s="246"/>
      <c r="I826" s="246"/>
      <c r="J826" s="246"/>
      <c r="K826" s="299"/>
      <c r="L826" s="246"/>
      <c r="M826" s="246"/>
    </row>
    <row r="827" spans="2:13" s="204" customFormat="1" x14ac:dyDescent="0.25">
      <c r="B827" s="246"/>
      <c r="C827" s="246"/>
      <c r="D827" s="246"/>
      <c r="E827" s="246"/>
      <c r="F827" s="246"/>
      <c r="G827" s="246"/>
      <c r="H827" s="246"/>
      <c r="I827" s="246"/>
      <c r="J827" s="246"/>
      <c r="K827" s="299"/>
      <c r="L827" s="246"/>
      <c r="M827" s="246"/>
    </row>
    <row r="828" spans="2:13" s="204" customFormat="1" x14ac:dyDescent="0.25">
      <c r="B828" s="246"/>
      <c r="C828" s="246"/>
      <c r="D828" s="246"/>
      <c r="E828" s="246"/>
      <c r="F828" s="246"/>
      <c r="G828" s="246"/>
      <c r="H828" s="246"/>
      <c r="I828" s="246"/>
      <c r="J828" s="246"/>
      <c r="K828" s="299"/>
      <c r="L828" s="246"/>
      <c r="M828" s="246"/>
    </row>
    <row r="829" spans="2:13" s="204" customFormat="1" x14ac:dyDescent="0.25">
      <c r="B829" s="246"/>
      <c r="C829" s="246"/>
      <c r="D829" s="246"/>
      <c r="E829" s="246"/>
      <c r="F829" s="246"/>
      <c r="G829" s="246"/>
      <c r="H829" s="246"/>
      <c r="I829" s="246"/>
      <c r="J829" s="246"/>
      <c r="K829" s="299"/>
      <c r="L829" s="246"/>
      <c r="M829" s="246"/>
    </row>
    <row r="830" spans="2:13" s="204" customFormat="1" x14ac:dyDescent="0.25">
      <c r="B830" s="246"/>
      <c r="C830" s="246"/>
      <c r="D830" s="246"/>
      <c r="E830" s="246"/>
      <c r="F830" s="246"/>
      <c r="G830" s="246"/>
      <c r="H830" s="246"/>
      <c r="I830" s="246"/>
      <c r="J830" s="246"/>
      <c r="K830" s="299"/>
      <c r="L830" s="246"/>
      <c r="M830" s="246"/>
    </row>
    <row r="831" spans="2:13" s="204" customFormat="1" x14ac:dyDescent="0.25">
      <c r="B831" s="246"/>
      <c r="C831" s="246"/>
      <c r="D831" s="246"/>
      <c r="E831" s="246"/>
      <c r="F831" s="246"/>
      <c r="G831" s="246"/>
      <c r="H831" s="246"/>
      <c r="I831" s="246"/>
      <c r="J831" s="246"/>
      <c r="K831" s="299"/>
      <c r="L831" s="246"/>
      <c r="M831" s="246"/>
    </row>
    <row r="832" spans="2:13" s="204" customFormat="1" x14ac:dyDescent="0.25">
      <c r="B832" s="246"/>
      <c r="C832" s="246"/>
      <c r="D832" s="246"/>
      <c r="E832" s="246"/>
      <c r="F832" s="246"/>
      <c r="G832" s="246"/>
      <c r="H832" s="246"/>
      <c r="I832" s="246"/>
      <c r="J832" s="246"/>
      <c r="K832" s="299"/>
      <c r="L832" s="246"/>
      <c r="M832" s="246"/>
    </row>
    <row r="833" spans="2:13" s="204" customFormat="1" x14ac:dyDescent="0.25">
      <c r="B833" s="246"/>
      <c r="C833" s="246"/>
      <c r="D833" s="246"/>
      <c r="E833" s="246"/>
      <c r="F833" s="246"/>
      <c r="G833" s="246"/>
      <c r="H833" s="246"/>
      <c r="I833" s="246"/>
      <c r="J833" s="246"/>
      <c r="K833" s="299"/>
      <c r="L833" s="246"/>
      <c r="M833" s="246"/>
    </row>
    <row r="834" spans="2:13" s="204" customFormat="1" x14ac:dyDescent="0.25">
      <c r="B834" s="246"/>
      <c r="C834" s="246"/>
      <c r="D834" s="246"/>
      <c r="E834" s="246"/>
      <c r="F834" s="246"/>
      <c r="G834" s="246"/>
      <c r="H834" s="246"/>
      <c r="I834" s="246"/>
      <c r="J834" s="246"/>
      <c r="K834" s="299"/>
      <c r="L834" s="246"/>
      <c r="M834" s="246"/>
    </row>
    <row r="835" spans="2:13" s="204" customFormat="1" x14ac:dyDescent="0.25">
      <c r="B835" s="246"/>
      <c r="C835" s="246"/>
      <c r="D835" s="246"/>
      <c r="E835" s="246"/>
      <c r="F835" s="246"/>
      <c r="G835" s="246"/>
      <c r="H835" s="246"/>
      <c r="I835" s="246"/>
      <c r="J835" s="246"/>
      <c r="K835" s="299"/>
      <c r="L835" s="246"/>
      <c r="M835" s="246"/>
    </row>
    <row r="836" spans="2:13" s="204" customFormat="1" x14ac:dyDescent="0.25">
      <c r="B836" s="246"/>
      <c r="C836" s="246"/>
      <c r="D836" s="246"/>
      <c r="E836" s="246"/>
      <c r="F836" s="246"/>
      <c r="G836" s="246"/>
      <c r="H836" s="246"/>
      <c r="I836" s="246"/>
      <c r="J836" s="246"/>
      <c r="K836" s="299"/>
      <c r="L836" s="246"/>
      <c r="M836" s="246"/>
    </row>
    <row r="837" spans="2:13" s="204" customFormat="1" x14ac:dyDescent="0.25">
      <c r="B837" s="246"/>
      <c r="C837" s="246"/>
      <c r="D837" s="246"/>
      <c r="E837" s="246"/>
      <c r="F837" s="246"/>
      <c r="G837" s="246"/>
      <c r="H837" s="246"/>
      <c r="I837" s="246"/>
      <c r="J837" s="246"/>
      <c r="K837" s="299"/>
      <c r="L837" s="246"/>
      <c r="M837" s="246"/>
    </row>
    <row r="838" spans="2:13" s="204" customFormat="1" x14ac:dyDescent="0.25">
      <c r="B838" s="246"/>
      <c r="C838" s="246"/>
      <c r="D838" s="246"/>
      <c r="E838" s="246"/>
      <c r="F838" s="246"/>
      <c r="G838" s="246"/>
      <c r="H838" s="246"/>
      <c r="I838" s="246"/>
      <c r="J838" s="246"/>
      <c r="K838" s="299"/>
      <c r="L838" s="246"/>
      <c r="M838" s="246"/>
    </row>
    <row r="839" spans="2:13" s="204" customFormat="1" x14ac:dyDescent="0.25">
      <c r="B839" s="246"/>
      <c r="C839" s="246"/>
      <c r="D839" s="246"/>
      <c r="E839" s="246"/>
      <c r="F839" s="246"/>
      <c r="G839" s="246"/>
      <c r="H839" s="246"/>
      <c r="I839" s="246"/>
      <c r="J839" s="246"/>
      <c r="K839" s="299"/>
      <c r="L839" s="246"/>
      <c r="M839" s="246"/>
    </row>
    <row r="840" spans="2:13" s="204" customFormat="1" x14ac:dyDescent="0.25">
      <c r="B840" s="246"/>
      <c r="C840" s="246"/>
      <c r="D840" s="246"/>
      <c r="E840" s="246"/>
      <c r="F840" s="246"/>
      <c r="G840" s="246"/>
      <c r="H840" s="246"/>
      <c r="I840" s="246"/>
      <c r="J840" s="246"/>
      <c r="K840" s="299"/>
      <c r="L840" s="246"/>
      <c r="M840" s="246"/>
    </row>
    <row r="841" spans="2:13" s="204" customFormat="1" x14ac:dyDescent="0.25">
      <c r="B841" s="246"/>
      <c r="C841" s="246"/>
      <c r="D841" s="246"/>
      <c r="E841" s="246"/>
      <c r="F841" s="246"/>
      <c r="G841" s="246"/>
      <c r="H841" s="246"/>
      <c r="I841" s="246"/>
      <c r="J841" s="246"/>
      <c r="K841" s="299"/>
      <c r="L841" s="246"/>
      <c r="M841" s="246"/>
    </row>
    <row r="842" spans="2:13" s="204" customFormat="1" x14ac:dyDescent="0.25">
      <c r="B842" s="246"/>
      <c r="C842" s="246"/>
      <c r="D842" s="246"/>
      <c r="E842" s="246"/>
      <c r="F842" s="246"/>
      <c r="G842" s="246"/>
      <c r="H842" s="246"/>
      <c r="I842" s="246"/>
      <c r="J842" s="246"/>
      <c r="K842" s="299"/>
      <c r="L842" s="246"/>
      <c r="M842" s="246"/>
    </row>
    <row r="843" spans="2:13" s="204" customFormat="1" x14ac:dyDescent="0.25">
      <c r="B843" s="246"/>
      <c r="C843" s="246"/>
      <c r="D843" s="246"/>
      <c r="E843" s="246"/>
      <c r="F843" s="246"/>
      <c r="G843" s="246"/>
      <c r="H843" s="246"/>
      <c r="I843" s="246"/>
      <c r="J843" s="246"/>
      <c r="K843" s="299"/>
      <c r="L843" s="246"/>
      <c r="M843" s="246"/>
    </row>
    <row r="844" spans="2:13" s="204" customFormat="1" x14ac:dyDescent="0.25">
      <c r="B844" s="246"/>
      <c r="C844" s="246"/>
      <c r="D844" s="246"/>
      <c r="E844" s="246"/>
      <c r="F844" s="246"/>
      <c r="G844" s="246"/>
      <c r="H844" s="246"/>
      <c r="I844" s="246"/>
      <c r="J844" s="246"/>
      <c r="K844" s="299"/>
      <c r="L844" s="246"/>
      <c r="M844" s="246"/>
    </row>
    <row r="845" spans="2:13" s="204" customFormat="1" x14ac:dyDescent="0.25">
      <c r="B845" s="246"/>
      <c r="C845" s="246"/>
      <c r="D845" s="246"/>
      <c r="E845" s="246"/>
      <c r="F845" s="246"/>
      <c r="G845" s="246"/>
      <c r="H845" s="246"/>
      <c r="I845" s="246"/>
      <c r="J845" s="246"/>
      <c r="K845" s="299"/>
      <c r="L845" s="246"/>
      <c r="M845" s="246"/>
    </row>
    <row r="846" spans="2:13" s="204" customFormat="1" x14ac:dyDescent="0.25">
      <c r="B846" s="246"/>
      <c r="C846" s="246"/>
      <c r="D846" s="246"/>
      <c r="E846" s="246"/>
      <c r="F846" s="246"/>
      <c r="G846" s="246"/>
      <c r="H846" s="246"/>
      <c r="I846" s="246"/>
      <c r="J846" s="246"/>
      <c r="K846" s="299"/>
      <c r="L846" s="246"/>
      <c r="M846" s="246"/>
    </row>
    <row r="847" spans="2:13" s="204" customFormat="1" x14ac:dyDescent="0.25">
      <c r="B847" s="246"/>
      <c r="C847" s="246"/>
      <c r="D847" s="246"/>
      <c r="E847" s="246"/>
      <c r="F847" s="246"/>
      <c r="G847" s="246"/>
      <c r="H847" s="246"/>
      <c r="I847" s="246"/>
      <c r="J847" s="246"/>
      <c r="K847" s="299"/>
      <c r="L847" s="246"/>
      <c r="M847" s="246"/>
    </row>
    <row r="848" spans="2:13" s="204" customFormat="1" x14ac:dyDescent="0.25">
      <c r="B848" s="246"/>
      <c r="C848" s="246"/>
      <c r="D848" s="246"/>
      <c r="E848" s="246"/>
      <c r="F848" s="246"/>
      <c r="G848" s="246"/>
      <c r="H848" s="246"/>
      <c r="I848" s="246"/>
      <c r="J848" s="246"/>
      <c r="K848" s="299"/>
      <c r="L848" s="246"/>
      <c r="M848" s="246"/>
    </row>
    <row r="849" spans="2:13" s="204" customFormat="1" x14ac:dyDescent="0.25">
      <c r="B849" s="246"/>
      <c r="C849" s="246"/>
      <c r="D849" s="246"/>
      <c r="E849" s="246"/>
      <c r="F849" s="246"/>
      <c r="G849" s="246"/>
      <c r="H849" s="246"/>
      <c r="I849" s="246"/>
      <c r="J849" s="246"/>
      <c r="K849" s="299"/>
      <c r="L849" s="246"/>
      <c r="M849" s="246"/>
    </row>
    <row r="850" spans="2:13" s="204" customFormat="1" x14ac:dyDescent="0.25">
      <c r="B850" s="246"/>
      <c r="C850" s="246"/>
      <c r="D850" s="246"/>
      <c r="E850" s="246"/>
      <c r="F850" s="246"/>
      <c r="G850" s="246"/>
      <c r="H850" s="246"/>
      <c r="I850" s="246"/>
      <c r="J850" s="246"/>
      <c r="K850" s="299"/>
      <c r="L850" s="246"/>
      <c r="M850" s="246"/>
    </row>
    <row r="851" spans="2:13" s="204" customFormat="1" x14ac:dyDescent="0.25">
      <c r="B851" s="246"/>
      <c r="C851" s="246"/>
      <c r="D851" s="246"/>
      <c r="E851" s="246"/>
      <c r="F851" s="246"/>
      <c r="G851" s="246"/>
      <c r="H851" s="246"/>
      <c r="I851" s="246"/>
      <c r="J851" s="246"/>
      <c r="K851" s="299"/>
      <c r="L851" s="246"/>
      <c r="M851" s="246"/>
    </row>
    <row r="852" spans="2:13" s="204" customFormat="1" x14ac:dyDescent="0.25">
      <c r="B852" s="246"/>
      <c r="C852" s="246"/>
      <c r="D852" s="246"/>
      <c r="E852" s="246"/>
      <c r="F852" s="246"/>
      <c r="G852" s="246"/>
      <c r="H852" s="246"/>
      <c r="I852" s="246"/>
      <c r="J852" s="246"/>
      <c r="K852" s="299"/>
      <c r="L852" s="246"/>
      <c r="M852" s="246"/>
    </row>
    <row r="853" spans="2:13" s="204" customFormat="1" x14ac:dyDescent="0.25">
      <c r="B853" s="246"/>
      <c r="C853" s="246"/>
      <c r="D853" s="246"/>
      <c r="E853" s="246"/>
      <c r="F853" s="246"/>
      <c r="G853" s="246"/>
      <c r="H853" s="246"/>
      <c r="I853" s="246"/>
      <c r="J853" s="246"/>
      <c r="K853" s="299"/>
      <c r="L853" s="246"/>
      <c r="M853" s="246"/>
    </row>
    <row r="854" spans="2:13" s="204" customFormat="1" x14ac:dyDescent="0.25">
      <c r="B854" s="246"/>
      <c r="C854" s="246"/>
      <c r="D854" s="246"/>
      <c r="E854" s="246"/>
      <c r="F854" s="246"/>
      <c r="G854" s="246"/>
      <c r="H854" s="246"/>
      <c r="I854" s="246"/>
      <c r="J854" s="246"/>
      <c r="K854" s="299"/>
      <c r="L854" s="246"/>
      <c r="M854" s="246"/>
    </row>
    <row r="855" spans="2:13" s="204" customFormat="1" x14ac:dyDescent="0.25">
      <c r="B855" s="246"/>
      <c r="C855" s="246"/>
      <c r="D855" s="246"/>
      <c r="E855" s="246"/>
      <c r="F855" s="246"/>
      <c r="G855" s="246"/>
      <c r="H855" s="246"/>
      <c r="I855" s="246"/>
      <c r="J855" s="246"/>
      <c r="K855" s="299"/>
      <c r="L855" s="246"/>
      <c r="M855" s="246"/>
    </row>
    <row r="856" spans="2:13" s="204" customFormat="1" x14ac:dyDescent="0.25">
      <c r="B856" s="246"/>
      <c r="C856" s="246"/>
      <c r="D856" s="246"/>
      <c r="E856" s="246"/>
      <c r="F856" s="246"/>
      <c r="G856" s="246"/>
      <c r="H856" s="246"/>
      <c r="I856" s="246"/>
      <c r="J856" s="246"/>
      <c r="K856" s="299"/>
      <c r="L856" s="246"/>
      <c r="M856" s="246"/>
    </row>
    <row r="857" spans="2:13" s="204" customFormat="1" x14ac:dyDescent="0.25">
      <c r="B857" s="246"/>
      <c r="C857" s="246"/>
      <c r="D857" s="246"/>
      <c r="E857" s="246"/>
      <c r="F857" s="246"/>
      <c r="G857" s="246"/>
      <c r="H857" s="246"/>
      <c r="I857" s="246"/>
      <c r="J857" s="246"/>
      <c r="K857" s="299"/>
      <c r="L857" s="246"/>
      <c r="M857" s="246"/>
    </row>
    <row r="858" spans="2:13" s="204" customFormat="1" x14ac:dyDescent="0.25">
      <c r="B858" s="246"/>
      <c r="C858" s="246"/>
      <c r="D858" s="246"/>
      <c r="E858" s="246"/>
      <c r="F858" s="246"/>
      <c r="G858" s="246"/>
      <c r="H858" s="246"/>
      <c r="I858" s="246"/>
      <c r="J858" s="246"/>
      <c r="K858" s="299"/>
      <c r="L858" s="246"/>
      <c r="M858" s="246"/>
    </row>
    <row r="859" spans="2:13" s="204" customFormat="1" x14ac:dyDescent="0.25">
      <c r="B859" s="246"/>
      <c r="C859" s="246"/>
      <c r="D859" s="246"/>
      <c r="E859" s="246"/>
      <c r="F859" s="246"/>
      <c r="G859" s="246"/>
      <c r="H859" s="246"/>
      <c r="I859" s="246"/>
      <c r="J859" s="246"/>
      <c r="K859" s="299"/>
      <c r="L859" s="246"/>
      <c r="M859" s="246"/>
    </row>
    <row r="860" spans="2:13" s="204" customFormat="1" x14ac:dyDescent="0.25">
      <c r="B860" s="246"/>
      <c r="C860" s="246"/>
      <c r="D860" s="246"/>
      <c r="E860" s="246"/>
      <c r="F860" s="246"/>
      <c r="G860" s="246"/>
      <c r="H860" s="246"/>
      <c r="I860" s="246"/>
      <c r="J860" s="246"/>
      <c r="K860" s="299"/>
      <c r="L860" s="246"/>
      <c r="M860" s="246"/>
    </row>
    <row r="861" spans="2:13" s="204" customFormat="1" x14ac:dyDescent="0.25">
      <c r="B861" s="246"/>
      <c r="C861" s="246"/>
      <c r="D861" s="246"/>
      <c r="E861" s="246"/>
      <c r="F861" s="246"/>
      <c r="G861" s="246"/>
      <c r="H861" s="246"/>
      <c r="I861" s="246"/>
      <c r="J861" s="246"/>
      <c r="K861" s="299"/>
      <c r="L861" s="246"/>
      <c r="M861" s="246"/>
    </row>
    <row r="862" spans="2:13" s="204" customFormat="1" x14ac:dyDescent="0.25">
      <c r="B862" s="246"/>
      <c r="C862" s="246"/>
      <c r="D862" s="246"/>
      <c r="E862" s="246"/>
      <c r="F862" s="246"/>
      <c r="G862" s="246"/>
      <c r="H862" s="246"/>
      <c r="I862" s="246"/>
      <c r="J862" s="246"/>
      <c r="K862" s="299"/>
      <c r="L862" s="246"/>
      <c r="M862" s="246"/>
    </row>
    <row r="863" spans="2:13" s="204" customFormat="1" x14ac:dyDescent="0.25">
      <c r="B863" s="246"/>
      <c r="C863" s="246"/>
      <c r="D863" s="246"/>
      <c r="E863" s="246"/>
      <c r="F863" s="246"/>
      <c r="G863" s="246"/>
      <c r="H863" s="246"/>
      <c r="I863" s="246"/>
      <c r="J863" s="246"/>
      <c r="K863" s="299"/>
      <c r="L863" s="246"/>
      <c r="M863" s="246"/>
    </row>
    <row r="864" spans="2:13" s="204" customFormat="1" x14ac:dyDescent="0.25">
      <c r="B864" s="246"/>
      <c r="C864" s="246"/>
      <c r="D864" s="246"/>
      <c r="E864" s="246"/>
      <c r="F864" s="246"/>
      <c r="G864" s="246"/>
      <c r="H864" s="246"/>
      <c r="I864" s="246"/>
      <c r="J864" s="246"/>
      <c r="K864" s="299"/>
      <c r="L864" s="246"/>
      <c r="M864" s="246"/>
    </row>
    <row r="865" spans="2:13" s="204" customFormat="1" x14ac:dyDescent="0.25">
      <c r="B865" s="246"/>
      <c r="C865" s="246"/>
      <c r="D865" s="246"/>
      <c r="E865" s="246"/>
      <c r="F865" s="246"/>
      <c r="G865" s="246"/>
      <c r="H865" s="246"/>
      <c r="I865" s="246"/>
      <c r="J865" s="246"/>
      <c r="K865" s="299"/>
      <c r="L865" s="246"/>
      <c r="M865" s="246"/>
    </row>
    <row r="866" spans="2:13" s="204" customFormat="1" x14ac:dyDescent="0.25">
      <c r="B866" s="246"/>
      <c r="C866" s="246"/>
      <c r="D866" s="246"/>
      <c r="E866" s="246"/>
      <c r="F866" s="246"/>
      <c r="G866" s="246"/>
      <c r="H866" s="246"/>
      <c r="I866" s="246"/>
      <c r="J866" s="246"/>
      <c r="K866" s="299"/>
      <c r="L866" s="246"/>
      <c r="M866" s="246"/>
    </row>
    <row r="867" spans="2:13" s="204" customFormat="1" x14ac:dyDescent="0.25">
      <c r="B867" s="246"/>
      <c r="C867" s="246"/>
      <c r="D867" s="246"/>
      <c r="E867" s="246"/>
      <c r="F867" s="246"/>
      <c r="G867" s="246"/>
      <c r="H867" s="246"/>
      <c r="I867" s="246"/>
      <c r="J867" s="246"/>
      <c r="K867" s="299"/>
      <c r="L867" s="246"/>
      <c r="M867" s="246"/>
    </row>
    <row r="868" spans="2:13" s="204" customFormat="1" x14ac:dyDescent="0.25">
      <c r="B868" s="246"/>
      <c r="C868" s="246"/>
      <c r="D868" s="246"/>
      <c r="E868" s="246"/>
      <c r="F868" s="246"/>
      <c r="G868" s="246"/>
      <c r="H868" s="246"/>
      <c r="I868" s="246"/>
      <c r="J868" s="246"/>
      <c r="K868" s="299"/>
      <c r="L868" s="246"/>
      <c r="M868" s="246"/>
    </row>
    <row r="869" spans="2:13" s="204" customFormat="1" x14ac:dyDescent="0.25">
      <c r="B869" s="246"/>
      <c r="C869" s="246"/>
      <c r="D869" s="246"/>
      <c r="E869" s="246"/>
      <c r="F869" s="246"/>
      <c r="G869" s="246"/>
      <c r="H869" s="246"/>
      <c r="I869" s="246"/>
      <c r="J869" s="246"/>
      <c r="K869" s="299"/>
      <c r="L869" s="246"/>
      <c r="M869" s="246"/>
    </row>
    <row r="870" spans="2:13" s="204" customFormat="1" x14ac:dyDescent="0.25">
      <c r="B870" s="246"/>
      <c r="C870" s="246"/>
      <c r="D870" s="246"/>
      <c r="E870" s="246"/>
      <c r="F870" s="246"/>
      <c r="G870" s="246"/>
      <c r="H870" s="246"/>
      <c r="I870" s="246"/>
      <c r="J870" s="246"/>
      <c r="K870" s="299"/>
      <c r="L870" s="246"/>
      <c r="M870" s="246"/>
    </row>
    <row r="871" spans="2:13" s="204" customFormat="1" x14ac:dyDescent="0.25">
      <c r="B871" s="246"/>
      <c r="C871" s="246"/>
      <c r="D871" s="246"/>
      <c r="E871" s="246"/>
      <c r="F871" s="246"/>
      <c r="G871" s="246"/>
      <c r="H871" s="246"/>
      <c r="I871" s="246"/>
      <c r="J871" s="246"/>
      <c r="K871" s="299"/>
      <c r="L871" s="246"/>
      <c r="M871" s="246"/>
    </row>
    <row r="872" spans="2:13" s="204" customFormat="1" x14ac:dyDescent="0.25">
      <c r="B872" s="246"/>
      <c r="C872" s="246"/>
      <c r="D872" s="246"/>
      <c r="E872" s="246"/>
      <c r="F872" s="246"/>
      <c r="G872" s="246"/>
      <c r="H872" s="246"/>
      <c r="I872" s="246"/>
      <c r="J872" s="246"/>
      <c r="K872" s="299"/>
      <c r="L872" s="246"/>
      <c r="M872" s="246"/>
    </row>
    <row r="873" spans="2:13" s="204" customFormat="1" x14ac:dyDescent="0.25">
      <c r="B873" s="246"/>
      <c r="C873" s="246"/>
      <c r="D873" s="246"/>
      <c r="E873" s="246"/>
      <c r="F873" s="246"/>
      <c r="G873" s="246"/>
      <c r="H873" s="246"/>
      <c r="I873" s="246"/>
      <c r="J873" s="246"/>
      <c r="K873" s="299"/>
      <c r="L873" s="246"/>
      <c r="M873" s="246"/>
    </row>
    <row r="874" spans="2:13" s="204" customFormat="1" x14ac:dyDescent="0.25">
      <c r="B874" s="246"/>
      <c r="C874" s="246"/>
      <c r="D874" s="246"/>
      <c r="E874" s="246"/>
      <c r="F874" s="246"/>
      <c r="G874" s="246"/>
      <c r="H874" s="246"/>
      <c r="I874" s="246"/>
      <c r="J874" s="246"/>
      <c r="K874" s="299"/>
      <c r="L874" s="246"/>
      <c r="M874" s="246"/>
    </row>
    <row r="875" spans="2:13" s="204" customFormat="1" x14ac:dyDescent="0.25">
      <c r="B875" s="246"/>
      <c r="C875" s="246"/>
      <c r="D875" s="246"/>
      <c r="E875" s="246"/>
      <c r="F875" s="246"/>
      <c r="G875" s="246"/>
      <c r="H875" s="246"/>
      <c r="I875" s="246"/>
      <c r="J875" s="246"/>
      <c r="K875" s="299"/>
      <c r="L875" s="246"/>
      <c r="M875" s="246"/>
    </row>
    <row r="876" spans="2:13" s="204" customFormat="1" x14ac:dyDescent="0.25">
      <c r="B876" s="246"/>
      <c r="C876" s="246"/>
      <c r="D876" s="246"/>
      <c r="E876" s="246"/>
      <c r="F876" s="246"/>
      <c r="G876" s="246"/>
      <c r="H876" s="246"/>
      <c r="I876" s="246"/>
      <c r="J876" s="246"/>
      <c r="K876" s="299"/>
      <c r="L876" s="246"/>
      <c r="M876" s="246"/>
    </row>
    <row r="877" spans="2:13" s="204" customFormat="1" x14ac:dyDescent="0.25">
      <c r="B877" s="246"/>
      <c r="C877" s="246"/>
      <c r="D877" s="246"/>
      <c r="E877" s="246"/>
      <c r="F877" s="246"/>
      <c r="G877" s="246"/>
      <c r="H877" s="246"/>
      <c r="I877" s="246"/>
      <c r="J877" s="246"/>
      <c r="K877" s="299"/>
      <c r="L877" s="246"/>
      <c r="M877" s="246"/>
    </row>
    <row r="878" spans="2:13" s="204" customFormat="1" x14ac:dyDescent="0.25">
      <c r="B878" s="246"/>
      <c r="C878" s="246"/>
      <c r="D878" s="246"/>
      <c r="E878" s="246"/>
      <c r="F878" s="246"/>
      <c r="G878" s="246"/>
      <c r="H878" s="246"/>
      <c r="I878" s="246"/>
      <c r="J878" s="246"/>
      <c r="K878" s="299"/>
      <c r="L878" s="246"/>
      <c r="M878" s="246"/>
    </row>
    <row r="879" spans="2:13" s="204" customFormat="1" x14ac:dyDescent="0.25">
      <c r="B879" s="246"/>
      <c r="C879" s="246"/>
      <c r="D879" s="246"/>
      <c r="E879" s="246"/>
      <c r="F879" s="246"/>
      <c r="G879" s="246"/>
      <c r="H879" s="246"/>
      <c r="I879" s="246"/>
      <c r="J879" s="246"/>
      <c r="K879" s="299"/>
      <c r="L879" s="246"/>
      <c r="M879" s="246"/>
    </row>
    <row r="880" spans="2:13" s="204" customFormat="1" x14ac:dyDescent="0.25">
      <c r="B880" s="246"/>
      <c r="C880" s="246"/>
      <c r="D880" s="246"/>
      <c r="E880" s="246"/>
      <c r="F880" s="246"/>
      <c r="G880" s="246"/>
      <c r="H880" s="246"/>
      <c r="I880" s="246"/>
      <c r="J880" s="246"/>
      <c r="K880" s="299"/>
      <c r="L880" s="246"/>
      <c r="M880" s="246"/>
    </row>
    <row r="881" spans="2:13" s="204" customFormat="1" x14ac:dyDescent="0.25">
      <c r="B881" s="246"/>
      <c r="C881" s="246"/>
      <c r="D881" s="246"/>
      <c r="E881" s="246"/>
      <c r="F881" s="246"/>
      <c r="G881" s="246"/>
      <c r="H881" s="246"/>
      <c r="I881" s="246"/>
      <c r="J881" s="246"/>
      <c r="K881" s="299"/>
      <c r="L881" s="246"/>
      <c r="M881" s="246"/>
    </row>
    <row r="882" spans="2:13" s="204" customFormat="1" x14ac:dyDescent="0.25">
      <c r="B882" s="246"/>
      <c r="C882" s="246"/>
      <c r="D882" s="246"/>
      <c r="E882" s="246"/>
      <c r="F882" s="246"/>
      <c r="G882" s="246"/>
      <c r="H882" s="246"/>
      <c r="I882" s="246"/>
      <c r="J882" s="246"/>
      <c r="K882" s="299"/>
      <c r="L882" s="246"/>
      <c r="M882" s="246"/>
    </row>
    <row r="883" spans="2:13" s="204" customFormat="1" x14ac:dyDescent="0.25">
      <c r="B883" s="246"/>
      <c r="C883" s="246"/>
      <c r="D883" s="246"/>
      <c r="E883" s="246"/>
      <c r="F883" s="246"/>
      <c r="G883" s="246"/>
      <c r="H883" s="246"/>
      <c r="I883" s="246"/>
      <c r="J883" s="246"/>
      <c r="K883" s="299"/>
      <c r="L883" s="246"/>
      <c r="M883" s="246"/>
    </row>
    <row r="884" spans="2:13" s="204" customFormat="1" x14ac:dyDescent="0.25">
      <c r="B884" s="246"/>
      <c r="C884" s="246"/>
      <c r="D884" s="246"/>
      <c r="E884" s="246"/>
      <c r="F884" s="246"/>
      <c r="G884" s="246"/>
      <c r="H884" s="246"/>
      <c r="I884" s="246"/>
      <c r="J884" s="246"/>
      <c r="K884" s="299"/>
      <c r="L884" s="246"/>
      <c r="M884" s="246"/>
    </row>
    <row r="885" spans="2:13" s="204" customFormat="1" x14ac:dyDescent="0.25">
      <c r="B885" s="246"/>
      <c r="C885" s="246"/>
      <c r="D885" s="246"/>
      <c r="E885" s="246"/>
      <c r="F885" s="246"/>
      <c r="G885" s="246"/>
      <c r="H885" s="246"/>
      <c r="I885" s="246"/>
      <c r="J885" s="246"/>
      <c r="K885" s="299"/>
      <c r="L885" s="246"/>
      <c r="M885" s="246"/>
    </row>
    <row r="886" spans="2:13" s="204" customFormat="1" x14ac:dyDescent="0.25">
      <c r="B886" s="246"/>
      <c r="C886" s="246"/>
      <c r="D886" s="246"/>
      <c r="E886" s="246"/>
      <c r="F886" s="246"/>
      <c r="G886" s="246"/>
      <c r="H886" s="246"/>
      <c r="I886" s="246"/>
      <c r="J886" s="246"/>
      <c r="K886" s="299"/>
      <c r="L886" s="246"/>
      <c r="M886" s="246"/>
    </row>
    <row r="887" spans="2:13" s="204" customFormat="1" x14ac:dyDescent="0.25">
      <c r="B887" s="246"/>
      <c r="C887" s="246"/>
      <c r="D887" s="246"/>
      <c r="E887" s="246"/>
      <c r="F887" s="246"/>
      <c r="G887" s="246"/>
      <c r="H887" s="246"/>
      <c r="I887" s="246"/>
      <c r="J887" s="246"/>
      <c r="K887" s="299"/>
      <c r="L887" s="246"/>
      <c r="M887" s="246"/>
    </row>
    <row r="888" spans="2:13" s="204" customFormat="1" x14ac:dyDescent="0.25">
      <c r="B888" s="246"/>
      <c r="C888" s="246"/>
      <c r="D888" s="246"/>
      <c r="E888" s="246"/>
      <c r="F888" s="246"/>
      <c r="G888" s="246"/>
      <c r="H888" s="246"/>
      <c r="I888" s="246"/>
      <c r="J888" s="246"/>
      <c r="K888" s="299"/>
      <c r="L888" s="246"/>
      <c r="M888" s="246"/>
    </row>
    <row r="889" spans="2:13" s="204" customFormat="1" x14ac:dyDescent="0.25">
      <c r="B889" s="246"/>
      <c r="C889" s="246"/>
      <c r="D889" s="246"/>
      <c r="E889" s="246"/>
      <c r="F889" s="246"/>
      <c r="G889" s="246"/>
      <c r="H889" s="246"/>
      <c r="I889" s="246"/>
      <c r="J889" s="246"/>
      <c r="K889" s="299"/>
      <c r="L889" s="246"/>
      <c r="M889" s="246"/>
    </row>
    <row r="890" spans="2:13" s="204" customFormat="1" x14ac:dyDescent="0.25">
      <c r="B890" s="246"/>
      <c r="C890" s="246"/>
      <c r="D890" s="246"/>
      <c r="E890" s="246"/>
      <c r="F890" s="246"/>
      <c r="G890" s="246"/>
      <c r="H890" s="246"/>
      <c r="I890" s="246"/>
      <c r="J890" s="246"/>
      <c r="K890" s="299"/>
      <c r="L890" s="246"/>
      <c r="M890" s="246"/>
    </row>
    <row r="891" spans="2:13" s="204" customFormat="1" x14ac:dyDescent="0.25">
      <c r="B891" s="246"/>
      <c r="C891" s="246"/>
      <c r="D891" s="246"/>
      <c r="E891" s="246"/>
      <c r="F891" s="246"/>
      <c r="G891" s="246"/>
      <c r="H891" s="246"/>
      <c r="I891" s="246"/>
      <c r="J891" s="246"/>
      <c r="K891" s="299"/>
      <c r="L891" s="246"/>
      <c r="M891" s="246"/>
    </row>
    <row r="892" spans="2:13" s="204" customFormat="1" x14ac:dyDescent="0.25">
      <c r="B892" s="246"/>
      <c r="C892" s="246"/>
      <c r="D892" s="246"/>
      <c r="E892" s="246"/>
      <c r="F892" s="246"/>
      <c r="G892" s="246"/>
      <c r="H892" s="246"/>
      <c r="I892" s="246"/>
      <c r="J892" s="246"/>
      <c r="K892" s="299"/>
      <c r="L892" s="246"/>
      <c r="M892" s="246"/>
    </row>
    <row r="893" spans="2:13" s="204" customFormat="1" x14ac:dyDescent="0.25">
      <c r="B893" s="246"/>
      <c r="C893" s="246"/>
      <c r="D893" s="246"/>
      <c r="E893" s="246"/>
      <c r="F893" s="246"/>
      <c r="G893" s="246"/>
      <c r="H893" s="246"/>
      <c r="I893" s="246"/>
      <c r="J893" s="246"/>
      <c r="K893" s="299"/>
      <c r="L893" s="246"/>
      <c r="M893" s="246"/>
    </row>
    <row r="894" spans="2:13" s="204" customFormat="1" x14ac:dyDescent="0.25">
      <c r="B894" s="246"/>
      <c r="C894" s="246"/>
      <c r="D894" s="246"/>
      <c r="E894" s="246"/>
      <c r="F894" s="246"/>
      <c r="G894" s="246"/>
      <c r="H894" s="246"/>
      <c r="I894" s="246"/>
      <c r="J894" s="246"/>
      <c r="K894" s="299"/>
      <c r="L894" s="246"/>
      <c r="M894" s="246"/>
    </row>
    <row r="895" spans="2:13" s="204" customFormat="1" x14ac:dyDescent="0.25">
      <c r="B895" s="246"/>
      <c r="C895" s="246"/>
      <c r="D895" s="246"/>
      <c r="E895" s="246"/>
      <c r="F895" s="246"/>
      <c r="G895" s="246"/>
      <c r="H895" s="246"/>
      <c r="I895" s="246"/>
      <c r="J895" s="246"/>
      <c r="K895" s="299"/>
      <c r="L895" s="246"/>
      <c r="M895" s="246"/>
    </row>
    <row r="896" spans="2:13" s="204" customFormat="1" x14ac:dyDescent="0.25">
      <c r="B896" s="246"/>
      <c r="C896" s="246"/>
      <c r="D896" s="246"/>
      <c r="E896" s="246"/>
      <c r="F896" s="246"/>
      <c r="G896" s="246"/>
      <c r="H896" s="246"/>
      <c r="I896" s="246"/>
      <c r="J896" s="246"/>
      <c r="K896" s="299"/>
      <c r="L896" s="246"/>
      <c r="M896" s="246"/>
    </row>
    <row r="897" spans="2:13" s="204" customFormat="1" x14ac:dyDescent="0.25">
      <c r="B897" s="246"/>
      <c r="C897" s="246"/>
      <c r="D897" s="246"/>
      <c r="E897" s="246"/>
      <c r="F897" s="246"/>
      <c r="G897" s="246"/>
      <c r="H897" s="246"/>
      <c r="I897" s="246"/>
      <c r="J897" s="246"/>
      <c r="K897" s="299"/>
      <c r="L897" s="246"/>
      <c r="M897" s="246"/>
    </row>
    <row r="898" spans="2:13" s="204" customFormat="1" x14ac:dyDescent="0.25">
      <c r="B898" s="246"/>
      <c r="C898" s="246"/>
      <c r="D898" s="246"/>
      <c r="E898" s="246"/>
      <c r="F898" s="246"/>
      <c r="G898" s="246"/>
      <c r="H898" s="246"/>
      <c r="I898" s="246"/>
      <c r="J898" s="246"/>
      <c r="K898" s="299"/>
      <c r="L898" s="246"/>
      <c r="M898" s="246"/>
    </row>
    <row r="899" spans="2:13" s="204" customFormat="1" x14ac:dyDescent="0.25">
      <c r="B899" s="246"/>
      <c r="C899" s="246"/>
      <c r="D899" s="246"/>
      <c r="E899" s="246"/>
      <c r="F899" s="246"/>
      <c r="G899" s="246"/>
      <c r="H899" s="246"/>
      <c r="I899" s="246"/>
      <c r="J899" s="246"/>
      <c r="K899" s="299"/>
      <c r="L899" s="246"/>
      <c r="M899" s="246"/>
    </row>
    <row r="900" spans="2:13" s="204" customFormat="1" x14ac:dyDescent="0.25">
      <c r="B900" s="246"/>
      <c r="C900" s="246"/>
      <c r="D900" s="246"/>
      <c r="E900" s="246"/>
      <c r="F900" s="246"/>
      <c r="G900" s="246"/>
      <c r="H900" s="246"/>
      <c r="I900" s="246"/>
      <c r="J900" s="246"/>
      <c r="K900" s="299"/>
      <c r="L900" s="246"/>
      <c r="M900" s="246"/>
    </row>
    <row r="901" spans="2:13" s="204" customFormat="1" x14ac:dyDescent="0.25">
      <c r="B901" s="246"/>
      <c r="C901" s="246"/>
      <c r="D901" s="246"/>
      <c r="E901" s="246"/>
      <c r="F901" s="246"/>
      <c r="G901" s="246"/>
      <c r="H901" s="246"/>
      <c r="I901" s="246"/>
      <c r="J901" s="246"/>
      <c r="K901" s="299"/>
      <c r="L901" s="246"/>
      <c r="M901" s="246"/>
    </row>
    <row r="902" spans="2:13" s="204" customFormat="1" x14ac:dyDescent="0.25">
      <c r="B902" s="246"/>
      <c r="C902" s="246"/>
      <c r="D902" s="246"/>
      <c r="E902" s="246"/>
      <c r="F902" s="246"/>
      <c r="G902" s="246"/>
      <c r="H902" s="246"/>
      <c r="I902" s="246"/>
      <c r="J902" s="246"/>
      <c r="K902" s="299"/>
      <c r="L902" s="246"/>
      <c r="M902" s="246"/>
    </row>
    <row r="903" spans="2:13" s="204" customFormat="1" x14ac:dyDescent="0.25">
      <c r="B903" s="246"/>
      <c r="C903" s="246"/>
      <c r="D903" s="246"/>
      <c r="E903" s="246"/>
      <c r="F903" s="246"/>
      <c r="G903" s="246"/>
      <c r="H903" s="246"/>
      <c r="I903" s="246"/>
      <c r="J903" s="246"/>
      <c r="K903" s="299"/>
      <c r="L903" s="246"/>
      <c r="M903" s="246"/>
    </row>
    <row r="904" spans="2:13" s="204" customFormat="1" x14ac:dyDescent="0.25">
      <c r="B904" s="246"/>
      <c r="C904" s="246"/>
      <c r="D904" s="246"/>
      <c r="E904" s="246"/>
      <c r="F904" s="246"/>
      <c r="G904" s="246"/>
      <c r="H904" s="246"/>
      <c r="I904" s="246"/>
      <c r="J904" s="246"/>
      <c r="K904" s="299"/>
      <c r="L904" s="246"/>
      <c r="M904" s="246"/>
    </row>
    <row r="905" spans="2:13" s="204" customFormat="1" x14ac:dyDescent="0.25">
      <c r="B905" s="246"/>
      <c r="C905" s="246"/>
      <c r="D905" s="246"/>
      <c r="E905" s="246"/>
      <c r="F905" s="246"/>
      <c r="G905" s="246"/>
      <c r="H905" s="246"/>
      <c r="I905" s="246"/>
      <c r="J905" s="246"/>
      <c r="K905" s="299"/>
      <c r="L905" s="246"/>
      <c r="M905" s="246"/>
    </row>
    <row r="906" spans="2:13" s="204" customFormat="1" x14ac:dyDescent="0.25">
      <c r="B906" s="246"/>
      <c r="C906" s="246"/>
      <c r="D906" s="246"/>
      <c r="E906" s="246"/>
      <c r="F906" s="246"/>
      <c r="G906" s="246"/>
      <c r="H906" s="246"/>
      <c r="I906" s="246"/>
      <c r="J906" s="246"/>
      <c r="K906" s="299"/>
      <c r="L906" s="246"/>
      <c r="M906" s="246"/>
    </row>
    <row r="907" spans="2:13" s="204" customFormat="1" x14ac:dyDescent="0.25">
      <c r="B907" s="246"/>
      <c r="C907" s="246"/>
      <c r="D907" s="246"/>
      <c r="E907" s="246"/>
      <c r="F907" s="246"/>
      <c r="G907" s="246"/>
      <c r="H907" s="246"/>
      <c r="I907" s="246"/>
      <c r="J907" s="246"/>
      <c r="K907" s="299"/>
      <c r="L907" s="246"/>
      <c r="M907" s="246"/>
    </row>
    <row r="908" spans="2:13" s="204" customFormat="1" x14ac:dyDescent="0.25">
      <c r="B908" s="246"/>
      <c r="C908" s="246"/>
      <c r="D908" s="246"/>
      <c r="E908" s="246"/>
      <c r="F908" s="246"/>
      <c r="G908" s="246"/>
      <c r="H908" s="246"/>
      <c r="I908" s="246"/>
      <c r="J908" s="246"/>
      <c r="K908" s="299"/>
      <c r="L908" s="246"/>
      <c r="M908" s="246"/>
    </row>
    <row r="909" spans="2:13" s="204" customFormat="1" x14ac:dyDescent="0.25">
      <c r="B909" s="246"/>
      <c r="C909" s="246"/>
      <c r="D909" s="246"/>
      <c r="E909" s="246"/>
      <c r="F909" s="246"/>
      <c r="G909" s="246"/>
      <c r="H909" s="246"/>
      <c r="I909" s="246"/>
      <c r="J909" s="246"/>
      <c r="K909" s="299"/>
      <c r="L909" s="246"/>
      <c r="M909" s="246"/>
    </row>
    <row r="910" spans="2:13" s="204" customFormat="1" x14ac:dyDescent="0.25">
      <c r="B910" s="246"/>
      <c r="C910" s="246"/>
      <c r="D910" s="246"/>
      <c r="E910" s="246"/>
      <c r="F910" s="246"/>
      <c r="G910" s="246"/>
      <c r="H910" s="246"/>
      <c r="I910" s="246"/>
      <c r="J910" s="246"/>
      <c r="K910" s="299"/>
      <c r="L910" s="246"/>
      <c r="M910" s="246"/>
    </row>
    <row r="911" spans="2:13" s="204" customFormat="1" x14ac:dyDescent="0.25">
      <c r="B911" s="246"/>
      <c r="C911" s="246"/>
      <c r="D911" s="246"/>
      <c r="E911" s="246"/>
      <c r="F911" s="246"/>
      <c r="G911" s="246"/>
      <c r="H911" s="246"/>
      <c r="I911" s="246"/>
      <c r="J911" s="246"/>
      <c r="K911" s="299"/>
      <c r="L911" s="246"/>
      <c r="M911" s="246"/>
    </row>
    <row r="912" spans="2:13" s="204" customFormat="1" x14ac:dyDescent="0.25">
      <c r="B912" s="246"/>
      <c r="C912" s="246"/>
      <c r="D912" s="246"/>
      <c r="E912" s="246"/>
      <c r="F912" s="246"/>
      <c r="G912" s="246"/>
      <c r="H912" s="246"/>
      <c r="I912" s="246"/>
      <c r="J912" s="246"/>
      <c r="K912" s="299"/>
      <c r="L912" s="246"/>
      <c r="M912" s="246"/>
    </row>
    <row r="913" spans="2:13" s="204" customFormat="1" x14ac:dyDescent="0.25">
      <c r="B913" s="246"/>
      <c r="C913" s="246"/>
      <c r="D913" s="246"/>
      <c r="E913" s="246"/>
      <c r="F913" s="246"/>
      <c r="G913" s="246"/>
      <c r="H913" s="246"/>
      <c r="I913" s="246"/>
      <c r="J913" s="246"/>
      <c r="K913" s="299"/>
      <c r="L913" s="246"/>
      <c r="M913" s="246"/>
    </row>
    <row r="914" spans="2:13" s="204" customFormat="1" x14ac:dyDescent="0.25">
      <c r="B914" s="246"/>
      <c r="C914" s="246"/>
      <c r="D914" s="246"/>
      <c r="E914" s="246"/>
      <c r="F914" s="246"/>
      <c r="G914" s="246"/>
      <c r="H914" s="246"/>
      <c r="I914" s="246"/>
      <c r="J914" s="246"/>
      <c r="K914" s="299"/>
      <c r="L914" s="246"/>
      <c r="M914" s="246"/>
    </row>
    <row r="915" spans="2:13" s="204" customFormat="1" x14ac:dyDescent="0.25">
      <c r="B915" s="246"/>
      <c r="C915" s="246"/>
      <c r="D915" s="246"/>
      <c r="E915" s="246"/>
      <c r="F915" s="246"/>
      <c r="G915" s="246"/>
      <c r="H915" s="246"/>
      <c r="I915" s="246"/>
      <c r="J915" s="246"/>
      <c r="K915" s="299"/>
      <c r="L915" s="246"/>
      <c r="M915" s="246"/>
    </row>
    <row r="916" spans="2:13" s="204" customFormat="1" x14ac:dyDescent="0.25">
      <c r="B916" s="246"/>
      <c r="C916" s="246"/>
      <c r="D916" s="246"/>
      <c r="E916" s="246"/>
      <c r="F916" s="246"/>
      <c r="G916" s="246"/>
      <c r="H916" s="246"/>
      <c r="I916" s="246"/>
      <c r="J916" s="246"/>
      <c r="K916" s="299"/>
      <c r="L916" s="246"/>
      <c r="M916" s="246"/>
    </row>
    <row r="917" spans="2:13" s="204" customFormat="1" x14ac:dyDescent="0.25">
      <c r="B917" s="246"/>
      <c r="C917" s="246"/>
      <c r="D917" s="246"/>
      <c r="E917" s="246"/>
      <c r="F917" s="246"/>
      <c r="G917" s="246"/>
      <c r="H917" s="246"/>
      <c r="I917" s="246"/>
      <c r="J917" s="246"/>
      <c r="K917" s="299"/>
      <c r="L917" s="246"/>
      <c r="M917" s="246"/>
    </row>
    <row r="918" spans="2:13" s="204" customFormat="1" x14ac:dyDescent="0.25">
      <c r="B918" s="246"/>
      <c r="C918" s="246"/>
      <c r="D918" s="246"/>
      <c r="E918" s="246"/>
      <c r="F918" s="246"/>
      <c r="G918" s="246"/>
      <c r="H918" s="246"/>
      <c r="I918" s="246"/>
      <c r="J918" s="246"/>
      <c r="K918" s="299"/>
      <c r="L918" s="246"/>
      <c r="M918" s="246"/>
    </row>
    <row r="919" spans="2:13" s="204" customFormat="1" x14ac:dyDescent="0.25">
      <c r="B919" s="246"/>
      <c r="C919" s="246"/>
      <c r="D919" s="246"/>
      <c r="E919" s="246"/>
      <c r="F919" s="246"/>
      <c r="G919" s="246"/>
      <c r="H919" s="246"/>
      <c r="I919" s="246"/>
      <c r="J919" s="246"/>
      <c r="K919" s="299"/>
      <c r="L919" s="246"/>
      <c r="M919" s="246"/>
    </row>
    <row r="920" spans="2:13" s="204" customFormat="1" x14ac:dyDescent="0.25">
      <c r="B920" s="246"/>
      <c r="C920" s="246"/>
      <c r="D920" s="246"/>
      <c r="E920" s="246"/>
      <c r="F920" s="246"/>
      <c r="G920" s="246"/>
      <c r="H920" s="246"/>
      <c r="I920" s="246"/>
      <c r="J920" s="246"/>
      <c r="K920" s="299"/>
      <c r="L920" s="246"/>
      <c r="M920" s="246"/>
    </row>
    <row r="921" spans="2:13" s="204" customFormat="1" x14ac:dyDescent="0.25">
      <c r="B921" s="246"/>
      <c r="C921" s="246"/>
      <c r="D921" s="246"/>
      <c r="E921" s="246"/>
      <c r="F921" s="246"/>
      <c r="G921" s="246"/>
      <c r="H921" s="246"/>
      <c r="I921" s="246"/>
      <c r="J921" s="246"/>
      <c r="K921" s="299"/>
      <c r="L921" s="246"/>
      <c r="M921" s="246"/>
    </row>
    <row r="922" spans="2:13" s="204" customFormat="1" x14ac:dyDescent="0.25">
      <c r="B922" s="246"/>
      <c r="C922" s="246"/>
      <c r="D922" s="246"/>
      <c r="E922" s="246"/>
      <c r="F922" s="246"/>
      <c r="G922" s="246"/>
      <c r="H922" s="246"/>
      <c r="I922" s="246"/>
      <c r="J922" s="246"/>
      <c r="K922" s="299"/>
      <c r="L922" s="246"/>
      <c r="M922" s="246"/>
    </row>
    <row r="923" spans="2:13" s="204" customFormat="1" x14ac:dyDescent="0.25">
      <c r="B923" s="246"/>
      <c r="C923" s="246"/>
      <c r="D923" s="246"/>
      <c r="E923" s="246"/>
      <c r="F923" s="246"/>
      <c r="G923" s="246"/>
      <c r="H923" s="246"/>
      <c r="I923" s="246"/>
      <c r="J923" s="246"/>
      <c r="K923" s="299"/>
      <c r="L923" s="246"/>
      <c r="M923" s="246"/>
    </row>
    <row r="924" spans="2:13" s="204" customFormat="1" x14ac:dyDescent="0.25">
      <c r="B924" s="246"/>
      <c r="C924" s="246"/>
      <c r="D924" s="246"/>
      <c r="E924" s="246"/>
      <c r="F924" s="246"/>
      <c r="G924" s="246"/>
      <c r="H924" s="246"/>
      <c r="I924" s="246"/>
      <c r="J924" s="246"/>
      <c r="K924" s="299"/>
      <c r="L924" s="246"/>
      <c r="M924" s="246"/>
    </row>
    <row r="925" spans="2:13" s="204" customFormat="1" x14ac:dyDescent="0.25">
      <c r="B925" s="246"/>
      <c r="C925" s="246"/>
      <c r="D925" s="246"/>
      <c r="E925" s="246"/>
      <c r="F925" s="246"/>
      <c r="G925" s="246"/>
      <c r="H925" s="246"/>
      <c r="I925" s="246"/>
      <c r="J925" s="246"/>
      <c r="K925" s="299"/>
      <c r="L925" s="246"/>
      <c r="M925" s="246"/>
    </row>
    <row r="926" spans="2:13" s="204" customFormat="1" x14ac:dyDescent="0.25">
      <c r="B926" s="246"/>
      <c r="C926" s="246"/>
      <c r="D926" s="246"/>
      <c r="E926" s="246"/>
      <c r="F926" s="246"/>
      <c r="G926" s="246"/>
      <c r="H926" s="246"/>
      <c r="I926" s="246"/>
      <c r="J926" s="246"/>
      <c r="K926" s="299"/>
      <c r="L926" s="246"/>
      <c r="M926" s="246"/>
    </row>
    <row r="927" spans="2:13" s="204" customFormat="1" x14ac:dyDescent="0.25">
      <c r="B927" s="246"/>
      <c r="C927" s="246"/>
      <c r="D927" s="246"/>
      <c r="E927" s="246"/>
      <c r="F927" s="246"/>
      <c r="G927" s="246"/>
      <c r="H927" s="246"/>
      <c r="I927" s="246"/>
      <c r="J927" s="246"/>
      <c r="K927" s="299"/>
      <c r="L927" s="246"/>
      <c r="M927" s="246"/>
    </row>
    <row r="928" spans="2:13" s="204" customFormat="1" x14ac:dyDescent="0.25">
      <c r="B928" s="246"/>
      <c r="C928" s="246"/>
      <c r="D928" s="246"/>
      <c r="E928" s="246"/>
      <c r="F928" s="246"/>
      <c r="G928" s="246"/>
      <c r="H928" s="246"/>
      <c r="I928" s="246"/>
      <c r="J928" s="246"/>
      <c r="K928" s="299"/>
      <c r="L928" s="246"/>
      <c r="M928" s="246"/>
    </row>
    <row r="929" spans="2:13" s="204" customFormat="1" x14ac:dyDescent="0.25">
      <c r="B929" s="246"/>
      <c r="C929" s="246"/>
      <c r="D929" s="246"/>
      <c r="E929" s="246"/>
      <c r="F929" s="246"/>
      <c r="G929" s="246"/>
      <c r="H929" s="246"/>
      <c r="I929" s="246"/>
      <c r="J929" s="246"/>
      <c r="K929" s="299"/>
      <c r="L929" s="246"/>
      <c r="M929" s="246"/>
    </row>
    <row r="930" spans="2:13" s="204" customFormat="1" x14ac:dyDescent="0.25">
      <c r="B930" s="246"/>
      <c r="C930" s="246"/>
      <c r="D930" s="246"/>
      <c r="E930" s="246"/>
      <c r="F930" s="246"/>
      <c r="G930" s="246"/>
      <c r="H930" s="246"/>
      <c r="I930" s="246"/>
      <c r="J930" s="246"/>
      <c r="K930" s="299"/>
      <c r="L930" s="246"/>
      <c r="M930" s="246"/>
    </row>
    <row r="931" spans="2:13" s="204" customFormat="1" x14ac:dyDescent="0.25">
      <c r="B931" s="246"/>
      <c r="C931" s="246"/>
      <c r="D931" s="246"/>
      <c r="E931" s="246"/>
      <c r="F931" s="246"/>
      <c r="G931" s="246"/>
      <c r="H931" s="246"/>
      <c r="I931" s="246"/>
      <c r="J931" s="246"/>
      <c r="K931" s="299"/>
      <c r="L931" s="246"/>
      <c r="M931" s="246"/>
    </row>
    <row r="932" spans="2:13" s="204" customFormat="1" x14ac:dyDescent="0.25">
      <c r="B932" s="246"/>
      <c r="C932" s="246"/>
      <c r="D932" s="246"/>
      <c r="E932" s="246"/>
      <c r="F932" s="246"/>
      <c r="G932" s="246"/>
      <c r="H932" s="246"/>
      <c r="I932" s="246"/>
      <c r="J932" s="246"/>
      <c r="K932" s="299"/>
      <c r="L932" s="246"/>
      <c r="M932" s="246"/>
    </row>
    <row r="933" spans="2:13" s="204" customFormat="1" x14ac:dyDescent="0.25">
      <c r="B933" s="246"/>
      <c r="C933" s="246"/>
      <c r="D933" s="246"/>
      <c r="E933" s="246"/>
      <c r="F933" s="246"/>
      <c r="G933" s="246"/>
      <c r="H933" s="246"/>
      <c r="I933" s="246"/>
      <c r="J933" s="246"/>
      <c r="K933" s="299"/>
      <c r="L933" s="246"/>
      <c r="M933" s="246"/>
    </row>
    <row r="934" spans="2:13" s="204" customFormat="1" x14ac:dyDescent="0.25">
      <c r="B934" s="246"/>
      <c r="C934" s="246"/>
      <c r="D934" s="246"/>
      <c r="E934" s="246"/>
      <c r="F934" s="246"/>
      <c r="G934" s="246"/>
      <c r="H934" s="246"/>
      <c r="I934" s="246"/>
      <c r="J934" s="246"/>
      <c r="K934" s="299"/>
      <c r="L934" s="246"/>
      <c r="M934" s="246"/>
    </row>
    <row r="935" spans="2:13" s="204" customFormat="1" x14ac:dyDescent="0.25">
      <c r="B935" s="246"/>
      <c r="C935" s="246"/>
      <c r="D935" s="246"/>
      <c r="E935" s="246"/>
      <c r="F935" s="246"/>
      <c r="G935" s="246"/>
      <c r="H935" s="246"/>
      <c r="I935" s="246"/>
      <c r="J935" s="246"/>
      <c r="K935" s="299"/>
      <c r="L935" s="246"/>
      <c r="M935" s="246"/>
    </row>
    <row r="936" spans="2:13" s="204" customFormat="1" x14ac:dyDescent="0.25">
      <c r="B936" s="246"/>
      <c r="C936" s="246"/>
      <c r="D936" s="246"/>
      <c r="E936" s="246"/>
      <c r="F936" s="246"/>
      <c r="G936" s="246"/>
      <c r="H936" s="246"/>
      <c r="I936" s="246"/>
      <c r="J936" s="246"/>
      <c r="K936" s="299"/>
      <c r="L936" s="246"/>
      <c r="M936" s="246"/>
    </row>
    <row r="937" spans="2:13" s="204" customFormat="1" x14ac:dyDescent="0.25">
      <c r="B937" s="246"/>
      <c r="C937" s="246"/>
      <c r="D937" s="246"/>
      <c r="E937" s="246"/>
      <c r="F937" s="246"/>
      <c r="G937" s="246"/>
      <c r="H937" s="246"/>
      <c r="I937" s="246"/>
      <c r="J937" s="246"/>
      <c r="K937" s="299"/>
      <c r="L937" s="246"/>
      <c r="M937" s="246"/>
    </row>
    <row r="938" spans="2:13" s="204" customFormat="1" x14ac:dyDescent="0.25">
      <c r="B938" s="246"/>
      <c r="C938" s="246"/>
      <c r="D938" s="246"/>
      <c r="E938" s="246"/>
      <c r="F938" s="246"/>
      <c r="G938" s="246"/>
      <c r="H938" s="246"/>
      <c r="I938" s="246"/>
      <c r="J938" s="246"/>
      <c r="K938" s="299"/>
      <c r="L938" s="246"/>
      <c r="M938" s="246"/>
    </row>
    <row r="939" spans="2:13" s="204" customFormat="1" x14ac:dyDescent="0.25">
      <c r="B939" s="246"/>
      <c r="C939" s="246"/>
      <c r="D939" s="246"/>
      <c r="E939" s="246"/>
      <c r="F939" s="246"/>
      <c r="G939" s="246"/>
      <c r="H939" s="246"/>
      <c r="I939" s="246"/>
      <c r="J939" s="246"/>
      <c r="K939" s="299"/>
      <c r="L939" s="246"/>
      <c r="M939" s="246"/>
    </row>
    <row r="940" spans="2:13" s="204" customFormat="1" x14ac:dyDescent="0.25">
      <c r="B940" s="246"/>
      <c r="C940" s="246"/>
      <c r="D940" s="246"/>
      <c r="E940" s="246"/>
      <c r="F940" s="246"/>
      <c r="G940" s="246"/>
      <c r="H940" s="246"/>
      <c r="I940" s="246"/>
      <c r="J940" s="246"/>
      <c r="K940" s="299"/>
      <c r="L940" s="246"/>
      <c r="M940" s="246"/>
    </row>
    <row r="941" spans="2:13" s="204" customFormat="1" x14ac:dyDescent="0.25">
      <c r="B941" s="246"/>
      <c r="C941" s="246"/>
      <c r="D941" s="246"/>
      <c r="E941" s="246"/>
      <c r="F941" s="246"/>
      <c r="G941" s="246"/>
      <c r="H941" s="246"/>
      <c r="I941" s="246"/>
      <c r="J941" s="246"/>
      <c r="K941" s="299"/>
      <c r="L941" s="246"/>
      <c r="M941" s="246"/>
    </row>
    <row r="942" spans="2:13" s="204" customFormat="1" x14ac:dyDescent="0.25">
      <c r="B942" s="246"/>
      <c r="C942" s="246"/>
      <c r="D942" s="246"/>
      <c r="E942" s="246"/>
      <c r="F942" s="246"/>
      <c r="G942" s="246"/>
      <c r="H942" s="246"/>
      <c r="I942" s="246"/>
      <c r="J942" s="246"/>
      <c r="K942" s="299"/>
      <c r="L942" s="246"/>
      <c r="M942" s="246"/>
    </row>
    <row r="943" spans="2:13" s="204" customFormat="1" x14ac:dyDescent="0.25">
      <c r="B943" s="246"/>
      <c r="C943" s="246"/>
      <c r="D943" s="246"/>
      <c r="E943" s="246"/>
      <c r="F943" s="246"/>
      <c r="G943" s="246"/>
      <c r="H943" s="246"/>
      <c r="I943" s="246"/>
      <c r="J943" s="246"/>
      <c r="K943" s="299"/>
      <c r="L943" s="246"/>
      <c r="M943" s="246"/>
    </row>
    <row r="944" spans="2:13" s="204" customFormat="1" x14ac:dyDescent="0.25">
      <c r="B944" s="246"/>
      <c r="C944" s="246"/>
      <c r="D944" s="246"/>
      <c r="E944" s="246"/>
      <c r="F944" s="246"/>
      <c r="G944" s="246"/>
      <c r="H944" s="246"/>
      <c r="I944" s="246"/>
      <c r="J944" s="246"/>
      <c r="K944" s="299"/>
      <c r="L944" s="246"/>
      <c r="M944" s="246"/>
    </row>
    <row r="945" spans="2:13" s="204" customFormat="1" x14ac:dyDescent="0.25">
      <c r="B945" s="246"/>
      <c r="C945" s="246"/>
      <c r="D945" s="246"/>
      <c r="E945" s="246"/>
      <c r="F945" s="246"/>
      <c r="G945" s="246"/>
      <c r="H945" s="246"/>
      <c r="I945" s="246"/>
      <c r="J945" s="246"/>
      <c r="K945" s="299"/>
      <c r="L945" s="246"/>
      <c r="M945" s="246"/>
    </row>
    <row r="946" spans="2:13" s="204" customFormat="1" x14ac:dyDescent="0.25">
      <c r="B946" s="246"/>
      <c r="C946" s="246"/>
      <c r="D946" s="246"/>
      <c r="E946" s="246"/>
      <c r="F946" s="246"/>
      <c r="G946" s="246"/>
      <c r="H946" s="246"/>
      <c r="I946" s="246"/>
      <c r="J946" s="246"/>
      <c r="K946" s="299"/>
      <c r="L946" s="246"/>
      <c r="M946" s="246"/>
    </row>
    <row r="947" spans="2:13" s="204" customFormat="1" x14ac:dyDescent="0.25">
      <c r="B947" s="246"/>
      <c r="C947" s="246"/>
      <c r="D947" s="246"/>
      <c r="E947" s="246"/>
      <c r="F947" s="246"/>
      <c r="G947" s="246"/>
      <c r="H947" s="246"/>
      <c r="I947" s="246"/>
      <c r="J947" s="246"/>
      <c r="K947" s="299"/>
      <c r="L947" s="246"/>
      <c r="M947" s="246"/>
    </row>
    <row r="948" spans="2:13" s="204" customFormat="1" x14ac:dyDescent="0.25">
      <c r="B948" s="246"/>
      <c r="C948" s="246"/>
      <c r="D948" s="246"/>
      <c r="E948" s="246"/>
      <c r="F948" s="246"/>
      <c r="G948" s="246"/>
      <c r="H948" s="246"/>
      <c r="I948" s="246"/>
      <c r="J948" s="246"/>
      <c r="K948" s="299"/>
      <c r="L948" s="246"/>
      <c r="M948" s="246"/>
    </row>
    <row r="949" spans="2:13" s="204" customFormat="1" x14ac:dyDescent="0.25">
      <c r="B949" s="246"/>
      <c r="C949" s="246"/>
      <c r="D949" s="246"/>
      <c r="E949" s="246"/>
      <c r="F949" s="246"/>
      <c r="G949" s="246"/>
      <c r="H949" s="246"/>
      <c r="I949" s="246"/>
      <c r="J949" s="246"/>
      <c r="K949" s="299"/>
      <c r="L949" s="246"/>
      <c r="M949" s="246"/>
    </row>
    <row r="950" spans="2:13" s="204" customFormat="1" x14ac:dyDescent="0.25">
      <c r="B950" s="246"/>
      <c r="C950" s="246"/>
      <c r="D950" s="246"/>
      <c r="E950" s="246"/>
      <c r="F950" s="246"/>
      <c r="G950" s="246"/>
      <c r="H950" s="246"/>
      <c r="I950" s="246"/>
      <c r="J950" s="246"/>
      <c r="K950" s="299"/>
      <c r="L950" s="246"/>
      <c r="M950" s="246"/>
    </row>
    <row r="951" spans="2:13" s="204" customFormat="1" x14ac:dyDescent="0.25">
      <c r="B951" s="246"/>
      <c r="C951" s="246"/>
      <c r="D951" s="246"/>
      <c r="E951" s="246"/>
      <c r="F951" s="246"/>
      <c r="G951" s="246"/>
      <c r="H951" s="246"/>
      <c r="I951" s="246"/>
      <c r="J951" s="246"/>
      <c r="K951" s="299"/>
      <c r="L951" s="246"/>
      <c r="M951" s="246"/>
    </row>
    <row r="952" spans="2:13" s="204" customFormat="1" x14ac:dyDescent="0.25">
      <c r="B952" s="246"/>
      <c r="C952" s="246"/>
      <c r="D952" s="246"/>
      <c r="E952" s="246"/>
      <c r="F952" s="246"/>
      <c r="G952" s="246"/>
      <c r="H952" s="246"/>
      <c r="I952" s="246"/>
      <c r="J952" s="246"/>
      <c r="K952" s="299"/>
      <c r="L952" s="246"/>
      <c r="M952" s="246"/>
    </row>
    <row r="953" spans="2:13" s="204" customFormat="1" x14ac:dyDescent="0.25">
      <c r="B953" s="246"/>
      <c r="C953" s="246"/>
      <c r="D953" s="246"/>
      <c r="E953" s="246"/>
      <c r="F953" s="246"/>
      <c r="G953" s="246"/>
      <c r="H953" s="246"/>
      <c r="I953" s="246"/>
      <c r="J953" s="246"/>
      <c r="K953" s="299"/>
      <c r="L953" s="246"/>
      <c r="M953" s="246"/>
    </row>
    <row r="954" spans="2:13" s="204" customFormat="1" x14ac:dyDescent="0.25">
      <c r="B954" s="246"/>
      <c r="C954" s="246"/>
      <c r="D954" s="246"/>
      <c r="E954" s="246"/>
      <c r="F954" s="246"/>
      <c r="G954" s="246"/>
      <c r="H954" s="246"/>
      <c r="I954" s="246"/>
      <c r="J954" s="246"/>
      <c r="K954" s="299"/>
      <c r="L954" s="246"/>
      <c r="M954" s="246"/>
    </row>
    <row r="955" spans="2:13" s="204" customFormat="1" x14ac:dyDescent="0.25">
      <c r="B955" s="246"/>
      <c r="C955" s="246"/>
      <c r="D955" s="246"/>
      <c r="E955" s="246"/>
      <c r="F955" s="246"/>
      <c r="G955" s="246"/>
      <c r="H955" s="246"/>
      <c r="I955" s="246"/>
      <c r="J955" s="246"/>
      <c r="K955" s="299"/>
      <c r="L955" s="246"/>
      <c r="M955" s="246"/>
    </row>
    <row r="956" spans="2:13" s="204" customFormat="1" x14ac:dyDescent="0.25">
      <c r="B956" s="246"/>
      <c r="C956" s="246"/>
      <c r="D956" s="246"/>
      <c r="E956" s="246"/>
      <c r="F956" s="246"/>
      <c r="G956" s="246"/>
      <c r="H956" s="246"/>
      <c r="I956" s="246"/>
      <c r="J956" s="246"/>
      <c r="K956" s="299"/>
      <c r="L956" s="246"/>
      <c r="M956" s="246"/>
    </row>
    <row r="957" spans="2:13" s="204" customFormat="1" x14ac:dyDescent="0.25">
      <c r="B957" s="246"/>
      <c r="C957" s="246"/>
      <c r="D957" s="246"/>
      <c r="E957" s="246"/>
      <c r="F957" s="246"/>
      <c r="G957" s="246"/>
      <c r="H957" s="246"/>
      <c r="I957" s="246"/>
      <c r="J957" s="246"/>
      <c r="K957" s="299"/>
      <c r="L957" s="246"/>
      <c r="M957" s="246"/>
    </row>
    <row r="958" spans="2:13" s="204" customFormat="1" x14ac:dyDescent="0.25">
      <c r="B958" s="246"/>
      <c r="C958" s="246"/>
      <c r="D958" s="246"/>
      <c r="E958" s="246"/>
      <c r="F958" s="246"/>
      <c r="G958" s="246"/>
      <c r="H958" s="246"/>
      <c r="I958" s="246"/>
      <c r="J958" s="246"/>
      <c r="K958" s="299"/>
      <c r="L958" s="246"/>
      <c r="M958" s="246"/>
    </row>
    <row r="959" spans="2:13" s="204" customFormat="1" x14ac:dyDescent="0.25">
      <c r="B959" s="246"/>
      <c r="C959" s="246"/>
      <c r="D959" s="246"/>
      <c r="E959" s="246"/>
      <c r="F959" s="246"/>
      <c r="G959" s="246"/>
      <c r="H959" s="246"/>
      <c r="I959" s="246"/>
      <c r="J959" s="246"/>
      <c r="K959" s="299"/>
      <c r="L959" s="246"/>
      <c r="M959" s="246"/>
    </row>
    <row r="960" spans="2:13" s="204" customFormat="1" x14ac:dyDescent="0.25">
      <c r="B960" s="246"/>
      <c r="C960" s="246"/>
      <c r="D960" s="246"/>
      <c r="E960" s="246"/>
      <c r="F960" s="246"/>
      <c r="G960" s="246"/>
      <c r="H960" s="246"/>
      <c r="I960" s="246"/>
      <c r="J960" s="246"/>
      <c r="K960" s="299"/>
      <c r="L960" s="246"/>
      <c r="M960" s="246"/>
    </row>
    <row r="961" spans="2:13" s="204" customFormat="1" x14ac:dyDescent="0.25">
      <c r="B961" s="246"/>
      <c r="C961" s="246"/>
      <c r="D961" s="246"/>
      <c r="E961" s="246"/>
      <c r="F961" s="246"/>
      <c r="G961" s="246"/>
      <c r="H961" s="246"/>
      <c r="I961" s="246"/>
      <c r="J961" s="246"/>
      <c r="K961" s="299"/>
      <c r="L961" s="246"/>
      <c r="M961" s="246"/>
    </row>
    <row r="962" spans="2:13" s="204" customFormat="1" x14ac:dyDescent="0.25">
      <c r="B962" s="246"/>
      <c r="C962" s="246"/>
      <c r="D962" s="246"/>
      <c r="E962" s="246"/>
      <c r="F962" s="246"/>
      <c r="G962" s="246"/>
      <c r="H962" s="246"/>
      <c r="I962" s="246"/>
      <c r="J962" s="246"/>
      <c r="K962" s="299"/>
      <c r="L962" s="246"/>
      <c r="M962" s="246"/>
    </row>
    <row r="963" spans="2:13" s="204" customFormat="1" x14ac:dyDescent="0.25">
      <c r="B963" s="246"/>
      <c r="C963" s="246"/>
      <c r="D963" s="246"/>
      <c r="E963" s="246"/>
      <c r="F963" s="246"/>
      <c r="G963" s="246"/>
      <c r="H963" s="246"/>
      <c r="I963" s="246"/>
      <c r="J963" s="246"/>
      <c r="K963" s="299"/>
      <c r="L963" s="246"/>
      <c r="M963" s="246"/>
    </row>
    <row r="964" spans="2:13" s="204" customFormat="1" x14ac:dyDescent="0.25">
      <c r="B964" s="246"/>
      <c r="C964" s="246"/>
      <c r="D964" s="246"/>
      <c r="E964" s="246"/>
      <c r="F964" s="246"/>
      <c r="G964" s="246"/>
      <c r="H964" s="246"/>
      <c r="I964" s="246"/>
      <c r="J964" s="246"/>
      <c r="K964" s="299"/>
      <c r="L964" s="246"/>
      <c r="M964" s="246"/>
    </row>
    <row r="965" spans="2:13" s="204" customFormat="1" x14ac:dyDescent="0.25">
      <c r="B965" s="246"/>
      <c r="C965" s="246"/>
      <c r="D965" s="246"/>
      <c r="E965" s="246"/>
      <c r="F965" s="246"/>
      <c r="G965" s="246"/>
      <c r="H965" s="246"/>
      <c r="I965" s="246"/>
      <c r="J965" s="246"/>
      <c r="K965" s="299"/>
      <c r="L965" s="246"/>
      <c r="M965" s="246"/>
    </row>
    <row r="966" spans="2:13" s="204" customFormat="1" x14ac:dyDescent="0.25">
      <c r="B966" s="246"/>
      <c r="C966" s="246"/>
      <c r="D966" s="246"/>
      <c r="E966" s="246"/>
      <c r="F966" s="246"/>
      <c r="G966" s="246"/>
      <c r="H966" s="246"/>
      <c r="I966" s="246"/>
      <c r="J966" s="246"/>
      <c r="K966" s="299"/>
      <c r="L966" s="246"/>
      <c r="M966" s="246"/>
    </row>
    <row r="967" spans="2:13" s="204" customFormat="1" x14ac:dyDescent="0.25">
      <c r="B967" s="246"/>
      <c r="C967" s="246"/>
      <c r="D967" s="246"/>
      <c r="E967" s="246"/>
      <c r="F967" s="246"/>
      <c r="G967" s="246"/>
      <c r="H967" s="246"/>
      <c r="I967" s="246"/>
      <c r="J967" s="246"/>
      <c r="K967" s="299"/>
      <c r="L967" s="246"/>
      <c r="M967" s="246"/>
    </row>
    <row r="968" spans="2:13" s="204" customFormat="1" x14ac:dyDescent="0.25">
      <c r="B968" s="246"/>
      <c r="C968" s="246"/>
      <c r="D968" s="246"/>
      <c r="E968" s="246"/>
      <c r="F968" s="246"/>
      <c r="G968" s="246"/>
      <c r="H968" s="246"/>
      <c r="I968" s="246"/>
      <c r="J968" s="246"/>
      <c r="K968" s="299"/>
      <c r="L968" s="246"/>
      <c r="M968" s="246"/>
    </row>
    <row r="969" spans="2:13" s="204" customFormat="1" x14ac:dyDescent="0.25">
      <c r="B969" s="246"/>
      <c r="C969" s="246"/>
      <c r="D969" s="246"/>
      <c r="E969" s="246"/>
      <c r="F969" s="246"/>
      <c r="G969" s="246"/>
      <c r="H969" s="246"/>
      <c r="I969" s="246"/>
      <c r="J969" s="246"/>
      <c r="K969" s="299"/>
      <c r="L969" s="246"/>
      <c r="M969" s="246"/>
    </row>
    <row r="970" spans="2:13" s="204" customFormat="1" x14ac:dyDescent="0.25">
      <c r="B970" s="246"/>
      <c r="C970" s="246"/>
      <c r="D970" s="246"/>
      <c r="E970" s="246"/>
      <c r="F970" s="246"/>
      <c r="G970" s="246"/>
      <c r="H970" s="246"/>
      <c r="I970" s="246"/>
      <c r="J970" s="246"/>
      <c r="K970" s="299"/>
      <c r="L970" s="246"/>
      <c r="M970" s="246"/>
    </row>
    <row r="971" spans="2:13" s="204" customFormat="1" x14ac:dyDescent="0.25">
      <c r="B971" s="246"/>
      <c r="C971" s="246"/>
      <c r="D971" s="246"/>
      <c r="E971" s="246"/>
      <c r="F971" s="246"/>
      <c r="G971" s="246"/>
      <c r="H971" s="246"/>
      <c r="I971" s="246"/>
      <c r="J971" s="246"/>
      <c r="K971" s="299"/>
      <c r="L971" s="246"/>
      <c r="M971" s="246"/>
    </row>
    <row r="972" spans="2:13" s="204" customFormat="1" x14ac:dyDescent="0.25">
      <c r="B972" s="246"/>
      <c r="C972" s="246"/>
      <c r="D972" s="246"/>
      <c r="E972" s="246"/>
      <c r="F972" s="246"/>
      <c r="G972" s="246"/>
      <c r="H972" s="246"/>
      <c r="I972" s="246"/>
      <c r="J972" s="246"/>
      <c r="K972" s="299"/>
      <c r="L972" s="246"/>
      <c r="M972" s="246"/>
    </row>
    <row r="973" spans="2:13" s="204" customFormat="1" x14ac:dyDescent="0.25">
      <c r="B973" s="246"/>
      <c r="C973" s="246"/>
      <c r="D973" s="246"/>
      <c r="E973" s="246"/>
      <c r="F973" s="246"/>
      <c r="G973" s="246"/>
      <c r="H973" s="246"/>
      <c r="I973" s="246"/>
      <c r="J973" s="246"/>
      <c r="K973" s="299"/>
      <c r="L973" s="246"/>
      <c r="M973" s="246"/>
    </row>
    <row r="974" spans="2:13" s="204" customFormat="1" x14ac:dyDescent="0.25">
      <c r="B974" s="246"/>
      <c r="C974" s="246"/>
      <c r="D974" s="246"/>
      <c r="E974" s="246"/>
      <c r="F974" s="246"/>
      <c r="G974" s="246"/>
      <c r="H974" s="246"/>
      <c r="I974" s="246"/>
      <c r="J974" s="246"/>
      <c r="K974" s="299"/>
      <c r="L974" s="246"/>
      <c r="M974" s="246"/>
    </row>
    <row r="975" spans="2:13" s="204" customFormat="1" x14ac:dyDescent="0.25">
      <c r="B975" s="246"/>
      <c r="C975" s="246"/>
      <c r="D975" s="246"/>
      <c r="E975" s="246"/>
      <c r="F975" s="246"/>
      <c r="G975" s="246"/>
      <c r="H975" s="246"/>
      <c r="I975" s="246"/>
      <c r="J975" s="246"/>
      <c r="K975" s="299"/>
      <c r="L975" s="246"/>
      <c r="M975" s="246"/>
    </row>
    <row r="976" spans="2:13" s="204" customFormat="1" x14ac:dyDescent="0.25">
      <c r="B976" s="246"/>
      <c r="C976" s="246"/>
      <c r="D976" s="246"/>
      <c r="E976" s="246"/>
      <c r="F976" s="246"/>
      <c r="G976" s="246"/>
      <c r="H976" s="246"/>
      <c r="I976" s="246"/>
      <c r="J976" s="246"/>
      <c r="K976" s="299"/>
      <c r="L976" s="246"/>
      <c r="M976" s="246"/>
    </row>
    <row r="977" spans="2:13" s="204" customFormat="1" x14ac:dyDescent="0.25">
      <c r="B977" s="246"/>
      <c r="C977" s="246"/>
      <c r="D977" s="246"/>
      <c r="E977" s="246"/>
      <c r="F977" s="246"/>
      <c r="G977" s="246"/>
      <c r="H977" s="246"/>
      <c r="I977" s="246"/>
      <c r="J977" s="246"/>
      <c r="K977" s="299"/>
      <c r="L977" s="246"/>
      <c r="M977" s="246"/>
    </row>
    <row r="978" spans="2:13" s="204" customFormat="1" x14ac:dyDescent="0.25">
      <c r="B978" s="246"/>
      <c r="C978" s="246"/>
      <c r="D978" s="246"/>
      <c r="E978" s="246"/>
      <c r="F978" s="246"/>
      <c r="G978" s="246"/>
      <c r="H978" s="246"/>
      <c r="I978" s="246"/>
      <c r="J978" s="246"/>
      <c r="K978" s="299"/>
      <c r="L978" s="246"/>
      <c r="M978" s="246"/>
    </row>
    <row r="979" spans="2:13" s="204" customFormat="1" x14ac:dyDescent="0.25">
      <c r="B979" s="246"/>
      <c r="C979" s="246"/>
      <c r="D979" s="246"/>
      <c r="E979" s="246"/>
      <c r="F979" s="246"/>
      <c r="G979" s="246"/>
      <c r="H979" s="246"/>
      <c r="I979" s="246"/>
      <c r="J979" s="246"/>
      <c r="K979" s="299"/>
      <c r="L979" s="246"/>
      <c r="M979" s="246"/>
    </row>
    <row r="980" spans="2:13" s="204" customFormat="1" x14ac:dyDescent="0.25">
      <c r="B980" s="246"/>
      <c r="C980" s="246"/>
      <c r="D980" s="246"/>
      <c r="E980" s="246"/>
      <c r="F980" s="246"/>
      <c r="G980" s="246"/>
      <c r="H980" s="246"/>
      <c r="I980" s="246"/>
      <c r="J980" s="246"/>
      <c r="K980" s="299"/>
      <c r="L980" s="246"/>
      <c r="M980" s="246"/>
    </row>
    <row r="981" spans="2:13" s="204" customFormat="1" x14ac:dyDescent="0.25">
      <c r="B981" s="246"/>
      <c r="C981" s="246"/>
      <c r="D981" s="246"/>
      <c r="E981" s="246"/>
      <c r="F981" s="246"/>
      <c r="G981" s="246"/>
      <c r="H981" s="246"/>
      <c r="I981" s="246"/>
      <c r="J981" s="246"/>
      <c r="K981" s="299"/>
      <c r="L981" s="246"/>
      <c r="M981" s="246"/>
    </row>
    <row r="982" spans="2:13" s="204" customFormat="1" x14ac:dyDescent="0.25">
      <c r="B982" s="246"/>
      <c r="C982" s="246"/>
      <c r="D982" s="246"/>
      <c r="E982" s="246"/>
      <c r="F982" s="246"/>
      <c r="G982" s="246"/>
      <c r="H982" s="246"/>
      <c r="I982" s="246"/>
      <c r="J982" s="246"/>
      <c r="K982" s="299"/>
      <c r="L982" s="246"/>
      <c r="M982" s="246"/>
    </row>
    <row r="983" spans="2:13" s="204" customFormat="1" x14ac:dyDescent="0.25">
      <c r="B983" s="246"/>
      <c r="C983" s="246"/>
      <c r="D983" s="246"/>
      <c r="E983" s="246"/>
      <c r="F983" s="246"/>
      <c r="G983" s="246"/>
      <c r="H983" s="246"/>
      <c r="I983" s="246"/>
      <c r="J983" s="246"/>
      <c r="K983" s="299"/>
      <c r="L983" s="246"/>
      <c r="M983" s="246"/>
    </row>
    <row r="984" spans="2:13" s="204" customFormat="1" x14ac:dyDescent="0.25">
      <c r="B984" s="246"/>
      <c r="C984" s="246"/>
      <c r="D984" s="246"/>
      <c r="E984" s="246"/>
      <c r="F984" s="246"/>
      <c r="G984" s="246"/>
      <c r="H984" s="246"/>
      <c r="I984" s="246"/>
      <c r="J984" s="246"/>
      <c r="K984" s="299"/>
      <c r="L984" s="246"/>
      <c r="M984" s="246"/>
    </row>
    <row r="985" spans="2:13" s="204" customFormat="1" x14ac:dyDescent="0.25">
      <c r="B985" s="246"/>
      <c r="C985" s="246"/>
      <c r="D985" s="246"/>
      <c r="E985" s="246"/>
      <c r="F985" s="246"/>
      <c r="G985" s="246"/>
      <c r="H985" s="246"/>
      <c r="I985" s="246"/>
      <c r="J985" s="246"/>
      <c r="K985" s="299"/>
      <c r="L985" s="246"/>
      <c r="M985" s="246"/>
    </row>
    <row r="986" spans="2:13" s="204" customFormat="1" x14ac:dyDescent="0.25">
      <c r="B986" s="246"/>
      <c r="C986" s="246"/>
      <c r="D986" s="246"/>
      <c r="E986" s="246"/>
      <c r="F986" s="246"/>
      <c r="G986" s="246"/>
      <c r="H986" s="246"/>
      <c r="I986" s="246"/>
      <c r="J986" s="246"/>
      <c r="K986" s="299"/>
      <c r="L986" s="246"/>
      <c r="M986" s="246"/>
    </row>
    <row r="987" spans="2:13" s="204" customFormat="1" x14ac:dyDescent="0.25">
      <c r="B987" s="246"/>
      <c r="C987" s="246"/>
      <c r="D987" s="246"/>
      <c r="E987" s="246"/>
      <c r="F987" s="246"/>
      <c r="G987" s="246"/>
      <c r="H987" s="246"/>
      <c r="I987" s="246"/>
      <c r="J987" s="246"/>
      <c r="K987" s="299"/>
      <c r="L987" s="246"/>
      <c r="M987" s="246"/>
    </row>
    <row r="988" spans="2:13" s="204" customFormat="1" x14ac:dyDescent="0.25">
      <c r="B988" s="246"/>
      <c r="C988" s="246"/>
      <c r="D988" s="246"/>
      <c r="E988" s="246"/>
      <c r="F988" s="246"/>
      <c r="G988" s="246"/>
      <c r="H988" s="246"/>
      <c r="I988" s="246"/>
      <c r="J988" s="246"/>
      <c r="K988" s="299"/>
      <c r="L988" s="246"/>
      <c r="M988" s="246"/>
    </row>
    <row r="989" spans="2:13" s="204" customFormat="1" x14ac:dyDescent="0.25">
      <c r="B989" s="246"/>
      <c r="C989" s="246"/>
      <c r="D989" s="246"/>
      <c r="E989" s="246"/>
      <c r="F989" s="246"/>
      <c r="G989" s="246"/>
      <c r="H989" s="246"/>
      <c r="I989" s="246"/>
      <c r="J989" s="246"/>
      <c r="K989" s="299"/>
      <c r="L989" s="246"/>
      <c r="M989" s="246"/>
    </row>
    <row r="990" spans="2:13" s="204" customFormat="1" x14ac:dyDescent="0.25">
      <c r="B990" s="246"/>
      <c r="C990" s="246"/>
      <c r="D990" s="246"/>
      <c r="E990" s="246"/>
      <c r="F990" s="246"/>
      <c r="G990" s="246"/>
      <c r="H990" s="246"/>
      <c r="I990" s="246"/>
      <c r="J990" s="246"/>
      <c r="K990" s="299"/>
      <c r="L990" s="246"/>
      <c r="M990" s="246"/>
    </row>
    <row r="991" spans="2:13" s="204" customFormat="1" x14ac:dyDescent="0.25">
      <c r="B991" s="246"/>
      <c r="C991" s="246"/>
      <c r="D991" s="246"/>
      <c r="E991" s="246"/>
      <c r="F991" s="246"/>
      <c r="G991" s="246"/>
      <c r="H991" s="246"/>
      <c r="I991" s="246"/>
      <c r="J991" s="246"/>
      <c r="K991" s="299"/>
      <c r="L991" s="246"/>
      <c r="M991" s="246"/>
    </row>
    <row r="992" spans="2:13" s="204" customFormat="1" x14ac:dyDescent="0.25">
      <c r="B992" s="246"/>
      <c r="C992" s="246"/>
      <c r="D992" s="246"/>
      <c r="E992" s="246"/>
      <c r="F992" s="246"/>
      <c r="G992" s="246"/>
      <c r="H992" s="246"/>
      <c r="I992" s="246"/>
      <c r="J992" s="246"/>
      <c r="K992" s="299"/>
      <c r="L992" s="246"/>
      <c r="M992" s="246"/>
    </row>
    <row r="993" spans="2:13" s="204" customFormat="1" x14ac:dyDescent="0.25">
      <c r="B993" s="246"/>
      <c r="C993" s="246"/>
      <c r="D993" s="246"/>
      <c r="E993" s="246"/>
      <c r="F993" s="246"/>
      <c r="G993" s="246"/>
      <c r="H993" s="246"/>
      <c r="I993" s="246"/>
      <c r="J993" s="246"/>
      <c r="K993" s="299"/>
      <c r="L993" s="246"/>
      <c r="M993" s="246"/>
    </row>
    <row r="994" spans="2:13" s="204" customFormat="1" x14ac:dyDescent="0.25">
      <c r="B994" s="246"/>
      <c r="C994" s="246"/>
      <c r="D994" s="246"/>
      <c r="E994" s="246"/>
      <c r="F994" s="246"/>
      <c r="G994" s="246"/>
      <c r="H994" s="246"/>
      <c r="I994" s="246"/>
      <c r="J994" s="246"/>
      <c r="K994" s="299"/>
      <c r="L994" s="246"/>
      <c r="M994" s="246"/>
    </row>
    <row r="995" spans="2:13" s="204" customFormat="1" x14ac:dyDescent="0.25">
      <c r="B995" s="246"/>
      <c r="C995" s="246"/>
      <c r="D995" s="246"/>
      <c r="E995" s="246"/>
      <c r="F995" s="246"/>
      <c r="G995" s="246"/>
      <c r="H995" s="246"/>
      <c r="I995" s="246"/>
      <c r="J995" s="246"/>
      <c r="K995" s="299"/>
      <c r="L995" s="246"/>
      <c r="M995" s="246"/>
    </row>
    <row r="996" spans="2:13" s="204" customFormat="1" x14ac:dyDescent="0.25">
      <c r="B996" s="246"/>
      <c r="C996" s="246"/>
      <c r="D996" s="246"/>
      <c r="E996" s="246"/>
      <c r="F996" s="246"/>
      <c r="G996" s="246"/>
      <c r="H996" s="246"/>
      <c r="I996" s="246"/>
      <c r="J996" s="246"/>
      <c r="K996" s="299"/>
      <c r="L996" s="246"/>
      <c r="M996" s="246"/>
    </row>
    <row r="997" spans="2:13" s="204" customFormat="1" x14ac:dyDescent="0.25">
      <c r="B997" s="246"/>
      <c r="C997" s="246"/>
      <c r="D997" s="246"/>
      <c r="E997" s="246"/>
      <c r="F997" s="246"/>
      <c r="G997" s="246"/>
      <c r="H997" s="246"/>
      <c r="I997" s="246"/>
      <c r="J997" s="246"/>
      <c r="K997" s="299"/>
      <c r="L997" s="246"/>
      <c r="M997" s="246"/>
    </row>
    <row r="998" spans="2:13" s="204" customFormat="1" x14ac:dyDescent="0.25">
      <c r="B998" s="246"/>
      <c r="C998" s="246"/>
      <c r="D998" s="246"/>
      <c r="E998" s="246"/>
      <c r="F998" s="246"/>
      <c r="G998" s="246"/>
      <c r="H998" s="246"/>
      <c r="I998" s="246"/>
      <c r="J998" s="246"/>
      <c r="K998" s="299"/>
      <c r="L998" s="246"/>
      <c r="M998" s="246"/>
    </row>
    <row r="999" spans="2:13" s="204" customFormat="1" x14ac:dyDescent="0.25">
      <c r="B999" s="246"/>
      <c r="C999" s="246"/>
      <c r="D999" s="246"/>
      <c r="E999" s="246"/>
      <c r="F999" s="246"/>
      <c r="G999" s="246"/>
      <c r="H999" s="246"/>
      <c r="I999" s="246"/>
      <c r="J999" s="246"/>
      <c r="K999" s="299"/>
      <c r="L999" s="246"/>
      <c r="M999" s="246"/>
    </row>
    <row r="1000" spans="2:13" s="204" customFormat="1" x14ac:dyDescent="0.25">
      <c r="B1000" s="246"/>
      <c r="C1000" s="246"/>
      <c r="D1000" s="246"/>
      <c r="E1000" s="246"/>
      <c r="F1000" s="246"/>
      <c r="G1000" s="246"/>
      <c r="H1000" s="246"/>
      <c r="I1000" s="246"/>
      <c r="J1000" s="246"/>
      <c r="K1000" s="299"/>
      <c r="L1000" s="246"/>
      <c r="M1000" s="246"/>
    </row>
    <row r="1001" spans="2:13" s="204" customFormat="1" x14ac:dyDescent="0.25">
      <c r="B1001" s="246"/>
      <c r="C1001" s="246"/>
      <c r="D1001" s="246"/>
      <c r="E1001" s="246"/>
      <c r="F1001" s="246"/>
      <c r="G1001" s="246"/>
      <c r="H1001" s="246"/>
      <c r="I1001" s="246"/>
      <c r="J1001" s="246"/>
      <c r="K1001" s="299"/>
      <c r="L1001" s="246"/>
      <c r="M1001" s="246"/>
    </row>
    <row r="1002" spans="2:13" s="204" customFormat="1" x14ac:dyDescent="0.25">
      <c r="B1002" s="246"/>
      <c r="C1002" s="246"/>
      <c r="D1002" s="246"/>
      <c r="E1002" s="246"/>
      <c r="F1002" s="246"/>
      <c r="G1002" s="246"/>
      <c r="H1002" s="246"/>
      <c r="I1002" s="246"/>
      <c r="J1002" s="246"/>
      <c r="K1002" s="299"/>
      <c r="L1002" s="246"/>
      <c r="M1002" s="246"/>
    </row>
    <row r="1003" spans="2:13" s="204" customFormat="1" x14ac:dyDescent="0.25">
      <c r="B1003" s="246"/>
      <c r="C1003" s="246"/>
      <c r="D1003" s="246"/>
      <c r="E1003" s="246"/>
      <c r="F1003" s="246"/>
      <c r="G1003" s="246"/>
      <c r="H1003" s="246"/>
      <c r="I1003" s="246"/>
      <c r="J1003" s="246"/>
      <c r="K1003" s="299"/>
      <c r="L1003" s="246"/>
      <c r="M1003" s="246"/>
    </row>
    <row r="1004" spans="2:13" s="204" customFormat="1" x14ac:dyDescent="0.25">
      <c r="B1004" s="246"/>
      <c r="C1004" s="246"/>
      <c r="D1004" s="246"/>
      <c r="E1004" s="246"/>
      <c r="F1004" s="246"/>
      <c r="G1004" s="246"/>
      <c r="H1004" s="246"/>
      <c r="I1004" s="246"/>
      <c r="J1004" s="246"/>
      <c r="K1004" s="299"/>
      <c r="L1004" s="246"/>
      <c r="M1004" s="246"/>
    </row>
    <row r="1005" spans="2:13" s="204" customFormat="1" x14ac:dyDescent="0.25">
      <c r="B1005" s="246"/>
      <c r="C1005" s="246"/>
      <c r="D1005" s="246"/>
      <c r="E1005" s="246"/>
      <c r="F1005" s="246"/>
      <c r="G1005" s="246"/>
      <c r="H1005" s="246"/>
      <c r="I1005" s="246"/>
      <c r="J1005" s="246"/>
      <c r="K1005" s="299"/>
      <c r="L1005" s="246"/>
      <c r="M1005" s="246"/>
    </row>
    <row r="1006" spans="2:13" s="204" customFormat="1" x14ac:dyDescent="0.25">
      <c r="B1006" s="246"/>
      <c r="C1006" s="246"/>
      <c r="D1006" s="246"/>
      <c r="E1006" s="246"/>
      <c r="F1006" s="246"/>
      <c r="G1006" s="246"/>
      <c r="H1006" s="246"/>
      <c r="I1006" s="246"/>
      <c r="J1006" s="246"/>
      <c r="K1006" s="299"/>
      <c r="L1006" s="246"/>
      <c r="M1006" s="246"/>
    </row>
    <row r="1007" spans="2:13" s="204" customFormat="1" x14ac:dyDescent="0.25">
      <c r="B1007" s="246"/>
      <c r="C1007" s="246"/>
      <c r="D1007" s="246"/>
      <c r="E1007" s="246"/>
      <c r="F1007" s="246"/>
      <c r="G1007" s="246"/>
      <c r="H1007" s="246"/>
      <c r="I1007" s="246"/>
      <c r="J1007" s="246"/>
      <c r="K1007" s="299"/>
      <c r="L1007" s="246"/>
      <c r="M1007" s="246"/>
    </row>
    <row r="1008" spans="2:13" s="204" customFormat="1" x14ac:dyDescent="0.25">
      <c r="B1008" s="246"/>
      <c r="C1008" s="246"/>
      <c r="D1008" s="246"/>
      <c r="E1008" s="246"/>
      <c r="F1008" s="246"/>
      <c r="G1008" s="246"/>
      <c r="H1008" s="246"/>
      <c r="I1008" s="246"/>
      <c r="J1008" s="246"/>
      <c r="K1008" s="299"/>
      <c r="L1008" s="246"/>
      <c r="M1008" s="246"/>
    </row>
    <row r="1009" spans="2:13" s="204" customFormat="1" x14ac:dyDescent="0.25">
      <c r="B1009" s="246"/>
      <c r="C1009" s="246"/>
      <c r="D1009" s="246"/>
      <c r="E1009" s="246"/>
      <c r="F1009" s="246"/>
      <c r="G1009" s="246"/>
      <c r="H1009" s="246"/>
      <c r="I1009" s="246"/>
      <c r="J1009" s="246"/>
      <c r="K1009" s="299"/>
      <c r="L1009" s="246"/>
      <c r="M1009" s="246"/>
    </row>
    <row r="1010" spans="2:13" s="204" customFormat="1" x14ac:dyDescent="0.25">
      <c r="B1010" s="246"/>
      <c r="C1010" s="246"/>
      <c r="D1010" s="246"/>
      <c r="E1010" s="246"/>
      <c r="F1010" s="246"/>
      <c r="G1010" s="246"/>
      <c r="H1010" s="246"/>
      <c r="I1010" s="246"/>
      <c r="J1010" s="246"/>
      <c r="K1010" s="299"/>
      <c r="L1010" s="246"/>
      <c r="M1010" s="246"/>
    </row>
    <row r="1011" spans="2:13" s="204" customFormat="1" x14ac:dyDescent="0.25">
      <c r="B1011" s="246"/>
      <c r="C1011" s="246"/>
      <c r="D1011" s="246"/>
      <c r="E1011" s="246"/>
      <c r="F1011" s="246"/>
      <c r="G1011" s="246"/>
      <c r="H1011" s="246"/>
      <c r="I1011" s="246"/>
      <c r="J1011" s="246"/>
      <c r="K1011" s="299"/>
      <c r="L1011" s="246"/>
      <c r="M1011" s="246"/>
    </row>
    <row r="1012" spans="2:13" s="204" customFormat="1" x14ac:dyDescent="0.25">
      <c r="B1012" s="246"/>
      <c r="C1012" s="246"/>
      <c r="D1012" s="246"/>
      <c r="E1012" s="246"/>
      <c r="F1012" s="246"/>
      <c r="G1012" s="246"/>
      <c r="H1012" s="246"/>
      <c r="I1012" s="246"/>
      <c r="J1012" s="246"/>
      <c r="K1012" s="299"/>
      <c r="L1012" s="246"/>
      <c r="M1012" s="246"/>
    </row>
    <row r="1013" spans="2:13" s="204" customFormat="1" x14ac:dyDescent="0.25">
      <c r="B1013" s="246"/>
      <c r="C1013" s="246"/>
      <c r="D1013" s="246"/>
      <c r="E1013" s="246"/>
      <c r="F1013" s="246"/>
      <c r="G1013" s="246"/>
      <c r="H1013" s="246"/>
      <c r="I1013" s="246"/>
      <c r="J1013" s="246"/>
      <c r="K1013" s="299"/>
      <c r="L1013" s="246"/>
      <c r="M1013" s="246"/>
    </row>
    <row r="1014" spans="2:13" s="204" customFormat="1" x14ac:dyDescent="0.25">
      <c r="B1014" s="246"/>
      <c r="C1014" s="246"/>
      <c r="D1014" s="246"/>
      <c r="E1014" s="246"/>
      <c r="F1014" s="246"/>
      <c r="G1014" s="246"/>
      <c r="H1014" s="246"/>
      <c r="I1014" s="246"/>
      <c r="J1014" s="246"/>
      <c r="K1014" s="299"/>
      <c r="L1014" s="246"/>
      <c r="M1014" s="246"/>
    </row>
    <row r="1015" spans="2:13" s="204" customFormat="1" x14ac:dyDescent="0.25">
      <c r="B1015" s="246"/>
      <c r="C1015" s="246"/>
      <c r="D1015" s="246"/>
      <c r="E1015" s="246"/>
      <c r="F1015" s="246"/>
      <c r="G1015" s="246"/>
      <c r="H1015" s="246"/>
      <c r="I1015" s="246"/>
      <c r="J1015" s="246"/>
      <c r="K1015" s="299"/>
      <c r="L1015" s="246"/>
      <c r="M1015" s="246"/>
    </row>
    <row r="1016" spans="2:13" s="204" customFormat="1" x14ac:dyDescent="0.25">
      <c r="B1016" s="246"/>
      <c r="C1016" s="246"/>
      <c r="D1016" s="246"/>
      <c r="E1016" s="246"/>
      <c r="F1016" s="246"/>
      <c r="G1016" s="246"/>
      <c r="H1016" s="246"/>
      <c r="I1016" s="246"/>
      <c r="J1016" s="246"/>
      <c r="K1016" s="299"/>
      <c r="L1016" s="246"/>
      <c r="M1016" s="246"/>
    </row>
    <row r="1017" spans="2:13" s="204" customFormat="1" x14ac:dyDescent="0.25">
      <c r="B1017" s="246"/>
      <c r="C1017" s="246"/>
      <c r="D1017" s="246"/>
      <c r="E1017" s="246"/>
      <c r="F1017" s="246"/>
      <c r="G1017" s="246"/>
      <c r="H1017" s="246"/>
      <c r="I1017" s="246"/>
      <c r="J1017" s="246"/>
      <c r="K1017" s="299"/>
      <c r="L1017" s="246"/>
      <c r="M1017" s="246"/>
    </row>
    <row r="1018" spans="2:13" s="204" customFormat="1" x14ac:dyDescent="0.25">
      <c r="B1018" s="246"/>
      <c r="C1018" s="246"/>
      <c r="D1018" s="246"/>
      <c r="E1018" s="246"/>
      <c r="F1018" s="246"/>
      <c r="G1018" s="246"/>
      <c r="H1018" s="246"/>
      <c r="I1018" s="246"/>
      <c r="J1018" s="246"/>
      <c r="K1018" s="299"/>
      <c r="L1018" s="246"/>
      <c r="M1018" s="246"/>
    </row>
    <row r="1019" spans="2:13" s="204" customFormat="1" x14ac:dyDescent="0.25">
      <c r="B1019" s="246"/>
      <c r="C1019" s="246"/>
      <c r="D1019" s="246"/>
      <c r="E1019" s="246"/>
      <c r="F1019" s="246"/>
      <c r="G1019" s="246"/>
      <c r="H1019" s="246"/>
      <c r="I1019" s="246"/>
      <c r="J1019" s="246"/>
      <c r="K1019" s="299"/>
      <c r="L1019" s="246"/>
      <c r="M1019" s="246"/>
    </row>
    <row r="1020" spans="2:13" s="204" customFormat="1" x14ac:dyDescent="0.25">
      <c r="B1020" s="246"/>
      <c r="C1020" s="246"/>
      <c r="D1020" s="246"/>
      <c r="E1020" s="246"/>
      <c r="F1020" s="246"/>
      <c r="G1020" s="246"/>
      <c r="H1020" s="246"/>
      <c r="I1020" s="246"/>
      <c r="J1020" s="246"/>
      <c r="K1020" s="299"/>
      <c r="L1020" s="246"/>
      <c r="M1020" s="246"/>
    </row>
    <row r="1021" spans="2:13" s="204" customFormat="1" x14ac:dyDescent="0.25">
      <c r="B1021" s="246"/>
      <c r="C1021" s="246"/>
      <c r="D1021" s="246"/>
      <c r="E1021" s="246"/>
      <c r="F1021" s="246"/>
      <c r="G1021" s="246"/>
      <c r="H1021" s="246"/>
      <c r="I1021" s="246"/>
      <c r="J1021" s="246"/>
      <c r="K1021" s="299"/>
      <c r="L1021" s="246"/>
      <c r="M1021" s="246"/>
    </row>
    <row r="1022" spans="2:13" s="204" customFormat="1" x14ac:dyDescent="0.25">
      <c r="B1022" s="246"/>
      <c r="C1022" s="246"/>
      <c r="D1022" s="246"/>
      <c r="E1022" s="246"/>
      <c r="F1022" s="246"/>
      <c r="G1022" s="246"/>
      <c r="H1022" s="246"/>
      <c r="I1022" s="246"/>
      <c r="J1022" s="246"/>
      <c r="K1022" s="299"/>
      <c r="L1022" s="246"/>
      <c r="M1022" s="246"/>
    </row>
    <row r="1023" spans="2:13" s="204" customFormat="1" x14ac:dyDescent="0.25">
      <c r="B1023" s="246"/>
      <c r="C1023" s="246"/>
      <c r="D1023" s="246"/>
      <c r="E1023" s="246"/>
      <c r="F1023" s="246"/>
      <c r="G1023" s="246"/>
      <c r="H1023" s="246"/>
      <c r="I1023" s="246"/>
      <c r="J1023" s="246"/>
      <c r="K1023" s="299"/>
      <c r="L1023" s="246"/>
      <c r="M1023" s="246"/>
    </row>
    <row r="1024" spans="2:13" s="204" customFormat="1" x14ac:dyDescent="0.25">
      <c r="B1024" s="246"/>
      <c r="C1024" s="246"/>
      <c r="D1024" s="246"/>
      <c r="E1024" s="246"/>
      <c r="F1024" s="246"/>
      <c r="G1024" s="246"/>
      <c r="H1024" s="246"/>
      <c r="I1024" s="246"/>
      <c r="J1024" s="246"/>
      <c r="K1024" s="299"/>
      <c r="L1024" s="246"/>
      <c r="M1024" s="246"/>
    </row>
    <row r="1025" spans="2:13" s="204" customFormat="1" x14ac:dyDescent="0.25">
      <c r="B1025" s="246"/>
      <c r="C1025" s="246"/>
      <c r="D1025" s="246"/>
      <c r="E1025" s="246"/>
      <c r="F1025" s="246"/>
      <c r="G1025" s="246"/>
      <c r="H1025" s="246"/>
      <c r="I1025" s="246"/>
      <c r="J1025" s="246"/>
      <c r="K1025" s="299"/>
      <c r="L1025" s="246"/>
      <c r="M1025" s="246"/>
    </row>
    <row r="1026" spans="2:13" s="204" customFormat="1" x14ac:dyDescent="0.25">
      <c r="B1026" s="246"/>
      <c r="C1026" s="246"/>
      <c r="D1026" s="246"/>
      <c r="E1026" s="246"/>
      <c r="F1026" s="246"/>
      <c r="G1026" s="246"/>
      <c r="H1026" s="246"/>
      <c r="I1026" s="246"/>
      <c r="J1026" s="246"/>
      <c r="K1026" s="299"/>
      <c r="L1026" s="246"/>
      <c r="M1026" s="246"/>
    </row>
    <row r="1027" spans="2:13" s="204" customFormat="1" x14ac:dyDescent="0.25">
      <c r="B1027" s="246"/>
      <c r="C1027" s="246"/>
      <c r="D1027" s="246"/>
      <c r="E1027" s="246"/>
      <c r="F1027" s="246"/>
      <c r="G1027" s="246"/>
      <c r="H1027" s="246"/>
      <c r="I1027" s="246"/>
      <c r="J1027" s="246"/>
      <c r="K1027" s="299"/>
      <c r="L1027" s="246"/>
      <c r="M1027" s="246"/>
    </row>
    <row r="1028" spans="2:13" s="204" customFormat="1" x14ac:dyDescent="0.25">
      <c r="B1028" s="246"/>
      <c r="C1028" s="246"/>
      <c r="D1028" s="246"/>
      <c r="E1028" s="246"/>
      <c r="F1028" s="246"/>
      <c r="G1028" s="246"/>
      <c r="H1028" s="246"/>
      <c r="I1028" s="246"/>
      <c r="J1028" s="246"/>
      <c r="K1028" s="299"/>
      <c r="L1028" s="246"/>
      <c r="M1028" s="246"/>
    </row>
    <row r="1029" spans="2:13" s="204" customFormat="1" x14ac:dyDescent="0.25">
      <c r="B1029" s="246"/>
      <c r="C1029" s="246"/>
      <c r="D1029" s="246"/>
      <c r="E1029" s="246"/>
      <c r="F1029" s="246"/>
      <c r="G1029" s="246"/>
      <c r="H1029" s="246"/>
      <c r="I1029" s="246"/>
      <c r="J1029" s="246"/>
      <c r="K1029" s="299"/>
      <c r="L1029" s="246"/>
      <c r="M1029" s="246"/>
    </row>
    <row r="1030" spans="2:13" s="204" customFormat="1" x14ac:dyDescent="0.25">
      <c r="B1030" s="246"/>
      <c r="C1030" s="246"/>
      <c r="D1030" s="246"/>
      <c r="E1030" s="246"/>
      <c r="F1030" s="246"/>
      <c r="G1030" s="246"/>
      <c r="H1030" s="246"/>
      <c r="I1030" s="246"/>
      <c r="J1030" s="246"/>
      <c r="K1030" s="299"/>
      <c r="L1030" s="246"/>
      <c r="M1030" s="246"/>
    </row>
    <row r="1031" spans="2:13" s="204" customFormat="1" x14ac:dyDescent="0.25">
      <c r="B1031" s="246"/>
      <c r="C1031" s="246"/>
      <c r="D1031" s="246"/>
      <c r="E1031" s="246"/>
      <c r="F1031" s="246"/>
      <c r="G1031" s="246"/>
      <c r="H1031" s="246"/>
      <c r="I1031" s="246"/>
      <c r="J1031" s="246"/>
      <c r="K1031" s="299"/>
      <c r="L1031" s="246"/>
      <c r="M1031" s="246"/>
    </row>
    <row r="1032" spans="2:13" s="204" customFormat="1" x14ac:dyDescent="0.25">
      <c r="B1032" s="246"/>
      <c r="C1032" s="246"/>
      <c r="D1032" s="246"/>
      <c r="E1032" s="246"/>
      <c r="F1032" s="246"/>
      <c r="G1032" s="246"/>
      <c r="H1032" s="246"/>
      <c r="I1032" s="246"/>
      <c r="J1032" s="246"/>
      <c r="K1032" s="299"/>
      <c r="L1032" s="246"/>
      <c r="M1032" s="246"/>
    </row>
    <row r="1033" spans="2:13" s="204" customFormat="1" x14ac:dyDescent="0.25">
      <c r="B1033" s="246"/>
      <c r="C1033" s="246"/>
      <c r="D1033" s="246"/>
      <c r="E1033" s="246"/>
      <c r="F1033" s="246"/>
      <c r="G1033" s="246"/>
      <c r="H1033" s="246"/>
      <c r="I1033" s="246"/>
      <c r="J1033" s="246"/>
      <c r="K1033" s="299"/>
      <c r="L1033" s="246"/>
      <c r="M1033" s="246"/>
    </row>
    <row r="1034" spans="2:13" s="204" customFormat="1" x14ac:dyDescent="0.25">
      <c r="B1034" s="246"/>
      <c r="C1034" s="246"/>
      <c r="D1034" s="246"/>
      <c r="E1034" s="246"/>
      <c r="F1034" s="246"/>
      <c r="G1034" s="246"/>
      <c r="H1034" s="246"/>
      <c r="I1034" s="246"/>
      <c r="J1034" s="246"/>
      <c r="K1034" s="299"/>
      <c r="L1034" s="246"/>
      <c r="M1034" s="246"/>
    </row>
    <row r="1035" spans="2:13" s="204" customFormat="1" x14ac:dyDescent="0.25">
      <c r="B1035" s="246"/>
      <c r="C1035" s="246"/>
      <c r="D1035" s="246"/>
      <c r="E1035" s="246"/>
      <c r="F1035" s="246"/>
      <c r="G1035" s="246"/>
      <c r="H1035" s="246"/>
      <c r="I1035" s="246"/>
      <c r="J1035" s="246"/>
      <c r="K1035" s="299"/>
      <c r="L1035" s="246"/>
      <c r="M1035" s="246"/>
    </row>
    <row r="1036" spans="2:13" s="204" customFormat="1" x14ac:dyDescent="0.25">
      <c r="B1036" s="246"/>
      <c r="C1036" s="246"/>
      <c r="D1036" s="246"/>
      <c r="E1036" s="246"/>
      <c r="F1036" s="246"/>
      <c r="G1036" s="246"/>
      <c r="H1036" s="246"/>
      <c r="I1036" s="246"/>
      <c r="J1036" s="246"/>
      <c r="K1036" s="299"/>
      <c r="L1036" s="246"/>
      <c r="M1036" s="246"/>
    </row>
    <row r="1037" spans="2:13" s="204" customFormat="1" x14ac:dyDescent="0.25">
      <c r="B1037" s="246"/>
      <c r="C1037" s="246"/>
      <c r="D1037" s="246"/>
      <c r="E1037" s="246"/>
      <c r="F1037" s="246"/>
      <c r="G1037" s="246"/>
      <c r="H1037" s="246"/>
      <c r="I1037" s="246"/>
      <c r="J1037" s="246"/>
      <c r="K1037" s="299"/>
      <c r="L1037" s="246"/>
      <c r="M1037" s="246"/>
    </row>
    <row r="1038" spans="2:13" s="204" customFormat="1" x14ac:dyDescent="0.25">
      <c r="B1038" s="246"/>
      <c r="C1038" s="246"/>
      <c r="D1038" s="246"/>
      <c r="E1038" s="246"/>
      <c r="F1038" s="246"/>
      <c r="G1038" s="246"/>
      <c r="H1038" s="246"/>
      <c r="I1038" s="246"/>
      <c r="J1038" s="246"/>
      <c r="K1038" s="299"/>
      <c r="L1038" s="246"/>
      <c r="M1038" s="246"/>
    </row>
    <row r="1039" spans="2:13" s="204" customFormat="1" x14ac:dyDescent="0.25">
      <c r="B1039" s="246"/>
      <c r="C1039" s="246"/>
      <c r="D1039" s="246"/>
      <c r="E1039" s="246"/>
      <c r="F1039" s="246"/>
      <c r="G1039" s="246"/>
      <c r="H1039" s="246"/>
      <c r="I1039" s="246"/>
      <c r="J1039" s="246"/>
      <c r="K1039" s="299"/>
      <c r="L1039" s="246"/>
      <c r="M1039" s="246"/>
    </row>
    <row r="1040" spans="2:13" s="204" customFormat="1" x14ac:dyDescent="0.25">
      <c r="B1040" s="246"/>
      <c r="C1040" s="246"/>
      <c r="D1040" s="246"/>
      <c r="E1040" s="246"/>
      <c r="F1040" s="246"/>
      <c r="G1040" s="246"/>
      <c r="H1040" s="246"/>
      <c r="I1040" s="246"/>
      <c r="J1040" s="246"/>
      <c r="K1040" s="299"/>
      <c r="L1040" s="246"/>
      <c r="M1040" s="246"/>
    </row>
    <row r="1041" spans="2:13" s="204" customFormat="1" x14ac:dyDescent="0.25">
      <c r="B1041" s="246"/>
      <c r="C1041" s="246"/>
      <c r="D1041" s="246"/>
      <c r="E1041" s="246"/>
      <c r="F1041" s="246"/>
      <c r="G1041" s="246"/>
      <c r="H1041" s="246"/>
      <c r="I1041" s="246"/>
      <c r="J1041" s="246"/>
      <c r="K1041" s="299"/>
      <c r="L1041" s="246"/>
      <c r="M1041" s="246"/>
    </row>
    <row r="1042" spans="2:13" s="204" customFormat="1" x14ac:dyDescent="0.25">
      <c r="B1042" s="246"/>
      <c r="C1042" s="246"/>
      <c r="D1042" s="246"/>
      <c r="E1042" s="246"/>
      <c r="F1042" s="246"/>
      <c r="G1042" s="246"/>
      <c r="H1042" s="246"/>
      <c r="I1042" s="246"/>
      <c r="J1042" s="246"/>
      <c r="K1042" s="299"/>
      <c r="L1042" s="246"/>
      <c r="M1042" s="246"/>
    </row>
    <row r="1043" spans="2:13" s="204" customFormat="1" x14ac:dyDescent="0.25">
      <c r="B1043" s="246"/>
      <c r="C1043" s="246"/>
      <c r="D1043" s="246"/>
      <c r="E1043" s="246"/>
      <c r="F1043" s="246"/>
      <c r="G1043" s="246"/>
      <c r="H1043" s="246"/>
      <c r="I1043" s="246"/>
      <c r="J1043" s="246"/>
      <c r="K1043" s="299"/>
      <c r="L1043" s="246"/>
      <c r="M1043" s="246"/>
    </row>
    <row r="1044" spans="2:13" s="204" customFormat="1" x14ac:dyDescent="0.25">
      <c r="B1044" s="246"/>
      <c r="C1044" s="246"/>
      <c r="D1044" s="246"/>
      <c r="E1044" s="246"/>
      <c r="F1044" s="246"/>
      <c r="G1044" s="246"/>
      <c r="H1044" s="246"/>
      <c r="I1044" s="246"/>
      <c r="J1044" s="246"/>
      <c r="K1044" s="299"/>
      <c r="L1044" s="246"/>
      <c r="M1044" s="246"/>
    </row>
    <row r="1045" spans="2:13" s="204" customFormat="1" x14ac:dyDescent="0.25">
      <c r="B1045" s="246"/>
      <c r="C1045" s="246"/>
      <c r="D1045" s="246"/>
      <c r="E1045" s="246"/>
      <c r="F1045" s="246"/>
      <c r="G1045" s="246"/>
      <c r="H1045" s="246"/>
      <c r="I1045" s="246"/>
      <c r="J1045" s="246"/>
      <c r="K1045" s="299"/>
      <c r="L1045" s="246"/>
      <c r="M1045" s="246"/>
    </row>
    <row r="1046" spans="2:13" s="204" customFormat="1" x14ac:dyDescent="0.25">
      <c r="B1046" s="246"/>
      <c r="C1046" s="246"/>
      <c r="D1046" s="246"/>
      <c r="E1046" s="246"/>
      <c r="F1046" s="246"/>
      <c r="G1046" s="246"/>
      <c r="H1046" s="246"/>
      <c r="I1046" s="246"/>
      <c r="J1046" s="246"/>
      <c r="K1046" s="299"/>
      <c r="L1046" s="246"/>
      <c r="M1046" s="246"/>
    </row>
    <row r="1047" spans="2:13" s="204" customFormat="1" x14ac:dyDescent="0.25">
      <c r="B1047" s="246"/>
      <c r="C1047" s="246"/>
      <c r="D1047" s="246"/>
      <c r="E1047" s="246"/>
      <c r="F1047" s="246"/>
      <c r="G1047" s="246"/>
      <c r="H1047" s="246"/>
      <c r="I1047" s="246"/>
      <c r="J1047" s="246"/>
      <c r="K1047" s="299"/>
      <c r="L1047" s="246"/>
      <c r="M1047" s="246"/>
    </row>
    <row r="1048" spans="2:13" s="204" customFormat="1" x14ac:dyDescent="0.25">
      <c r="B1048" s="246"/>
      <c r="C1048" s="246"/>
      <c r="D1048" s="246"/>
      <c r="E1048" s="246"/>
      <c r="F1048" s="246"/>
      <c r="G1048" s="246"/>
      <c r="H1048" s="246"/>
      <c r="I1048" s="246"/>
      <c r="J1048" s="246"/>
      <c r="K1048" s="299"/>
      <c r="L1048" s="246"/>
      <c r="M1048" s="246"/>
    </row>
    <row r="1049" spans="2:13" s="204" customFormat="1" x14ac:dyDescent="0.25">
      <c r="B1049" s="246"/>
      <c r="C1049" s="246"/>
      <c r="D1049" s="246"/>
      <c r="E1049" s="246"/>
      <c r="F1049" s="246"/>
      <c r="G1049" s="246"/>
      <c r="H1049" s="246"/>
      <c r="I1049" s="246"/>
      <c r="J1049" s="246"/>
      <c r="K1049" s="299"/>
      <c r="L1049" s="246"/>
      <c r="M1049" s="246"/>
    </row>
    <row r="1050" spans="2:13" s="204" customFormat="1" x14ac:dyDescent="0.25">
      <c r="B1050" s="246"/>
      <c r="C1050" s="246"/>
      <c r="D1050" s="246"/>
      <c r="E1050" s="246"/>
      <c r="F1050" s="246"/>
      <c r="G1050" s="246"/>
      <c r="H1050" s="246"/>
      <c r="I1050" s="246"/>
      <c r="J1050" s="246"/>
      <c r="K1050" s="299"/>
      <c r="L1050" s="246"/>
      <c r="M1050" s="246"/>
    </row>
    <row r="1051" spans="2:13" s="204" customFormat="1" x14ac:dyDescent="0.25">
      <c r="B1051" s="246"/>
      <c r="C1051" s="246"/>
      <c r="D1051" s="246"/>
      <c r="E1051" s="246"/>
      <c r="F1051" s="246"/>
      <c r="G1051" s="246"/>
      <c r="H1051" s="246"/>
      <c r="I1051" s="246"/>
      <c r="J1051" s="246"/>
      <c r="K1051" s="299"/>
      <c r="L1051" s="246"/>
      <c r="M1051" s="246"/>
    </row>
    <row r="1052" spans="2:13" s="204" customFormat="1" x14ac:dyDescent="0.25">
      <c r="B1052" s="246"/>
      <c r="C1052" s="246"/>
      <c r="D1052" s="246"/>
      <c r="E1052" s="246"/>
      <c r="F1052" s="246"/>
      <c r="G1052" s="246"/>
      <c r="H1052" s="246"/>
      <c r="I1052" s="246"/>
      <c r="J1052" s="246"/>
      <c r="K1052" s="299"/>
      <c r="L1052" s="246"/>
      <c r="M1052" s="246"/>
    </row>
    <row r="1053" spans="2:13" s="204" customFormat="1" x14ac:dyDescent="0.25">
      <c r="B1053" s="246"/>
      <c r="C1053" s="246"/>
      <c r="D1053" s="246"/>
      <c r="E1053" s="246"/>
      <c r="F1053" s="246"/>
      <c r="G1053" s="246"/>
      <c r="H1053" s="246"/>
      <c r="I1053" s="246"/>
      <c r="J1053" s="246"/>
      <c r="K1053" s="299"/>
      <c r="L1053" s="246"/>
      <c r="M1053" s="246"/>
    </row>
    <row r="1054" spans="2:13" s="204" customFormat="1" x14ac:dyDescent="0.25">
      <c r="B1054" s="246"/>
      <c r="C1054" s="246"/>
      <c r="D1054" s="246"/>
      <c r="E1054" s="246"/>
      <c r="F1054" s="246"/>
      <c r="G1054" s="246"/>
      <c r="H1054" s="246"/>
      <c r="I1054" s="246"/>
      <c r="J1054" s="246"/>
      <c r="K1054" s="299"/>
      <c r="L1054" s="246"/>
      <c r="M1054" s="246"/>
    </row>
    <row r="1055" spans="2:13" s="204" customFormat="1" x14ac:dyDescent="0.25">
      <c r="B1055" s="246"/>
      <c r="C1055" s="246"/>
      <c r="D1055" s="246"/>
      <c r="E1055" s="246"/>
      <c r="F1055" s="246"/>
      <c r="G1055" s="246"/>
      <c r="H1055" s="246"/>
      <c r="I1055" s="246"/>
      <c r="J1055" s="246"/>
      <c r="K1055" s="299"/>
      <c r="L1055" s="246"/>
      <c r="M1055" s="246"/>
    </row>
    <row r="1056" spans="2:13" s="204" customFormat="1" x14ac:dyDescent="0.25">
      <c r="B1056" s="246"/>
      <c r="C1056" s="246"/>
      <c r="D1056" s="246"/>
      <c r="E1056" s="246"/>
      <c r="F1056" s="246"/>
      <c r="G1056" s="246"/>
      <c r="H1056" s="246"/>
      <c r="I1056" s="246"/>
      <c r="J1056" s="246"/>
      <c r="K1056" s="299"/>
      <c r="L1056" s="246"/>
      <c r="M1056" s="246"/>
    </row>
    <row r="1057" spans="2:13" s="204" customFormat="1" x14ac:dyDescent="0.25">
      <c r="B1057" s="246"/>
      <c r="C1057" s="246"/>
      <c r="D1057" s="246"/>
      <c r="E1057" s="246"/>
      <c r="F1057" s="246"/>
      <c r="G1057" s="246"/>
      <c r="H1057" s="246"/>
      <c r="I1057" s="246"/>
      <c r="J1057" s="246"/>
      <c r="K1057" s="299"/>
      <c r="L1057" s="246"/>
      <c r="M1057" s="246"/>
    </row>
    <row r="1058" spans="2:13" s="204" customFormat="1" x14ac:dyDescent="0.25">
      <c r="B1058" s="246"/>
      <c r="C1058" s="246"/>
      <c r="D1058" s="246"/>
      <c r="E1058" s="246"/>
      <c r="F1058" s="246"/>
      <c r="G1058" s="246"/>
      <c r="H1058" s="246"/>
      <c r="I1058" s="246"/>
      <c r="J1058" s="246"/>
      <c r="K1058" s="299"/>
      <c r="L1058" s="246"/>
      <c r="M1058" s="246"/>
    </row>
    <row r="1059" spans="2:13" s="204" customFormat="1" x14ac:dyDescent="0.25">
      <c r="B1059" s="246"/>
      <c r="C1059" s="246"/>
      <c r="D1059" s="246"/>
      <c r="E1059" s="246"/>
      <c r="F1059" s="246"/>
      <c r="G1059" s="246"/>
      <c r="H1059" s="246"/>
      <c r="I1059" s="246"/>
      <c r="J1059" s="246"/>
      <c r="K1059" s="299"/>
      <c r="L1059" s="246"/>
      <c r="M1059" s="246"/>
    </row>
    <row r="1060" spans="2:13" s="204" customFormat="1" x14ac:dyDescent="0.25">
      <c r="B1060" s="246"/>
      <c r="C1060" s="246"/>
      <c r="D1060" s="246"/>
      <c r="E1060" s="246"/>
      <c r="F1060" s="246"/>
      <c r="G1060" s="246"/>
      <c r="H1060" s="246"/>
      <c r="I1060" s="246"/>
      <c r="J1060" s="246"/>
      <c r="K1060" s="299"/>
      <c r="L1060" s="246"/>
      <c r="M1060" s="246"/>
    </row>
    <row r="1061" spans="2:13" s="204" customFormat="1" x14ac:dyDescent="0.25">
      <c r="B1061" s="246"/>
      <c r="C1061" s="246"/>
      <c r="D1061" s="246"/>
      <c r="E1061" s="246"/>
      <c r="F1061" s="246"/>
      <c r="G1061" s="246"/>
      <c r="H1061" s="246"/>
      <c r="I1061" s="246"/>
      <c r="J1061" s="246"/>
      <c r="K1061" s="299"/>
      <c r="L1061" s="246"/>
      <c r="M1061" s="246"/>
    </row>
    <row r="1062" spans="2:13" s="204" customFormat="1" x14ac:dyDescent="0.25">
      <c r="B1062" s="246"/>
      <c r="C1062" s="246"/>
      <c r="D1062" s="246"/>
      <c r="E1062" s="246"/>
      <c r="F1062" s="246"/>
      <c r="G1062" s="246"/>
      <c r="H1062" s="246"/>
      <c r="I1062" s="246"/>
      <c r="J1062" s="246"/>
      <c r="K1062" s="299"/>
      <c r="L1062" s="246"/>
      <c r="M1062" s="246"/>
    </row>
    <row r="1063" spans="2:13" s="204" customFormat="1" x14ac:dyDescent="0.25">
      <c r="B1063" s="246"/>
      <c r="C1063" s="246"/>
      <c r="D1063" s="246"/>
      <c r="E1063" s="246"/>
      <c r="F1063" s="246"/>
      <c r="G1063" s="246"/>
      <c r="H1063" s="246"/>
      <c r="I1063" s="246"/>
      <c r="J1063" s="246"/>
      <c r="K1063" s="299"/>
      <c r="L1063" s="246"/>
      <c r="M1063" s="246"/>
    </row>
    <row r="1064" spans="2:13" s="204" customFormat="1" x14ac:dyDescent="0.25">
      <c r="B1064" s="246"/>
      <c r="C1064" s="246"/>
      <c r="D1064" s="246"/>
      <c r="E1064" s="246"/>
      <c r="F1064" s="246"/>
      <c r="G1064" s="246"/>
      <c r="H1064" s="246"/>
      <c r="I1064" s="246"/>
      <c r="J1064" s="246"/>
      <c r="K1064" s="299"/>
      <c r="L1064" s="246"/>
      <c r="M1064" s="246"/>
    </row>
    <row r="1065" spans="2:13" s="204" customFormat="1" x14ac:dyDescent="0.25">
      <c r="B1065" s="246"/>
      <c r="C1065" s="246"/>
      <c r="D1065" s="246"/>
      <c r="E1065" s="246"/>
      <c r="F1065" s="246"/>
      <c r="G1065" s="246"/>
      <c r="H1065" s="246"/>
      <c r="I1065" s="246"/>
      <c r="J1065" s="246"/>
      <c r="K1065" s="299"/>
      <c r="L1065" s="246"/>
      <c r="M1065" s="246"/>
    </row>
    <row r="1066" spans="2:13" s="204" customFormat="1" x14ac:dyDescent="0.25">
      <c r="B1066" s="246"/>
      <c r="C1066" s="246"/>
      <c r="D1066" s="246"/>
      <c r="E1066" s="246"/>
      <c r="F1066" s="246"/>
      <c r="G1066" s="246"/>
      <c r="H1066" s="246"/>
      <c r="I1066" s="246"/>
      <c r="J1066" s="246"/>
      <c r="K1066" s="299"/>
      <c r="L1066" s="246"/>
      <c r="M1066" s="246"/>
    </row>
    <row r="1067" spans="2:13" s="204" customFormat="1" x14ac:dyDescent="0.25">
      <c r="B1067" s="246"/>
      <c r="C1067" s="246"/>
      <c r="D1067" s="246"/>
      <c r="E1067" s="246"/>
      <c r="F1067" s="246"/>
      <c r="G1067" s="246"/>
      <c r="H1067" s="246"/>
      <c r="I1067" s="246"/>
      <c r="J1067" s="246"/>
      <c r="K1067" s="299"/>
      <c r="L1067" s="246"/>
      <c r="M1067" s="246"/>
    </row>
    <row r="1068" spans="2:13" s="204" customFormat="1" x14ac:dyDescent="0.25">
      <c r="B1068" s="246"/>
      <c r="C1068" s="246"/>
      <c r="D1068" s="246"/>
      <c r="E1068" s="246"/>
      <c r="F1068" s="246"/>
      <c r="G1068" s="246"/>
      <c r="H1068" s="246"/>
      <c r="I1068" s="246"/>
      <c r="J1068" s="246"/>
      <c r="K1068" s="299"/>
      <c r="L1068" s="246"/>
      <c r="M1068" s="246"/>
    </row>
    <row r="1069" spans="2:13" s="204" customFormat="1" x14ac:dyDescent="0.25">
      <c r="B1069" s="246"/>
      <c r="C1069" s="246"/>
      <c r="D1069" s="246"/>
      <c r="E1069" s="246"/>
      <c r="F1069" s="246"/>
      <c r="G1069" s="246"/>
      <c r="H1069" s="246"/>
      <c r="I1069" s="246"/>
      <c r="J1069" s="246"/>
      <c r="K1069" s="299"/>
      <c r="L1069" s="246"/>
      <c r="M1069" s="246"/>
    </row>
    <row r="1070" spans="2:13" s="204" customFormat="1" x14ac:dyDescent="0.25">
      <c r="B1070" s="246"/>
      <c r="C1070" s="246"/>
      <c r="D1070" s="246"/>
      <c r="E1070" s="246"/>
      <c r="F1070" s="246"/>
      <c r="G1070" s="246"/>
      <c r="H1070" s="246"/>
      <c r="I1070" s="246"/>
      <c r="J1070" s="246"/>
      <c r="K1070" s="299"/>
      <c r="L1070" s="246"/>
      <c r="M1070" s="246"/>
    </row>
    <row r="1071" spans="2:13" s="204" customFormat="1" x14ac:dyDescent="0.25">
      <c r="B1071" s="246"/>
      <c r="C1071" s="246"/>
      <c r="D1071" s="246"/>
      <c r="E1071" s="246"/>
      <c r="F1071" s="246"/>
      <c r="G1071" s="246"/>
      <c r="H1071" s="246"/>
      <c r="I1071" s="246"/>
      <c r="J1071" s="246"/>
      <c r="K1071" s="299"/>
      <c r="L1071" s="246"/>
      <c r="M1071" s="246"/>
    </row>
    <row r="1072" spans="2:13" s="204" customFormat="1" x14ac:dyDescent="0.25">
      <c r="B1072" s="246"/>
      <c r="C1072" s="246"/>
      <c r="D1072" s="246"/>
      <c r="E1072" s="246"/>
      <c r="F1072" s="246"/>
      <c r="G1072" s="246"/>
      <c r="H1072" s="246"/>
      <c r="I1072" s="246"/>
      <c r="J1072" s="246"/>
      <c r="K1072" s="299"/>
      <c r="L1072" s="246"/>
      <c r="M1072" s="246"/>
    </row>
    <row r="1073" spans="2:13" s="204" customFormat="1" x14ac:dyDescent="0.25">
      <c r="B1073" s="246"/>
      <c r="C1073" s="246"/>
      <c r="D1073" s="246"/>
      <c r="E1073" s="246"/>
      <c r="F1073" s="246"/>
      <c r="G1073" s="246"/>
      <c r="H1073" s="246"/>
      <c r="I1073" s="246"/>
      <c r="J1073" s="246"/>
      <c r="K1073" s="299"/>
      <c r="L1073" s="246"/>
      <c r="M1073" s="246"/>
    </row>
    <row r="1074" spans="2:13" s="204" customFormat="1" x14ac:dyDescent="0.25">
      <c r="B1074" s="246"/>
      <c r="C1074" s="246"/>
      <c r="D1074" s="246"/>
      <c r="E1074" s="246"/>
      <c r="F1074" s="246"/>
      <c r="G1074" s="246"/>
      <c r="H1074" s="246"/>
      <c r="I1074" s="246"/>
      <c r="J1074" s="246"/>
      <c r="K1074" s="299"/>
      <c r="L1074" s="246"/>
      <c r="M1074" s="246"/>
    </row>
    <row r="1075" spans="2:13" s="204" customFormat="1" x14ac:dyDescent="0.25">
      <c r="B1075" s="246"/>
      <c r="C1075" s="246"/>
      <c r="D1075" s="246"/>
      <c r="E1075" s="246"/>
      <c r="F1075" s="246"/>
      <c r="G1075" s="246"/>
      <c r="H1075" s="246"/>
      <c r="I1075" s="246"/>
      <c r="J1075" s="246"/>
      <c r="K1075" s="299"/>
      <c r="L1075" s="246"/>
      <c r="M1075" s="246"/>
    </row>
    <row r="1076" spans="2:13" s="204" customFormat="1" x14ac:dyDescent="0.25">
      <c r="B1076" s="246"/>
      <c r="C1076" s="246"/>
      <c r="D1076" s="246"/>
      <c r="E1076" s="246"/>
      <c r="F1076" s="246"/>
      <c r="G1076" s="246"/>
      <c r="H1076" s="246"/>
      <c r="I1076" s="246"/>
      <c r="J1076" s="246"/>
      <c r="K1076" s="299"/>
      <c r="L1076" s="246"/>
      <c r="M1076" s="246"/>
    </row>
    <row r="1077" spans="2:13" s="204" customFormat="1" x14ac:dyDescent="0.25">
      <c r="B1077" s="246"/>
      <c r="C1077" s="246"/>
      <c r="D1077" s="246"/>
      <c r="E1077" s="246"/>
      <c r="F1077" s="246"/>
      <c r="G1077" s="246"/>
      <c r="H1077" s="246"/>
      <c r="I1077" s="246"/>
      <c r="J1077" s="246"/>
      <c r="K1077" s="299"/>
      <c r="L1077" s="246"/>
      <c r="M1077" s="246"/>
    </row>
    <row r="1078" spans="2:13" s="204" customFormat="1" x14ac:dyDescent="0.25">
      <c r="B1078" s="246"/>
      <c r="C1078" s="246"/>
      <c r="D1078" s="246"/>
      <c r="E1078" s="246"/>
      <c r="F1078" s="246"/>
      <c r="G1078" s="246"/>
      <c r="H1078" s="246"/>
      <c r="I1078" s="246"/>
      <c r="J1078" s="246"/>
      <c r="K1078" s="299"/>
      <c r="L1078" s="246"/>
      <c r="M1078" s="246"/>
    </row>
    <row r="1079" spans="2:13" s="204" customFormat="1" x14ac:dyDescent="0.25">
      <c r="B1079" s="246"/>
      <c r="C1079" s="246"/>
      <c r="D1079" s="246"/>
      <c r="E1079" s="246"/>
      <c r="F1079" s="246"/>
      <c r="G1079" s="246"/>
      <c r="H1079" s="246"/>
      <c r="I1079" s="246"/>
      <c r="J1079" s="246"/>
      <c r="K1079" s="299"/>
      <c r="L1079" s="246"/>
      <c r="M1079" s="246"/>
    </row>
    <row r="1080" spans="2:13" s="204" customFormat="1" x14ac:dyDescent="0.25">
      <c r="B1080" s="246"/>
      <c r="C1080" s="246"/>
      <c r="D1080" s="246"/>
      <c r="E1080" s="246"/>
      <c r="F1080" s="246"/>
      <c r="G1080" s="246"/>
      <c r="H1080" s="246"/>
      <c r="I1080" s="246"/>
      <c r="J1080" s="246"/>
      <c r="K1080" s="299"/>
      <c r="L1080" s="246"/>
      <c r="M1080" s="246"/>
    </row>
    <row r="1081" spans="2:13" s="204" customFormat="1" x14ac:dyDescent="0.25">
      <c r="B1081" s="246"/>
      <c r="C1081" s="246"/>
      <c r="D1081" s="246"/>
      <c r="E1081" s="246"/>
      <c r="F1081" s="246"/>
      <c r="G1081" s="246"/>
      <c r="H1081" s="246"/>
      <c r="I1081" s="246"/>
      <c r="J1081" s="246"/>
      <c r="K1081" s="299"/>
      <c r="L1081" s="246"/>
      <c r="M1081" s="246"/>
    </row>
    <row r="1082" spans="2:13" s="204" customFormat="1" x14ac:dyDescent="0.25">
      <c r="B1082" s="246"/>
      <c r="C1082" s="246"/>
      <c r="D1082" s="246"/>
      <c r="E1082" s="246"/>
      <c r="F1082" s="246"/>
      <c r="G1082" s="246"/>
      <c r="H1082" s="246"/>
      <c r="I1082" s="246"/>
      <c r="J1082" s="246"/>
      <c r="K1082" s="299"/>
      <c r="L1082" s="246"/>
      <c r="M1082" s="246"/>
    </row>
    <row r="1083" spans="2:13" s="204" customFormat="1" x14ac:dyDescent="0.25">
      <c r="B1083" s="246"/>
      <c r="C1083" s="246"/>
      <c r="D1083" s="246"/>
      <c r="E1083" s="246"/>
      <c r="F1083" s="246"/>
      <c r="G1083" s="246"/>
      <c r="H1083" s="246"/>
      <c r="I1083" s="246"/>
      <c r="J1083" s="246"/>
      <c r="K1083" s="299"/>
      <c r="L1083" s="246"/>
      <c r="M1083" s="246"/>
    </row>
    <row r="1084" spans="2:13" s="204" customFormat="1" x14ac:dyDescent="0.25">
      <c r="B1084" s="246"/>
      <c r="C1084" s="246"/>
      <c r="D1084" s="246"/>
      <c r="E1084" s="246"/>
      <c r="F1084" s="246"/>
      <c r="G1084" s="246"/>
      <c r="H1084" s="246"/>
      <c r="I1084" s="246"/>
      <c r="J1084" s="246"/>
      <c r="K1084" s="299"/>
      <c r="L1084" s="246"/>
      <c r="M1084" s="246"/>
    </row>
    <row r="1085" spans="2:13" s="204" customFormat="1" x14ac:dyDescent="0.25">
      <c r="B1085" s="246"/>
      <c r="C1085" s="246"/>
      <c r="D1085" s="246"/>
      <c r="E1085" s="246"/>
      <c r="F1085" s="246"/>
      <c r="G1085" s="246"/>
      <c r="H1085" s="246"/>
      <c r="I1085" s="246"/>
      <c r="J1085" s="246"/>
      <c r="K1085" s="299"/>
      <c r="L1085" s="246"/>
      <c r="M1085" s="246"/>
    </row>
    <row r="1086" spans="2:13" s="204" customFormat="1" x14ac:dyDescent="0.25">
      <c r="B1086" s="246"/>
      <c r="C1086" s="246"/>
      <c r="D1086" s="246"/>
      <c r="E1086" s="246"/>
      <c r="F1086" s="246"/>
      <c r="G1086" s="246"/>
      <c r="H1086" s="246"/>
      <c r="I1086" s="246"/>
      <c r="J1086" s="246"/>
      <c r="K1086" s="299"/>
      <c r="L1086" s="246"/>
      <c r="M1086" s="246"/>
    </row>
    <row r="1087" spans="2:13" s="204" customFormat="1" x14ac:dyDescent="0.25">
      <c r="B1087" s="246"/>
      <c r="C1087" s="246"/>
      <c r="D1087" s="246"/>
      <c r="E1087" s="246"/>
      <c r="F1087" s="246"/>
      <c r="G1087" s="246"/>
      <c r="H1087" s="246"/>
      <c r="I1087" s="246"/>
      <c r="J1087" s="246"/>
      <c r="K1087" s="299"/>
      <c r="L1087" s="246"/>
      <c r="M1087" s="246"/>
    </row>
    <row r="1088" spans="2:13" s="204" customFormat="1" x14ac:dyDescent="0.25">
      <c r="B1088" s="246"/>
      <c r="C1088" s="246"/>
      <c r="D1088" s="246"/>
      <c r="E1088" s="246"/>
      <c r="F1088" s="246"/>
      <c r="G1088" s="246"/>
      <c r="H1088" s="246"/>
      <c r="I1088" s="246"/>
      <c r="J1088" s="246"/>
      <c r="K1088" s="299"/>
      <c r="L1088" s="246"/>
      <c r="M1088" s="246"/>
    </row>
    <row r="1089" spans="2:13" s="204" customFormat="1" x14ac:dyDescent="0.25">
      <c r="B1089" s="246"/>
      <c r="C1089" s="246"/>
      <c r="D1089" s="246"/>
      <c r="E1089" s="246"/>
      <c r="F1089" s="246"/>
      <c r="G1089" s="246"/>
      <c r="H1089" s="246"/>
      <c r="I1089" s="246"/>
      <c r="J1089" s="246"/>
      <c r="K1089" s="299"/>
      <c r="L1089" s="246"/>
      <c r="M1089" s="246"/>
    </row>
    <row r="1090" spans="2:13" s="204" customFormat="1" x14ac:dyDescent="0.25">
      <c r="B1090" s="246"/>
      <c r="C1090" s="246"/>
      <c r="D1090" s="246"/>
      <c r="E1090" s="246"/>
      <c r="F1090" s="246"/>
      <c r="G1090" s="246"/>
      <c r="H1090" s="246"/>
      <c r="I1090" s="246"/>
      <c r="J1090" s="246"/>
      <c r="K1090" s="299"/>
      <c r="L1090" s="246"/>
      <c r="M1090" s="246"/>
    </row>
    <row r="1091" spans="2:13" s="204" customFormat="1" x14ac:dyDescent="0.25">
      <c r="B1091" s="246"/>
      <c r="C1091" s="246"/>
      <c r="D1091" s="246"/>
      <c r="E1091" s="246"/>
      <c r="F1091" s="246"/>
      <c r="G1091" s="246"/>
      <c r="H1091" s="246"/>
      <c r="I1091" s="246"/>
      <c r="J1091" s="246"/>
      <c r="K1091" s="299"/>
      <c r="L1091" s="246"/>
      <c r="M1091" s="246"/>
    </row>
    <row r="1092" spans="2:13" s="204" customFormat="1" x14ac:dyDescent="0.25">
      <c r="B1092" s="246"/>
      <c r="C1092" s="246"/>
      <c r="D1092" s="246"/>
      <c r="E1092" s="246"/>
      <c r="F1092" s="246"/>
      <c r="G1092" s="246"/>
      <c r="H1092" s="246"/>
      <c r="I1092" s="246"/>
      <c r="J1092" s="246"/>
      <c r="K1092" s="299"/>
      <c r="L1092" s="246"/>
      <c r="M1092" s="246"/>
    </row>
    <row r="1093" spans="2:13" s="204" customFormat="1" x14ac:dyDescent="0.25">
      <c r="B1093" s="246"/>
      <c r="C1093" s="246"/>
      <c r="D1093" s="246"/>
      <c r="E1093" s="246"/>
      <c r="F1093" s="246"/>
      <c r="G1093" s="246"/>
      <c r="H1093" s="246"/>
      <c r="I1093" s="246"/>
      <c r="J1093" s="246"/>
      <c r="K1093" s="299"/>
      <c r="L1093" s="246"/>
      <c r="M1093" s="246"/>
    </row>
    <row r="1094" spans="2:13" s="204" customFormat="1" x14ac:dyDescent="0.25">
      <c r="B1094" s="246"/>
      <c r="C1094" s="246"/>
      <c r="D1094" s="246"/>
      <c r="E1094" s="246"/>
      <c r="F1094" s="246"/>
      <c r="G1094" s="246"/>
      <c r="H1094" s="246"/>
      <c r="I1094" s="246"/>
      <c r="J1094" s="246"/>
      <c r="K1094" s="299"/>
      <c r="L1094" s="246"/>
      <c r="M1094" s="246"/>
    </row>
    <row r="1095" spans="2:13" s="204" customFormat="1" x14ac:dyDescent="0.25">
      <c r="B1095" s="246"/>
      <c r="C1095" s="246"/>
      <c r="D1095" s="246"/>
      <c r="E1095" s="246"/>
      <c r="F1095" s="246"/>
      <c r="G1095" s="246"/>
      <c r="H1095" s="246"/>
      <c r="I1095" s="246"/>
      <c r="J1095" s="246"/>
      <c r="K1095" s="299"/>
      <c r="L1095" s="246"/>
      <c r="M1095" s="246"/>
    </row>
    <row r="1096" spans="2:13" s="204" customFormat="1" x14ac:dyDescent="0.25">
      <c r="B1096" s="246"/>
      <c r="C1096" s="246"/>
      <c r="D1096" s="246"/>
      <c r="E1096" s="246"/>
      <c r="F1096" s="246"/>
      <c r="G1096" s="246"/>
      <c r="H1096" s="246"/>
      <c r="I1096" s="246"/>
      <c r="J1096" s="246"/>
      <c r="K1096" s="299"/>
      <c r="L1096" s="246"/>
      <c r="M1096" s="246"/>
    </row>
    <row r="1097" spans="2:13" s="204" customFormat="1" x14ac:dyDescent="0.25">
      <c r="B1097" s="246"/>
      <c r="C1097" s="246"/>
      <c r="D1097" s="246"/>
      <c r="E1097" s="246"/>
      <c r="F1097" s="246"/>
      <c r="G1097" s="246"/>
      <c r="H1097" s="246"/>
      <c r="I1097" s="246"/>
      <c r="J1097" s="246"/>
      <c r="K1097" s="299"/>
      <c r="L1097" s="246"/>
      <c r="M1097" s="246"/>
    </row>
    <row r="1098" spans="2:13" s="204" customFormat="1" x14ac:dyDescent="0.25">
      <c r="B1098" s="246"/>
      <c r="C1098" s="246"/>
      <c r="D1098" s="246"/>
      <c r="E1098" s="246"/>
      <c r="F1098" s="246"/>
      <c r="G1098" s="246"/>
      <c r="H1098" s="246"/>
      <c r="I1098" s="246"/>
      <c r="J1098" s="246"/>
      <c r="K1098" s="299"/>
      <c r="L1098" s="246"/>
      <c r="M1098" s="246"/>
    </row>
    <row r="1099" spans="2:13" s="204" customFormat="1" x14ac:dyDescent="0.25">
      <c r="B1099" s="246"/>
      <c r="C1099" s="246"/>
      <c r="D1099" s="246"/>
      <c r="E1099" s="246"/>
      <c r="F1099" s="246"/>
      <c r="G1099" s="246"/>
      <c r="H1099" s="246"/>
      <c r="I1099" s="246"/>
      <c r="J1099" s="246"/>
      <c r="K1099" s="299"/>
      <c r="L1099" s="246"/>
      <c r="M1099" s="246"/>
    </row>
    <row r="1100" spans="2:13" s="204" customFormat="1" x14ac:dyDescent="0.25">
      <c r="B1100" s="246"/>
      <c r="C1100" s="246"/>
      <c r="D1100" s="246"/>
      <c r="E1100" s="246"/>
      <c r="F1100" s="246"/>
      <c r="G1100" s="246"/>
      <c r="H1100" s="246"/>
      <c r="I1100" s="246"/>
      <c r="J1100" s="246"/>
      <c r="K1100" s="299"/>
      <c r="L1100" s="246"/>
      <c r="M1100" s="246"/>
    </row>
    <row r="1101" spans="2:13" s="204" customFormat="1" x14ac:dyDescent="0.25">
      <c r="B1101" s="246"/>
      <c r="C1101" s="246"/>
      <c r="D1101" s="246"/>
      <c r="E1101" s="246"/>
      <c r="F1101" s="246"/>
      <c r="G1101" s="246"/>
      <c r="H1101" s="246"/>
      <c r="I1101" s="246"/>
      <c r="J1101" s="246"/>
      <c r="K1101" s="299"/>
      <c r="L1101" s="246"/>
      <c r="M1101" s="246"/>
    </row>
    <row r="1102" spans="2:13" s="204" customFormat="1" x14ac:dyDescent="0.25">
      <c r="B1102" s="246"/>
      <c r="C1102" s="246"/>
      <c r="D1102" s="246"/>
      <c r="E1102" s="246"/>
      <c r="F1102" s="246"/>
      <c r="G1102" s="246"/>
      <c r="H1102" s="246"/>
      <c r="I1102" s="246"/>
      <c r="J1102" s="246"/>
      <c r="K1102" s="299"/>
      <c r="L1102" s="246"/>
      <c r="M1102" s="246"/>
    </row>
    <row r="1103" spans="2:13" s="204" customFormat="1" x14ac:dyDescent="0.25">
      <c r="B1103" s="246"/>
      <c r="C1103" s="246"/>
      <c r="D1103" s="246"/>
      <c r="E1103" s="246"/>
      <c r="F1103" s="246"/>
      <c r="G1103" s="246"/>
      <c r="H1103" s="246"/>
      <c r="I1103" s="246"/>
      <c r="J1103" s="246"/>
      <c r="K1103" s="299"/>
      <c r="L1103" s="246"/>
      <c r="M1103" s="246"/>
    </row>
    <row r="1104" spans="2:13" s="204" customFormat="1" x14ac:dyDescent="0.25">
      <c r="B1104" s="246"/>
      <c r="C1104" s="246"/>
      <c r="D1104" s="246"/>
      <c r="E1104" s="246"/>
      <c r="F1104" s="246"/>
      <c r="G1104" s="246"/>
      <c r="H1104" s="246"/>
      <c r="I1104" s="246"/>
      <c r="J1104" s="246"/>
      <c r="K1104" s="299"/>
      <c r="L1104" s="246"/>
      <c r="M1104" s="246"/>
    </row>
    <row r="1105" spans="2:13" s="204" customFormat="1" x14ac:dyDescent="0.25">
      <c r="B1105" s="246"/>
      <c r="C1105" s="246"/>
      <c r="D1105" s="246"/>
      <c r="E1105" s="246"/>
      <c r="F1105" s="246"/>
      <c r="G1105" s="246"/>
      <c r="H1105" s="246"/>
      <c r="I1105" s="246"/>
      <c r="J1105" s="246"/>
      <c r="K1105" s="299"/>
      <c r="L1105" s="246"/>
      <c r="M1105" s="246"/>
    </row>
    <row r="1106" spans="2:13" s="204" customFormat="1" x14ac:dyDescent="0.25">
      <c r="B1106" s="246"/>
      <c r="C1106" s="246"/>
      <c r="D1106" s="246"/>
      <c r="E1106" s="246"/>
      <c r="F1106" s="246"/>
      <c r="G1106" s="246"/>
      <c r="H1106" s="246"/>
      <c r="I1106" s="246"/>
      <c r="J1106" s="246"/>
      <c r="K1106" s="299"/>
      <c r="L1106" s="246"/>
      <c r="M1106" s="246"/>
    </row>
    <row r="1107" spans="2:13" s="204" customFormat="1" x14ac:dyDescent="0.25">
      <c r="B1107" s="246"/>
      <c r="C1107" s="246"/>
      <c r="D1107" s="246"/>
      <c r="E1107" s="246"/>
      <c r="F1107" s="246"/>
      <c r="G1107" s="246"/>
      <c r="H1107" s="246"/>
      <c r="I1107" s="246"/>
      <c r="J1107" s="246"/>
      <c r="K1107" s="299"/>
      <c r="L1107" s="246"/>
      <c r="M1107" s="246"/>
    </row>
    <row r="1108" spans="2:13" s="204" customFormat="1" x14ac:dyDescent="0.25">
      <c r="B1108" s="246"/>
      <c r="C1108" s="246"/>
      <c r="D1108" s="246"/>
      <c r="E1108" s="246"/>
      <c r="F1108" s="246"/>
      <c r="G1108" s="246"/>
      <c r="H1108" s="246"/>
      <c r="I1108" s="246"/>
      <c r="J1108" s="246"/>
      <c r="K1108" s="299"/>
      <c r="L1108" s="246"/>
      <c r="M1108" s="246"/>
    </row>
    <row r="1109" spans="2:13" s="204" customFormat="1" x14ac:dyDescent="0.25">
      <c r="B1109" s="246"/>
      <c r="C1109" s="246"/>
      <c r="D1109" s="246"/>
      <c r="E1109" s="246"/>
      <c r="F1109" s="246"/>
      <c r="G1109" s="246"/>
      <c r="H1109" s="246"/>
      <c r="I1109" s="246"/>
      <c r="J1109" s="246"/>
      <c r="K1109" s="299"/>
      <c r="L1109" s="246"/>
      <c r="M1109" s="246"/>
    </row>
    <row r="1110" spans="2:13" s="204" customFormat="1" x14ac:dyDescent="0.25">
      <c r="B1110" s="246"/>
      <c r="C1110" s="246"/>
      <c r="D1110" s="246"/>
      <c r="E1110" s="246"/>
      <c r="F1110" s="246"/>
      <c r="G1110" s="246"/>
      <c r="H1110" s="246"/>
      <c r="I1110" s="246"/>
      <c r="J1110" s="246"/>
      <c r="K1110" s="299"/>
      <c r="L1110" s="246"/>
      <c r="M1110" s="246"/>
    </row>
    <row r="1111" spans="2:13" s="204" customFormat="1" x14ac:dyDescent="0.25">
      <c r="B1111" s="246"/>
      <c r="C1111" s="246"/>
      <c r="D1111" s="246"/>
      <c r="E1111" s="246"/>
      <c r="F1111" s="246"/>
      <c r="G1111" s="246"/>
      <c r="H1111" s="246"/>
      <c r="I1111" s="246"/>
      <c r="J1111" s="246"/>
      <c r="K1111" s="299"/>
      <c r="L1111" s="246"/>
      <c r="M1111" s="246"/>
    </row>
    <row r="1112" spans="2:13" s="204" customFormat="1" x14ac:dyDescent="0.25">
      <c r="B1112" s="246"/>
      <c r="C1112" s="246"/>
      <c r="D1112" s="246"/>
      <c r="E1112" s="246"/>
      <c r="F1112" s="246"/>
      <c r="G1112" s="246"/>
      <c r="H1112" s="246"/>
      <c r="I1112" s="246"/>
      <c r="J1112" s="246"/>
      <c r="K1112" s="299"/>
      <c r="L1112" s="246"/>
      <c r="M1112" s="246"/>
    </row>
    <row r="1113" spans="2:13" s="204" customFormat="1" x14ac:dyDescent="0.25">
      <c r="B1113" s="246"/>
      <c r="C1113" s="246"/>
      <c r="D1113" s="246"/>
      <c r="E1113" s="246"/>
      <c r="F1113" s="246"/>
      <c r="G1113" s="246"/>
      <c r="H1113" s="246"/>
      <c r="I1113" s="246"/>
      <c r="J1113" s="246"/>
      <c r="K1113" s="299"/>
      <c r="L1113" s="246"/>
      <c r="M1113" s="246"/>
    </row>
    <row r="1114" spans="2:13" s="204" customFormat="1" x14ac:dyDescent="0.25">
      <c r="B1114" s="246"/>
      <c r="C1114" s="246"/>
      <c r="D1114" s="246"/>
      <c r="E1114" s="246"/>
      <c r="F1114" s="246"/>
      <c r="G1114" s="246"/>
      <c r="H1114" s="246"/>
      <c r="I1114" s="246"/>
      <c r="J1114" s="246"/>
      <c r="K1114" s="299"/>
      <c r="L1114" s="246"/>
      <c r="M1114" s="246"/>
    </row>
    <row r="1115" spans="2:13" s="204" customFormat="1" x14ac:dyDescent="0.25">
      <c r="B1115" s="246"/>
      <c r="C1115" s="246"/>
      <c r="D1115" s="246"/>
      <c r="E1115" s="246"/>
      <c r="F1115" s="246"/>
      <c r="G1115" s="246"/>
      <c r="H1115" s="246"/>
      <c r="I1115" s="246"/>
      <c r="J1115" s="246"/>
      <c r="K1115" s="299"/>
      <c r="L1115" s="246"/>
      <c r="M1115" s="246"/>
    </row>
    <row r="1116" spans="2:13" s="204" customFormat="1" x14ac:dyDescent="0.25">
      <c r="B1116" s="246"/>
      <c r="C1116" s="246"/>
      <c r="D1116" s="246"/>
      <c r="E1116" s="246"/>
      <c r="F1116" s="246"/>
      <c r="G1116" s="246"/>
      <c r="H1116" s="246"/>
      <c r="I1116" s="246"/>
      <c r="J1116" s="246"/>
      <c r="K1116" s="299"/>
      <c r="L1116" s="246"/>
      <c r="M1116" s="246"/>
    </row>
    <row r="1117" spans="2:13" s="204" customFormat="1" x14ac:dyDescent="0.25">
      <c r="B1117" s="246"/>
      <c r="C1117" s="246"/>
      <c r="D1117" s="246"/>
      <c r="E1117" s="246"/>
      <c r="F1117" s="246"/>
      <c r="G1117" s="246"/>
      <c r="H1117" s="246"/>
      <c r="I1117" s="246"/>
      <c r="J1117" s="246"/>
      <c r="K1117" s="299"/>
      <c r="L1117" s="246"/>
      <c r="M1117" s="246"/>
    </row>
    <row r="1118" spans="2:13" s="204" customFormat="1" x14ac:dyDescent="0.25">
      <c r="B1118" s="246"/>
      <c r="C1118" s="246"/>
      <c r="D1118" s="246"/>
      <c r="E1118" s="246"/>
      <c r="F1118" s="246"/>
      <c r="G1118" s="246"/>
      <c r="H1118" s="246"/>
      <c r="I1118" s="246"/>
      <c r="J1118" s="246"/>
      <c r="K1118" s="299"/>
      <c r="L1118" s="246"/>
      <c r="M1118" s="246"/>
    </row>
    <row r="1119" spans="2:13" s="204" customFormat="1" x14ac:dyDescent="0.25">
      <c r="B1119" s="246"/>
      <c r="C1119" s="246"/>
      <c r="D1119" s="246"/>
      <c r="E1119" s="246"/>
      <c r="F1119" s="246"/>
      <c r="G1119" s="246"/>
      <c r="H1119" s="246"/>
      <c r="I1119" s="246"/>
      <c r="J1119" s="246"/>
      <c r="K1119" s="299"/>
      <c r="L1119" s="246"/>
      <c r="M1119" s="246"/>
    </row>
    <row r="1120" spans="2:13" s="204" customFormat="1" x14ac:dyDescent="0.25">
      <c r="B1120" s="246"/>
      <c r="C1120" s="246"/>
      <c r="D1120" s="246"/>
      <c r="E1120" s="246"/>
      <c r="F1120" s="246"/>
      <c r="G1120" s="246"/>
      <c r="H1120" s="246"/>
      <c r="I1120" s="246"/>
      <c r="J1120" s="246"/>
      <c r="K1120" s="299"/>
      <c r="L1120" s="246"/>
      <c r="M1120" s="246"/>
    </row>
    <row r="1121" spans="2:13" s="204" customFormat="1" x14ac:dyDescent="0.25">
      <c r="B1121" s="246"/>
      <c r="C1121" s="246"/>
      <c r="D1121" s="246"/>
      <c r="E1121" s="246"/>
      <c r="F1121" s="246"/>
      <c r="G1121" s="246"/>
      <c r="H1121" s="246"/>
      <c r="I1121" s="246"/>
      <c r="J1121" s="246"/>
      <c r="K1121" s="299"/>
      <c r="L1121" s="246"/>
      <c r="M1121" s="246"/>
    </row>
    <row r="1122" spans="2:13" s="204" customFormat="1" x14ac:dyDescent="0.25">
      <c r="B1122" s="246"/>
      <c r="C1122" s="246"/>
      <c r="D1122" s="246"/>
      <c r="E1122" s="246"/>
      <c r="F1122" s="246"/>
      <c r="G1122" s="246"/>
      <c r="H1122" s="246"/>
      <c r="I1122" s="246"/>
      <c r="J1122" s="246"/>
      <c r="K1122" s="299"/>
      <c r="L1122" s="246"/>
      <c r="M1122" s="246"/>
    </row>
    <row r="1123" spans="2:13" s="204" customFormat="1" x14ac:dyDescent="0.25">
      <c r="B1123" s="246"/>
      <c r="C1123" s="246"/>
      <c r="D1123" s="246"/>
      <c r="E1123" s="246"/>
      <c r="F1123" s="246"/>
      <c r="G1123" s="246"/>
      <c r="H1123" s="246"/>
      <c r="I1123" s="246"/>
      <c r="J1123" s="246"/>
      <c r="K1123" s="299"/>
      <c r="L1123" s="246"/>
      <c r="M1123" s="246"/>
    </row>
    <row r="1124" spans="2:13" s="204" customFormat="1" x14ac:dyDescent="0.25">
      <c r="B1124" s="246"/>
      <c r="C1124" s="246"/>
      <c r="D1124" s="246"/>
      <c r="E1124" s="246"/>
      <c r="F1124" s="246"/>
      <c r="G1124" s="246"/>
      <c r="H1124" s="246"/>
      <c r="I1124" s="246"/>
      <c r="J1124" s="246"/>
      <c r="K1124" s="299"/>
      <c r="L1124" s="246"/>
      <c r="M1124" s="246"/>
    </row>
    <row r="1125" spans="2:13" s="204" customFormat="1" x14ac:dyDescent="0.25">
      <c r="B1125" s="246"/>
      <c r="C1125" s="246"/>
      <c r="D1125" s="246"/>
      <c r="E1125" s="246"/>
      <c r="F1125" s="246"/>
      <c r="G1125" s="246"/>
      <c r="H1125" s="246"/>
      <c r="I1125" s="246"/>
      <c r="J1125" s="246"/>
      <c r="K1125" s="299"/>
      <c r="L1125" s="246"/>
      <c r="M1125" s="246"/>
    </row>
    <row r="1126" spans="2:13" s="204" customFormat="1" x14ac:dyDescent="0.25">
      <c r="B1126" s="246"/>
      <c r="C1126" s="246"/>
      <c r="D1126" s="246"/>
      <c r="E1126" s="246"/>
      <c r="F1126" s="246"/>
      <c r="G1126" s="246"/>
      <c r="H1126" s="246"/>
      <c r="I1126" s="246"/>
      <c r="J1126" s="246"/>
      <c r="K1126" s="299"/>
      <c r="L1126" s="246"/>
      <c r="M1126" s="246"/>
    </row>
    <row r="1127" spans="2:13" s="204" customFormat="1" x14ac:dyDescent="0.25">
      <c r="B1127" s="246"/>
      <c r="C1127" s="246"/>
      <c r="D1127" s="246"/>
      <c r="E1127" s="246"/>
      <c r="F1127" s="246"/>
      <c r="G1127" s="246"/>
      <c r="H1127" s="246"/>
      <c r="I1127" s="246"/>
      <c r="J1127" s="246"/>
      <c r="K1127" s="299"/>
      <c r="L1127" s="246"/>
      <c r="M1127" s="246"/>
    </row>
    <row r="1128" spans="2:13" s="204" customFormat="1" x14ac:dyDescent="0.25">
      <c r="B1128" s="246"/>
      <c r="C1128" s="246"/>
      <c r="D1128" s="246"/>
      <c r="E1128" s="246"/>
      <c r="F1128" s="246"/>
      <c r="G1128" s="246"/>
      <c r="H1128" s="246"/>
      <c r="I1128" s="246"/>
      <c r="J1128" s="246"/>
      <c r="K1128" s="299"/>
      <c r="L1128" s="246"/>
      <c r="M1128" s="246"/>
    </row>
    <row r="1129" spans="2:13" s="204" customFormat="1" x14ac:dyDescent="0.25">
      <c r="B1129" s="246"/>
      <c r="C1129" s="246"/>
      <c r="D1129" s="246"/>
      <c r="E1129" s="246"/>
      <c r="F1129" s="246"/>
      <c r="G1129" s="246"/>
      <c r="H1129" s="246"/>
      <c r="I1129" s="246"/>
      <c r="J1129" s="246"/>
      <c r="K1129" s="299"/>
      <c r="L1129" s="246"/>
      <c r="M1129" s="246"/>
    </row>
    <row r="1130" spans="2:13" s="204" customFormat="1" x14ac:dyDescent="0.25">
      <c r="B1130" s="246"/>
      <c r="C1130" s="246"/>
      <c r="D1130" s="246"/>
      <c r="E1130" s="246"/>
      <c r="F1130" s="246"/>
      <c r="G1130" s="246"/>
      <c r="H1130" s="246"/>
      <c r="I1130" s="246"/>
      <c r="J1130" s="246"/>
      <c r="K1130" s="299"/>
      <c r="L1130" s="246"/>
      <c r="M1130" s="246"/>
    </row>
    <row r="1131" spans="2:13" s="204" customFormat="1" x14ac:dyDescent="0.25">
      <c r="B1131" s="246"/>
      <c r="C1131" s="246"/>
      <c r="D1131" s="246"/>
      <c r="E1131" s="246"/>
      <c r="F1131" s="246"/>
      <c r="G1131" s="246"/>
      <c r="H1131" s="246"/>
      <c r="I1131" s="246"/>
      <c r="J1131" s="246"/>
      <c r="K1131" s="299"/>
      <c r="L1131" s="246"/>
      <c r="M1131" s="246"/>
    </row>
    <row r="1132" spans="2:13" s="204" customFormat="1" x14ac:dyDescent="0.25">
      <c r="B1132" s="246"/>
      <c r="C1132" s="246"/>
      <c r="D1132" s="246"/>
      <c r="E1132" s="246"/>
      <c r="F1132" s="246"/>
      <c r="G1132" s="246"/>
      <c r="H1132" s="246"/>
      <c r="I1132" s="246"/>
      <c r="J1132" s="246"/>
      <c r="K1132" s="299"/>
      <c r="L1132" s="246"/>
      <c r="M1132" s="246"/>
    </row>
    <row r="1133" spans="2:13" s="204" customFormat="1" x14ac:dyDescent="0.25">
      <c r="B1133" s="246"/>
      <c r="C1133" s="246"/>
      <c r="D1133" s="246"/>
      <c r="E1133" s="246"/>
      <c r="F1133" s="246"/>
      <c r="G1133" s="246"/>
      <c r="H1133" s="246"/>
      <c r="I1133" s="246"/>
      <c r="J1133" s="246"/>
      <c r="K1133" s="299"/>
      <c r="L1133" s="246"/>
      <c r="M1133" s="246"/>
    </row>
    <row r="1134" spans="2:13" s="204" customFormat="1" x14ac:dyDescent="0.25">
      <c r="B1134" s="246"/>
      <c r="C1134" s="246"/>
      <c r="D1134" s="246"/>
      <c r="E1134" s="246"/>
      <c r="F1134" s="246"/>
      <c r="G1134" s="246"/>
      <c r="H1134" s="246"/>
      <c r="I1134" s="246"/>
      <c r="J1134" s="246"/>
      <c r="K1134" s="299"/>
      <c r="L1134" s="246"/>
      <c r="M1134" s="246"/>
    </row>
    <row r="1135" spans="2:13" s="204" customFormat="1" x14ac:dyDescent="0.25">
      <c r="B1135" s="246"/>
      <c r="C1135" s="246"/>
      <c r="D1135" s="246"/>
      <c r="E1135" s="246"/>
      <c r="F1135" s="246"/>
      <c r="G1135" s="246"/>
      <c r="H1135" s="246"/>
      <c r="I1135" s="246"/>
      <c r="J1135" s="246"/>
      <c r="K1135" s="299"/>
      <c r="L1135" s="246"/>
      <c r="M1135" s="246"/>
    </row>
    <row r="1136" spans="2:13" s="204" customFormat="1" x14ac:dyDescent="0.25">
      <c r="B1136" s="246"/>
      <c r="C1136" s="246"/>
      <c r="D1136" s="246"/>
      <c r="E1136" s="246"/>
      <c r="F1136" s="246"/>
      <c r="G1136" s="246"/>
      <c r="H1136" s="246"/>
      <c r="I1136" s="246"/>
      <c r="J1136" s="246"/>
      <c r="K1136" s="299"/>
      <c r="L1136" s="246"/>
      <c r="M1136" s="246"/>
    </row>
    <row r="1137" spans="2:13" s="204" customFormat="1" x14ac:dyDescent="0.25">
      <c r="B1137" s="246"/>
      <c r="C1137" s="246"/>
      <c r="D1137" s="246"/>
      <c r="E1137" s="246"/>
      <c r="F1137" s="246"/>
      <c r="G1137" s="246"/>
      <c r="H1137" s="246"/>
      <c r="I1137" s="246"/>
      <c r="J1137" s="246"/>
      <c r="K1137" s="299"/>
      <c r="L1137" s="246"/>
      <c r="M1137" s="246"/>
    </row>
    <row r="1138" spans="2:13" s="204" customFormat="1" x14ac:dyDescent="0.25">
      <c r="B1138" s="246"/>
      <c r="C1138" s="246"/>
      <c r="D1138" s="246"/>
      <c r="E1138" s="246"/>
      <c r="F1138" s="246"/>
      <c r="G1138" s="246"/>
      <c r="H1138" s="246"/>
      <c r="I1138" s="246"/>
      <c r="J1138" s="246"/>
      <c r="K1138" s="299"/>
      <c r="L1138" s="246"/>
      <c r="M1138" s="246"/>
    </row>
    <row r="1139" spans="2:13" s="204" customFormat="1" x14ac:dyDescent="0.25">
      <c r="B1139" s="246"/>
      <c r="C1139" s="246"/>
      <c r="D1139" s="246"/>
      <c r="E1139" s="246"/>
      <c r="F1139" s="246"/>
      <c r="G1139" s="246"/>
      <c r="H1139" s="246"/>
      <c r="I1139" s="246"/>
      <c r="J1139" s="246"/>
      <c r="K1139" s="299"/>
      <c r="L1139" s="246"/>
      <c r="M1139" s="246"/>
    </row>
    <row r="1140" spans="2:13" s="204" customFormat="1" x14ac:dyDescent="0.25">
      <c r="B1140" s="246"/>
      <c r="C1140" s="246"/>
      <c r="D1140" s="246"/>
      <c r="E1140" s="246"/>
      <c r="F1140" s="246"/>
      <c r="G1140" s="246"/>
      <c r="H1140" s="246"/>
      <c r="I1140" s="246"/>
      <c r="J1140" s="246"/>
      <c r="K1140" s="299"/>
      <c r="L1140" s="246"/>
      <c r="M1140" s="246"/>
    </row>
    <row r="1141" spans="2:13" s="204" customFormat="1" x14ac:dyDescent="0.25">
      <c r="B1141" s="246"/>
      <c r="C1141" s="246"/>
      <c r="D1141" s="246"/>
      <c r="E1141" s="246"/>
      <c r="F1141" s="246"/>
      <c r="G1141" s="246"/>
      <c r="H1141" s="246"/>
      <c r="I1141" s="246"/>
      <c r="J1141" s="246"/>
      <c r="K1141" s="299"/>
      <c r="L1141" s="246"/>
      <c r="M1141" s="246"/>
    </row>
    <row r="1142" spans="2:13" s="204" customFormat="1" x14ac:dyDescent="0.25">
      <c r="B1142" s="246"/>
      <c r="C1142" s="246"/>
      <c r="D1142" s="246"/>
      <c r="E1142" s="246"/>
      <c r="F1142" s="246"/>
      <c r="G1142" s="246"/>
      <c r="H1142" s="246"/>
      <c r="I1142" s="246"/>
      <c r="J1142" s="246"/>
      <c r="K1142" s="299"/>
      <c r="L1142" s="246"/>
      <c r="M1142" s="246"/>
    </row>
    <row r="1143" spans="2:13" s="204" customFormat="1" x14ac:dyDescent="0.25">
      <c r="B1143" s="246"/>
      <c r="C1143" s="246"/>
      <c r="D1143" s="246"/>
      <c r="E1143" s="246"/>
      <c r="F1143" s="246"/>
      <c r="G1143" s="246"/>
      <c r="H1143" s="246"/>
      <c r="I1143" s="246"/>
      <c r="J1143" s="246"/>
      <c r="K1143" s="299"/>
      <c r="L1143" s="246"/>
      <c r="M1143" s="246"/>
    </row>
    <row r="1144" spans="2:13" s="204" customFormat="1" x14ac:dyDescent="0.25">
      <c r="B1144" s="246"/>
      <c r="C1144" s="246"/>
      <c r="D1144" s="246"/>
      <c r="E1144" s="246"/>
      <c r="F1144" s="246"/>
      <c r="G1144" s="246"/>
      <c r="H1144" s="246"/>
      <c r="I1144" s="246"/>
      <c r="J1144" s="246"/>
      <c r="K1144" s="299"/>
      <c r="L1144" s="246"/>
      <c r="M1144" s="246"/>
    </row>
    <row r="1145" spans="2:13" s="204" customFormat="1" x14ac:dyDescent="0.25">
      <c r="B1145" s="246"/>
      <c r="C1145" s="246"/>
      <c r="D1145" s="246"/>
      <c r="E1145" s="246"/>
      <c r="F1145" s="246"/>
      <c r="G1145" s="246"/>
      <c r="H1145" s="246"/>
      <c r="I1145" s="246"/>
      <c r="J1145" s="246"/>
      <c r="K1145" s="299"/>
      <c r="L1145" s="246"/>
      <c r="M1145" s="246"/>
    </row>
    <row r="1146" spans="2:13" s="204" customFormat="1" x14ac:dyDescent="0.25">
      <c r="B1146" s="246"/>
      <c r="C1146" s="246"/>
      <c r="D1146" s="246"/>
      <c r="E1146" s="246"/>
      <c r="F1146" s="246"/>
      <c r="G1146" s="246"/>
      <c r="H1146" s="246"/>
      <c r="I1146" s="246"/>
      <c r="J1146" s="246"/>
      <c r="K1146" s="299"/>
      <c r="L1146" s="246"/>
      <c r="M1146" s="246"/>
    </row>
    <row r="1147" spans="2:13" s="204" customFormat="1" x14ac:dyDescent="0.25">
      <c r="B1147" s="246"/>
      <c r="C1147" s="246"/>
      <c r="D1147" s="246"/>
      <c r="E1147" s="246"/>
      <c r="F1147" s="246"/>
      <c r="G1147" s="246"/>
      <c r="H1147" s="246"/>
      <c r="I1147" s="246"/>
      <c r="J1147" s="246"/>
      <c r="K1147" s="299"/>
      <c r="L1147" s="246"/>
      <c r="M1147" s="246"/>
    </row>
    <row r="1148" spans="2:13" s="204" customFormat="1" x14ac:dyDescent="0.25">
      <c r="B1148" s="246"/>
      <c r="C1148" s="246"/>
      <c r="D1148" s="246"/>
      <c r="E1148" s="246"/>
      <c r="F1148" s="246"/>
      <c r="G1148" s="246"/>
      <c r="H1148" s="246"/>
      <c r="I1148" s="246"/>
      <c r="J1148" s="246"/>
      <c r="K1148" s="299"/>
      <c r="L1148" s="246"/>
      <c r="M1148" s="246"/>
    </row>
    <row r="1149" spans="2:13" s="204" customFormat="1" x14ac:dyDescent="0.25">
      <c r="B1149" s="246"/>
      <c r="C1149" s="246"/>
      <c r="D1149" s="246"/>
      <c r="E1149" s="246"/>
      <c r="F1149" s="246"/>
      <c r="G1149" s="246"/>
      <c r="H1149" s="246"/>
      <c r="I1149" s="246"/>
      <c r="J1149" s="246"/>
      <c r="K1149" s="299"/>
      <c r="L1149" s="246"/>
      <c r="M1149" s="246"/>
    </row>
    <row r="1150" spans="2:13" s="204" customFormat="1" x14ac:dyDescent="0.25">
      <c r="B1150" s="246"/>
      <c r="C1150" s="246"/>
      <c r="D1150" s="246"/>
      <c r="E1150" s="246"/>
      <c r="F1150" s="246"/>
      <c r="G1150" s="246"/>
      <c r="H1150" s="246"/>
      <c r="I1150" s="246"/>
      <c r="J1150" s="246"/>
      <c r="K1150" s="299"/>
      <c r="L1150" s="246"/>
      <c r="M1150" s="246"/>
    </row>
    <row r="1151" spans="2:13" s="204" customFormat="1" x14ac:dyDescent="0.25">
      <c r="B1151" s="246"/>
      <c r="C1151" s="246"/>
      <c r="D1151" s="246"/>
      <c r="E1151" s="246"/>
      <c r="F1151" s="246"/>
      <c r="G1151" s="246"/>
      <c r="H1151" s="246"/>
      <c r="I1151" s="246"/>
      <c r="J1151" s="246"/>
      <c r="K1151" s="299"/>
      <c r="L1151" s="246"/>
      <c r="M1151" s="246"/>
    </row>
    <row r="1152" spans="2:13" s="204" customFormat="1" x14ac:dyDescent="0.25">
      <c r="B1152" s="246"/>
      <c r="C1152" s="246"/>
      <c r="D1152" s="246"/>
      <c r="E1152" s="246"/>
      <c r="F1152" s="246"/>
      <c r="G1152" s="246"/>
      <c r="H1152" s="246"/>
      <c r="I1152" s="246"/>
      <c r="J1152" s="246"/>
      <c r="K1152" s="299"/>
      <c r="L1152" s="246"/>
      <c r="M1152" s="246"/>
    </row>
    <row r="1153" spans="2:13" s="204" customFormat="1" x14ac:dyDescent="0.25">
      <c r="B1153" s="246"/>
      <c r="C1153" s="246"/>
      <c r="D1153" s="246"/>
      <c r="E1153" s="246"/>
      <c r="F1153" s="246"/>
      <c r="G1153" s="246"/>
      <c r="H1153" s="246"/>
      <c r="I1153" s="246"/>
      <c r="J1153" s="246"/>
      <c r="K1153" s="299"/>
      <c r="L1153" s="246"/>
      <c r="M1153" s="246"/>
    </row>
    <row r="1154" spans="2:13" s="204" customFormat="1" x14ac:dyDescent="0.25">
      <c r="B1154" s="246"/>
      <c r="C1154" s="246"/>
      <c r="D1154" s="246"/>
      <c r="E1154" s="246"/>
      <c r="F1154" s="246"/>
      <c r="G1154" s="246"/>
      <c r="H1154" s="246"/>
      <c r="I1154" s="246"/>
      <c r="J1154" s="246"/>
      <c r="K1154" s="299"/>
      <c r="L1154" s="246"/>
      <c r="M1154" s="246"/>
    </row>
    <row r="1155" spans="2:13" s="204" customFormat="1" x14ac:dyDescent="0.25">
      <c r="B1155" s="246"/>
      <c r="C1155" s="246"/>
      <c r="D1155" s="246"/>
      <c r="E1155" s="246"/>
      <c r="F1155" s="246"/>
      <c r="G1155" s="246"/>
      <c r="H1155" s="246"/>
      <c r="I1155" s="246"/>
      <c r="J1155" s="246"/>
      <c r="K1155" s="299"/>
      <c r="L1155" s="246"/>
      <c r="M1155" s="246"/>
    </row>
    <row r="1156" spans="2:13" s="204" customFormat="1" x14ac:dyDescent="0.25">
      <c r="B1156" s="246"/>
      <c r="C1156" s="246"/>
      <c r="D1156" s="246"/>
      <c r="E1156" s="246"/>
      <c r="F1156" s="246"/>
      <c r="G1156" s="246"/>
      <c r="H1156" s="246"/>
      <c r="I1156" s="246"/>
      <c r="J1156" s="246"/>
      <c r="K1156" s="299"/>
      <c r="L1156" s="246"/>
      <c r="M1156" s="246"/>
    </row>
    <row r="1157" spans="2:13" s="204" customFormat="1" x14ac:dyDescent="0.25">
      <c r="B1157" s="246"/>
      <c r="C1157" s="246"/>
      <c r="D1157" s="246"/>
      <c r="E1157" s="246"/>
      <c r="F1157" s="246"/>
      <c r="G1157" s="246"/>
      <c r="H1157" s="246"/>
      <c r="I1157" s="246"/>
      <c r="J1157" s="246"/>
      <c r="K1157" s="299"/>
      <c r="L1157" s="246"/>
      <c r="M1157" s="246"/>
    </row>
    <row r="1158" spans="2:13" s="204" customFormat="1" x14ac:dyDescent="0.25">
      <c r="B1158" s="246"/>
      <c r="C1158" s="246"/>
      <c r="D1158" s="246"/>
      <c r="E1158" s="246"/>
      <c r="F1158" s="246"/>
      <c r="G1158" s="246"/>
      <c r="H1158" s="246"/>
      <c r="I1158" s="246"/>
      <c r="J1158" s="246"/>
      <c r="K1158" s="299"/>
      <c r="L1158" s="246"/>
      <c r="M1158" s="246"/>
    </row>
    <row r="1159" spans="2:13" s="204" customFormat="1" x14ac:dyDescent="0.25">
      <c r="B1159" s="246"/>
      <c r="C1159" s="246"/>
      <c r="D1159" s="246"/>
      <c r="E1159" s="246"/>
      <c r="F1159" s="246"/>
      <c r="G1159" s="246"/>
      <c r="H1159" s="246"/>
      <c r="I1159" s="246"/>
      <c r="J1159" s="246"/>
      <c r="K1159" s="299"/>
      <c r="L1159" s="246"/>
      <c r="M1159" s="246"/>
    </row>
    <row r="1160" spans="2:13" s="204" customFormat="1" x14ac:dyDescent="0.25">
      <c r="B1160" s="246"/>
      <c r="C1160" s="246"/>
      <c r="D1160" s="246"/>
      <c r="E1160" s="246"/>
      <c r="F1160" s="246"/>
      <c r="G1160" s="246"/>
      <c r="H1160" s="246"/>
      <c r="I1160" s="246"/>
      <c r="J1160" s="246"/>
      <c r="K1160" s="299"/>
      <c r="L1160" s="246"/>
      <c r="M1160" s="246"/>
    </row>
    <row r="1161" spans="2:13" s="204" customFormat="1" x14ac:dyDescent="0.25">
      <c r="B1161" s="246"/>
      <c r="C1161" s="246"/>
      <c r="D1161" s="246"/>
      <c r="E1161" s="246"/>
      <c r="F1161" s="246"/>
      <c r="G1161" s="246"/>
      <c r="H1161" s="246"/>
      <c r="I1161" s="246"/>
      <c r="J1161" s="246"/>
      <c r="K1161" s="299"/>
      <c r="L1161" s="246"/>
      <c r="M1161" s="246"/>
    </row>
    <row r="1162" spans="2:13" s="204" customFormat="1" x14ac:dyDescent="0.25">
      <c r="B1162" s="246"/>
      <c r="C1162" s="246"/>
      <c r="D1162" s="246"/>
      <c r="E1162" s="246"/>
      <c r="F1162" s="246"/>
      <c r="G1162" s="246"/>
      <c r="H1162" s="246"/>
      <c r="I1162" s="246"/>
      <c r="J1162" s="246"/>
      <c r="K1162" s="299"/>
      <c r="L1162" s="246"/>
      <c r="M1162" s="246"/>
    </row>
    <row r="1163" spans="2:13" s="204" customFormat="1" x14ac:dyDescent="0.25">
      <c r="B1163" s="246"/>
      <c r="C1163" s="246"/>
      <c r="D1163" s="246"/>
      <c r="E1163" s="246"/>
      <c r="F1163" s="246"/>
      <c r="G1163" s="246"/>
      <c r="H1163" s="246"/>
      <c r="I1163" s="246"/>
      <c r="J1163" s="246"/>
      <c r="K1163" s="299"/>
      <c r="L1163" s="246"/>
      <c r="M1163" s="246"/>
    </row>
    <row r="1164" spans="2:13" s="204" customFormat="1" x14ac:dyDescent="0.25">
      <c r="B1164" s="246"/>
      <c r="C1164" s="246"/>
      <c r="D1164" s="246"/>
      <c r="E1164" s="246"/>
      <c r="F1164" s="246"/>
      <c r="G1164" s="246"/>
      <c r="H1164" s="246"/>
      <c r="I1164" s="246"/>
      <c r="J1164" s="246"/>
      <c r="K1164" s="299"/>
      <c r="L1164" s="246"/>
      <c r="M1164" s="246"/>
    </row>
    <row r="1165" spans="2:13" s="204" customFormat="1" x14ac:dyDescent="0.25">
      <c r="B1165" s="246"/>
      <c r="C1165" s="246"/>
      <c r="D1165" s="246"/>
      <c r="E1165" s="246"/>
      <c r="F1165" s="246"/>
      <c r="G1165" s="246"/>
      <c r="H1165" s="246"/>
      <c r="I1165" s="246"/>
      <c r="J1165" s="246"/>
      <c r="K1165" s="299"/>
      <c r="L1165" s="246"/>
      <c r="M1165" s="246"/>
    </row>
    <row r="1166" spans="2:13" s="204" customFormat="1" x14ac:dyDescent="0.25">
      <c r="B1166" s="246"/>
      <c r="C1166" s="246"/>
      <c r="D1166" s="246"/>
      <c r="E1166" s="246"/>
      <c r="F1166" s="246"/>
      <c r="G1166" s="246"/>
      <c r="H1166" s="246"/>
      <c r="I1166" s="246"/>
      <c r="J1166" s="246"/>
      <c r="K1166" s="299"/>
      <c r="L1166" s="246"/>
      <c r="M1166" s="246"/>
    </row>
    <row r="1167" spans="2:13" s="204" customFormat="1" x14ac:dyDescent="0.25">
      <c r="B1167" s="246"/>
      <c r="C1167" s="246"/>
      <c r="D1167" s="246"/>
      <c r="E1167" s="246"/>
      <c r="F1167" s="246"/>
      <c r="G1167" s="246"/>
      <c r="H1167" s="246"/>
      <c r="I1167" s="246"/>
      <c r="J1167" s="246"/>
      <c r="K1167" s="299"/>
      <c r="L1167" s="246"/>
      <c r="M1167" s="246"/>
    </row>
    <row r="1168" spans="2:13" s="204" customFormat="1" x14ac:dyDescent="0.25">
      <c r="B1168" s="246"/>
      <c r="C1168" s="246"/>
      <c r="D1168" s="246"/>
      <c r="E1168" s="246"/>
      <c r="F1168" s="246"/>
      <c r="G1168" s="246"/>
      <c r="H1168" s="246"/>
      <c r="I1168" s="246"/>
      <c r="J1168" s="246"/>
      <c r="K1168" s="299"/>
      <c r="L1168" s="246"/>
      <c r="M1168" s="246"/>
    </row>
    <row r="1169" spans="2:13" s="204" customFormat="1" x14ac:dyDescent="0.25">
      <c r="B1169" s="246"/>
      <c r="C1169" s="246"/>
      <c r="D1169" s="246"/>
      <c r="E1169" s="246"/>
      <c r="F1169" s="246"/>
      <c r="G1169" s="246"/>
      <c r="H1169" s="246"/>
      <c r="I1169" s="246"/>
      <c r="J1169" s="246"/>
      <c r="K1169" s="299"/>
      <c r="L1169" s="246"/>
      <c r="M1169" s="246"/>
    </row>
    <row r="1170" spans="2:13" s="204" customFormat="1" x14ac:dyDescent="0.25">
      <c r="B1170" s="246"/>
      <c r="C1170" s="246"/>
      <c r="D1170" s="246"/>
      <c r="E1170" s="246"/>
      <c r="F1170" s="246"/>
      <c r="G1170" s="246"/>
      <c r="H1170" s="246"/>
      <c r="I1170" s="246"/>
      <c r="J1170" s="246"/>
      <c r="K1170" s="299"/>
      <c r="L1170" s="246"/>
      <c r="M1170" s="246"/>
    </row>
    <row r="1171" spans="2:13" s="204" customFormat="1" x14ac:dyDescent="0.25">
      <c r="B1171" s="246"/>
      <c r="C1171" s="246"/>
      <c r="D1171" s="246"/>
      <c r="E1171" s="246"/>
      <c r="F1171" s="246"/>
      <c r="G1171" s="246"/>
      <c r="H1171" s="246"/>
      <c r="I1171" s="246"/>
      <c r="J1171" s="246"/>
      <c r="K1171" s="299"/>
      <c r="L1171" s="246"/>
      <c r="M1171" s="246"/>
    </row>
    <row r="1172" spans="2:13" s="204" customFormat="1" x14ac:dyDescent="0.25">
      <c r="B1172" s="246"/>
      <c r="C1172" s="246"/>
      <c r="D1172" s="246"/>
      <c r="E1172" s="246"/>
      <c r="F1172" s="246"/>
      <c r="G1172" s="246"/>
      <c r="H1172" s="246"/>
      <c r="I1172" s="246"/>
      <c r="J1172" s="246"/>
      <c r="K1172" s="299"/>
      <c r="L1172" s="246"/>
      <c r="M1172" s="246"/>
    </row>
    <row r="1173" spans="2:13" s="204" customFormat="1" x14ac:dyDescent="0.25">
      <c r="B1173" s="246"/>
      <c r="C1173" s="246"/>
      <c r="D1173" s="246"/>
      <c r="E1173" s="246"/>
      <c r="F1173" s="246"/>
      <c r="G1173" s="246"/>
      <c r="H1173" s="246"/>
      <c r="I1173" s="246"/>
      <c r="J1173" s="246"/>
      <c r="K1173" s="299"/>
      <c r="L1173" s="246"/>
      <c r="M1173" s="246"/>
    </row>
    <row r="1174" spans="2:13" s="204" customFormat="1" x14ac:dyDescent="0.25">
      <c r="B1174" s="246"/>
      <c r="C1174" s="246"/>
      <c r="D1174" s="246"/>
      <c r="E1174" s="246"/>
      <c r="F1174" s="246"/>
      <c r="G1174" s="246"/>
      <c r="H1174" s="246"/>
      <c r="I1174" s="246"/>
      <c r="J1174" s="246"/>
      <c r="K1174" s="299"/>
      <c r="L1174" s="246"/>
      <c r="M1174" s="246"/>
    </row>
    <row r="1175" spans="2:13" s="204" customFormat="1" x14ac:dyDescent="0.25">
      <c r="B1175" s="246"/>
      <c r="C1175" s="246"/>
      <c r="D1175" s="246"/>
      <c r="E1175" s="246"/>
      <c r="F1175" s="246"/>
      <c r="G1175" s="246"/>
      <c r="H1175" s="246"/>
      <c r="I1175" s="246"/>
      <c r="J1175" s="246"/>
      <c r="K1175" s="299"/>
      <c r="L1175" s="246"/>
      <c r="M1175" s="246"/>
    </row>
    <row r="1176" spans="2:13" s="204" customFormat="1" x14ac:dyDescent="0.25">
      <c r="B1176" s="246"/>
      <c r="C1176" s="246"/>
      <c r="D1176" s="246"/>
      <c r="E1176" s="246"/>
      <c r="F1176" s="246"/>
      <c r="G1176" s="246"/>
      <c r="H1176" s="246"/>
      <c r="I1176" s="246"/>
      <c r="J1176" s="246"/>
      <c r="K1176" s="299"/>
      <c r="L1176" s="246"/>
      <c r="M1176" s="246"/>
    </row>
    <row r="1177" spans="2:13" s="204" customFormat="1" x14ac:dyDescent="0.25">
      <c r="B1177" s="246"/>
      <c r="C1177" s="246"/>
      <c r="D1177" s="246"/>
      <c r="E1177" s="246"/>
      <c r="F1177" s="246"/>
      <c r="G1177" s="246"/>
      <c r="H1177" s="246"/>
      <c r="I1177" s="246"/>
      <c r="J1177" s="246"/>
      <c r="K1177" s="299"/>
      <c r="L1177" s="246"/>
      <c r="M1177" s="246"/>
    </row>
    <row r="1178" spans="2:13" s="204" customFormat="1" x14ac:dyDescent="0.25">
      <c r="B1178" s="246"/>
      <c r="C1178" s="246"/>
      <c r="D1178" s="246"/>
      <c r="E1178" s="246"/>
      <c r="F1178" s="246"/>
      <c r="G1178" s="246"/>
      <c r="H1178" s="246"/>
      <c r="I1178" s="246"/>
      <c r="J1178" s="246"/>
      <c r="K1178" s="299"/>
      <c r="L1178" s="246"/>
      <c r="M1178" s="246"/>
    </row>
    <row r="1179" spans="2:13" s="204" customFormat="1" x14ac:dyDescent="0.25">
      <c r="B1179" s="246"/>
      <c r="C1179" s="246"/>
      <c r="D1179" s="246"/>
      <c r="E1179" s="246"/>
      <c r="F1179" s="246"/>
      <c r="G1179" s="246"/>
      <c r="H1179" s="246"/>
      <c r="I1179" s="246"/>
      <c r="J1179" s="246"/>
      <c r="K1179" s="299"/>
      <c r="L1179" s="246"/>
      <c r="M1179" s="246"/>
    </row>
    <row r="1180" spans="2:13" s="204" customFormat="1" x14ac:dyDescent="0.25">
      <c r="B1180" s="246"/>
      <c r="C1180" s="246"/>
      <c r="D1180" s="246"/>
      <c r="E1180" s="246"/>
      <c r="F1180" s="246"/>
      <c r="G1180" s="246"/>
      <c r="H1180" s="246"/>
      <c r="I1180" s="246"/>
      <c r="J1180" s="246"/>
      <c r="K1180" s="299"/>
      <c r="L1180" s="246"/>
      <c r="M1180" s="246"/>
    </row>
    <row r="1181" spans="2:13" s="204" customFormat="1" x14ac:dyDescent="0.25">
      <c r="B1181" s="246"/>
      <c r="C1181" s="246"/>
      <c r="D1181" s="246"/>
      <c r="E1181" s="246"/>
      <c r="F1181" s="246"/>
      <c r="G1181" s="246"/>
      <c r="H1181" s="246"/>
      <c r="I1181" s="246"/>
      <c r="J1181" s="246"/>
      <c r="K1181" s="299"/>
      <c r="L1181" s="246"/>
      <c r="M1181" s="246"/>
    </row>
    <row r="1182" spans="2:13" s="204" customFormat="1" x14ac:dyDescent="0.25">
      <c r="B1182" s="246"/>
      <c r="C1182" s="246"/>
      <c r="D1182" s="246"/>
      <c r="E1182" s="246"/>
      <c r="F1182" s="246"/>
      <c r="G1182" s="246"/>
      <c r="H1182" s="246"/>
      <c r="I1182" s="246"/>
      <c r="J1182" s="246"/>
      <c r="K1182" s="299"/>
      <c r="L1182" s="246"/>
      <c r="M1182" s="246"/>
    </row>
    <row r="1183" spans="2:13" s="204" customFormat="1" x14ac:dyDescent="0.25">
      <c r="B1183" s="246"/>
      <c r="C1183" s="246"/>
      <c r="D1183" s="246"/>
      <c r="E1183" s="246"/>
      <c r="F1183" s="246"/>
      <c r="G1183" s="246"/>
      <c r="H1183" s="246"/>
      <c r="I1183" s="246"/>
      <c r="J1183" s="246"/>
      <c r="K1183" s="299"/>
      <c r="L1183" s="246"/>
      <c r="M1183" s="246"/>
    </row>
    <row r="1184" spans="2:13" s="204" customFormat="1" x14ac:dyDescent="0.25">
      <c r="B1184" s="246"/>
      <c r="C1184" s="246"/>
      <c r="D1184" s="246"/>
      <c r="E1184" s="246"/>
      <c r="F1184" s="246"/>
      <c r="G1184" s="246"/>
      <c r="H1184" s="246"/>
      <c r="I1184" s="246"/>
      <c r="J1184" s="246"/>
      <c r="K1184" s="299"/>
      <c r="L1184" s="246"/>
      <c r="M1184" s="246"/>
    </row>
    <row r="1185" spans="2:13" s="204" customFormat="1" x14ac:dyDescent="0.25">
      <c r="B1185" s="246"/>
      <c r="C1185" s="246"/>
      <c r="D1185" s="246"/>
      <c r="E1185" s="246"/>
      <c r="F1185" s="246"/>
      <c r="G1185" s="246"/>
      <c r="H1185" s="246"/>
      <c r="I1185" s="246"/>
      <c r="J1185" s="246"/>
      <c r="K1185" s="299"/>
      <c r="L1185" s="246"/>
      <c r="M1185" s="246"/>
    </row>
    <row r="1186" spans="2:13" s="204" customFormat="1" x14ac:dyDescent="0.25">
      <c r="B1186" s="246"/>
      <c r="C1186" s="246"/>
      <c r="D1186" s="246"/>
      <c r="E1186" s="246"/>
      <c r="F1186" s="246"/>
      <c r="G1186" s="246"/>
      <c r="H1186" s="246"/>
      <c r="I1186" s="246"/>
      <c r="J1186" s="246"/>
      <c r="K1186" s="299"/>
      <c r="L1186" s="246"/>
      <c r="M1186" s="246"/>
    </row>
    <row r="1187" spans="2:13" s="204" customFormat="1" x14ac:dyDescent="0.25">
      <c r="B1187" s="246"/>
      <c r="C1187" s="246"/>
      <c r="D1187" s="246"/>
      <c r="E1187" s="246"/>
      <c r="F1187" s="246"/>
      <c r="G1187" s="246"/>
      <c r="H1187" s="246"/>
      <c r="I1187" s="246"/>
      <c r="J1187" s="246"/>
      <c r="K1187" s="299"/>
      <c r="L1187" s="246"/>
      <c r="M1187" s="246"/>
    </row>
    <row r="1188" spans="2:13" s="204" customFormat="1" x14ac:dyDescent="0.25">
      <c r="B1188" s="246"/>
      <c r="C1188" s="246"/>
      <c r="D1188" s="246"/>
      <c r="E1188" s="246"/>
      <c r="F1188" s="246"/>
      <c r="G1188" s="246"/>
      <c r="H1188" s="246"/>
      <c r="I1188" s="246"/>
      <c r="J1188" s="246"/>
      <c r="K1188" s="299"/>
      <c r="L1188" s="246"/>
      <c r="M1188" s="246"/>
    </row>
    <row r="1189" spans="2:13" s="204" customFormat="1" x14ac:dyDescent="0.25">
      <c r="B1189" s="246"/>
      <c r="C1189" s="246"/>
      <c r="D1189" s="246"/>
      <c r="E1189" s="246"/>
      <c r="F1189" s="246"/>
      <c r="G1189" s="246"/>
      <c r="H1189" s="246"/>
      <c r="I1189" s="246"/>
      <c r="J1189" s="246"/>
      <c r="K1189" s="299"/>
      <c r="L1189" s="246"/>
      <c r="M1189" s="246"/>
    </row>
    <row r="1190" spans="2:13" s="204" customFormat="1" x14ac:dyDescent="0.25">
      <c r="B1190" s="246"/>
      <c r="C1190" s="246"/>
      <c r="D1190" s="246"/>
      <c r="E1190" s="246"/>
      <c r="F1190" s="246"/>
      <c r="G1190" s="246"/>
      <c r="H1190" s="246"/>
      <c r="I1190" s="246"/>
      <c r="J1190" s="246"/>
      <c r="K1190" s="299"/>
      <c r="L1190" s="246"/>
      <c r="M1190" s="246"/>
    </row>
    <row r="1191" spans="2:13" s="204" customFormat="1" x14ac:dyDescent="0.25">
      <c r="B1191" s="246"/>
      <c r="C1191" s="246"/>
      <c r="D1191" s="246"/>
      <c r="E1191" s="246"/>
      <c r="F1191" s="246"/>
      <c r="G1191" s="246"/>
      <c r="H1191" s="246"/>
      <c r="I1191" s="246"/>
      <c r="J1191" s="246"/>
      <c r="K1191" s="299"/>
      <c r="L1191" s="246"/>
      <c r="M1191" s="246"/>
    </row>
    <row r="1192" spans="2:13" s="204" customFormat="1" x14ac:dyDescent="0.25">
      <c r="B1192" s="246"/>
      <c r="C1192" s="246"/>
      <c r="D1192" s="246"/>
      <c r="E1192" s="246"/>
      <c r="F1192" s="246"/>
      <c r="G1192" s="246"/>
      <c r="H1192" s="246"/>
      <c r="I1192" s="246"/>
      <c r="J1192" s="246"/>
      <c r="K1192" s="299"/>
      <c r="L1192" s="246"/>
      <c r="M1192" s="246"/>
    </row>
    <row r="1193" spans="2:13" s="204" customFormat="1" x14ac:dyDescent="0.25">
      <c r="B1193" s="246"/>
      <c r="C1193" s="246"/>
      <c r="D1193" s="246"/>
      <c r="E1193" s="246"/>
      <c r="F1193" s="246"/>
      <c r="G1193" s="246"/>
      <c r="H1193" s="246"/>
      <c r="I1193" s="246"/>
      <c r="J1193" s="246"/>
      <c r="K1193" s="299"/>
      <c r="L1193" s="246"/>
      <c r="M1193" s="246"/>
    </row>
    <row r="1194" spans="2:13" s="204" customFormat="1" x14ac:dyDescent="0.25">
      <c r="B1194" s="246"/>
      <c r="C1194" s="246"/>
      <c r="D1194" s="246"/>
      <c r="E1194" s="246"/>
      <c r="F1194" s="246"/>
      <c r="G1194" s="246"/>
      <c r="H1194" s="246"/>
      <c r="I1194" s="246"/>
      <c r="J1194" s="246"/>
      <c r="K1194" s="299"/>
      <c r="L1194" s="246"/>
      <c r="M1194" s="246"/>
    </row>
    <row r="1195" spans="2:13" s="204" customFormat="1" x14ac:dyDescent="0.25">
      <c r="B1195" s="246"/>
      <c r="C1195" s="246"/>
      <c r="D1195" s="246"/>
      <c r="E1195" s="246"/>
      <c r="F1195" s="246"/>
      <c r="G1195" s="246"/>
      <c r="H1195" s="246"/>
      <c r="I1195" s="246"/>
      <c r="J1195" s="246"/>
      <c r="K1195" s="299"/>
      <c r="L1195" s="246"/>
      <c r="M1195" s="246"/>
    </row>
    <row r="1196" spans="2:13" s="204" customFormat="1" x14ac:dyDescent="0.25">
      <c r="B1196" s="246"/>
      <c r="C1196" s="246"/>
      <c r="D1196" s="246"/>
      <c r="E1196" s="246"/>
      <c r="F1196" s="246"/>
      <c r="G1196" s="246"/>
      <c r="H1196" s="246"/>
      <c r="I1196" s="246"/>
      <c r="J1196" s="246"/>
      <c r="K1196" s="299"/>
      <c r="L1196" s="246"/>
      <c r="M1196" s="246"/>
    </row>
    <row r="1197" spans="2:13" s="204" customFormat="1" x14ac:dyDescent="0.25">
      <c r="B1197" s="246"/>
      <c r="C1197" s="246"/>
      <c r="D1197" s="246"/>
      <c r="E1197" s="246"/>
      <c r="F1197" s="246"/>
      <c r="G1197" s="246"/>
      <c r="H1197" s="246"/>
      <c r="I1197" s="246"/>
      <c r="J1197" s="246"/>
      <c r="K1197" s="299"/>
      <c r="L1197" s="246"/>
      <c r="M1197" s="246"/>
    </row>
    <row r="1198" spans="2:13" s="204" customFormat="1" x14ac:dyDescent="0.25">
      <c r="B1198" s="246"/>
      <c r="C1198" s="246"/>
      <c r="D1198" s="246"/>
      <c r="E1198" s="246"/>
      <c r="F1198" s="246"/>
      <c r="G1198" s="246"/>
      <c r="H1198" s="246"/>
      <c r="I1198" s="246"/>
      <c r="J1198" s="246"/>
      <c r="K1198" s="299"/>
      <c r="L1198" s="246"/>
      <c r="M1198" s="246"/>
    </row>
    <row r="1199" spans="2:13" s="204" customFormat="1" x14ac:dyDescent="0.25">
      <c r="B1199" s="246"/>
      <c r="C1199" s="246"/>
      <c r="D1199" s="246"/>
      <c r="E1199" s="246"/>
      <c r="F1199" s="246"/>
      <c r="G1199" s="246"/>
      <c r="H1199" s="246"/>
      <c r="I1199" s="246"/>
      <c r="J1199" s="246"/>
      <c r="K1199" s="299"/>
      <c r="L1199" s="246"/>
      <c r="M1199" s="246"/>
    </row>
    <row r="1200" spans="2:13" s="204" customFormat="1" x14ac:dyDescent="0.25">
      <c r="B1200" s="246"/>
      <c r="C1200" s="246"/>
      <c r="D1200" s="246"/>
      <c r="E1200" s="246"/>
      <c r="F1200" s="246"/>
      <c r="G1200" s="246"/>
      <c r="H1200" s="246"/>
      <c r="I1200" s="246"/>
      <c r="J1200" s="246"/>
      <c r="K1200" s="299"/>
      <c r="L1200" s="246"/>
      <c r="M1200" s="246"/>
    </row>
    <row r="1201" spans="2:13" s="204" customFormat="1" x14ac:dyDescent="0.25">
      <c r="B1201" s="246"/>
      <c r="C1201" s="246"/>
      <c r="D1201" s="246"/>
      <c r="E1201" s="246"/>
      <c r="F1201" s="246"/>
      <c r="G1201" s="246"/>
      <c r="H1201" s="246"/>
      <c r="I1201" s="246"/>
      <c r="J1201" s="246"/>
      <c r="K1201" s="299"/>
      <c r="L1201" s="246"/>
      <c r="M1201" s="246"/>
    </row>
    <row r="1202" spans="2:13" s="204" customFormat="1" x14ac:dyDescent="0.25">
      <c r="B1202" s="246"/>
      <c r="C1202" s="246"/>
      <c r="D1202" s="246"/>
      <c r="E1202" s="246"/>
      <c r="F1202" s="246"/>
      <c r="G1202" s="246"/>
      <c r="H1202" s="246"/>
      <c r="I1202" s="246"/>
      <c r="J1202" s="246"/>
      <c r="K1202" s="299"/>
      <c r="L1202" s="246"/>
      <c r="M1202" s="246"/>
    </row>
    <row r="1203" spans="2:13" s="204" customFormat="1" x14ac:dyDescent="0.25">
      <c r="B1203" s="246"/>
      <c r="C1203" s="246"/>
      <c r="D1203" s="246"/>
      <c r="E1203" s="246"/>
      <c r="F1203" s="246"/>
      <c r="G1203" s="246"/>
      <c r="H1203" s="246"/>
      <c r="I1203" s="246"/>
      <c r="J1203" s="246"/>
      <c r="K1203" s="299"/>
      <c r="L1203" s="246"/>
      <c r="M1203" s="246"/>
    </row>
    <row r="1204" spans="2:13" s="204" customFormat="1" x14ac:dyDescent="0.25">
      <c r="B1204" s="246"/>
      <c r="C1204" s="246"/>
      <c r="D1204" s="246"/>
      <c r="E1204" s="246"/>
      <c r="F1204" s="246"/>
      <c r="G1204" s="246"/>
      <c r="H1204" s="246"/>
      <c r="I1204" s="246"/>
      <c r="J1204" s="246"/>
      <c r="K1204" s="299"/>
      <c r="L1204" s="246"/>
      <c r="M1204" s="246"/>
    </row>
    <row r="1205" spans="2:13" s="204" customFormat="1" x14ac:dyDescent="0.25">
      <c r="B1205" s="246"/>
      <c r="C1205" s="246"/>
      <c r="D1205" s="246"/>
      <c r="E1205" s="246"/>
      <c r="F1205" s="246"/>
      <c r="G1205" s="246"/>
      <c r="H1205" s="246"/>
      <c r="I1205" s="246"/>
      <c r="J1205" s="246"/>
      <c r="K1205" s="299"/>
      <c r="L1205" s="246"/>
      <c r="M1205" s="246"/>
    </row>
    <row r="1206" spans="2:13" s="204" customFormat="1" x14ac:dyDescent="0.25">
      <c r="B1206" s="246"/>
      <c r="C1206" s="246"/>
      <c r="D1206" s="246"/>
      <c r="E1206" s="246"/>
      <c r="F1206" s="246"/>
      <c r="G1206" s="246"/>
      <c r="H1206" s="246"/>
      <c r="I1206" s="246"/>
      <c r="J1206" s="246"/>
      <c r="K1206" s="299"/>
      <c r="L1206" s="246"/>
      <c r="M1206" s="246"/>
    </row>
    <row r="1207" spans="2:13" s="204" customFormat="1" x14ac:dyDescent="0.25">
      <c r="B1207" s="246"/>
      <c r="C1207" s="246"/>
      <c r="D1207" s="246"/>
      <c r="E1207" s="246"/>
      <c r="F1207" s="246"/>
      <c r="G1207" s="246"/>
      <c r="H1207" s="246"/>
      <c r="I1207" s="246"/>
      <c r="J1207" s="246"/>
      <c r="K1207" s="299"/>
      <c r="L1207" s="246"/>
      <c r="M1207" s="246"/>
    </row>
    <row r="1208" spans="2:13" s="204" customFormat="1" x14ac:dyDescent="0.25">
      <c r="B1208" s="246"/>
      <c r="C1208" s="246"/>
      <c r="D1208" s="246"/>
      <c r="E1208" s="246"/>
      <c r="F1208" s="246"/>
      <c r="G1208" s="246"/>
      <c r="H1208" s="246"/>
      <c r="I1208" s="246"/>
      <c r="J1208" s="246"/>
      <c r="K1208" s="299"/>
      <c r="L1208" s="246"/>
      <c r="M1208" s="246"/>
    </row>
    <row r="1209" spans="2:13" s="204" customFormat="1" x14ac:dyDescent="0.25">
      <c r="B1209" s="246"/>
      <c r="C1209" s="246"/>
      <c r="D1209" s="246"/>
      <c r="E1209" s="246"/>
      <c r="F1209" s="246"/>
      <c r="G1209" s="246"/>
      <c r="H1209" s="246"/>
      <c r="I1209" s="246"/>
      <c r="J1209" s="246"/>
      <c r="K1209" s="299"/>
      <c r="L1209" s="246"/>
      <c r="M1209" s="246"/>
    </row>
    <row r="1210" spans="2:13" s="204" customFormat="1" x14ac:dyDescent="0.25">
      <c r="B1210" s="246"/>
      <c r="C1210" s="246"/>
      <c r="D1210" s="246"/>
      <c r="E1210" s="246"/>
      <c r="F1210" s="246"/>
      <c r="G1210" s="246"/>
      <c r="H1210" s="246"/>
      <c r="I1210" s="246"/>
      <c r="J1210" s="246"/>
      <c r="K1210" s="299"/>
      <c r="L1210" s="246"/>
      <c r="M1210" s="246"/>
    </row>
    <row r="1211" spans="2:13" s="204" customFormat="1" x14ac:dyDescent="0.25">
      <c r="B1211" s="246"/>
      <c r="C1211" s="246"/>
      <c r="D1211" s="246"/>
      <c r="E1211" s="246"/>
      <c r="F1211" s="246"/>
      <c r="G1211" s="246"/>
      <c r="H1211" s="246"/>
      <c r="I1211" s="246"/>
      <c r="J1211" s="246"/>
      <c r="K1211" s="299"/>
      <c r="L1211" s="246"/>
      <c r="M1211" s="246"/>
    </row>
    <row r="1212" spans="2:13" s="204" customFormat="1" x14ac:dyDescent="0.25">
      <c r="B1212" s="246"/>
      <c r="C1212" s="246"/>
      <c r="D1212" s="246"/>
      <c r="E1212" s="246"/>
      <c r="F1212" s="246"/>
      <c r="G1212" s="246"/>
      <c r="H1212" s="246"/>
      <c r="I1212" s="246"/>
      <c r="J1212" s="246"/>
      <c r="K1212" s="299"/>
      <c r="L1212" s="246"/>
      <c r="M1212" s="246"/>
    </row>
    <row r="1213" spans="2:13" s="204" customFormat="1" x14ac:dyDescent="0.25">
      <c r="B1213" s="246"/>
      <c r="C1213" s="246"/>
      <c r="D1213" s="246"/>
      <c r="E1213" s="246"/>
      <c r="F1213" s="246"/>
      <c r="G1213" s="246"/>
      <c r="H1213" s="246"/>
      <c r="I1213" s="246"/>
      <c r="J1213" s="246"/>
      <c r="K1213" s="299"/>
      <c r="L1213" s="246"/>
      <c r="M1213" s="246"/>
    </row>
    <row r="1214" spans="2:13" s="204" customFormat="1" x14ac:dyDescent="0.25">
      <c r="B1214" s="246"/>
      <c r="C1214" s="246"/>
      <c r="D1214" s="246"/>
      <c r="E1214" s="246"/>
      <c r="F1214" s="246"/>
      <c r="G1214" s="246"/>
      <c r="H1214" s="246"/>
      <c r="I1214" s="246"/>
      <c r="J1214" s="246"/>
      <c r="K1214" s="299"/>
      <c r="L1214" s="246"/>
      <c r="M1214" s="246"/>
    </row>
    <row r="1215" spans="2:13" s="204" customFormat="1" x14ac:dyDescent="0.25">
      <c r="B1215" s="246"/>
      <c r="C1215" s="246"/>
      <c r="D1215" s="246"/>
      <c r="E1215" s="246"/>
      <c r="F1215" s="246"/>
      <c r="G1215" s="246"/>
      <c r="H1215" s="246"/>
      <c r="I1215" s="246"/>
      <c r="J1215" s="246"/>
      <c r="K1215" s="299"/>
      <c r="L1215" s="246"/>
      <c r="M1215" s="246"/>
    </row>
    <row r="1216" spans="2:13" s="204" customFormat="1" x14ac:dyDescent="0.25">
      <c r="B1216" s="246"/>
      <c r="C1216" s="246"/>
      <c r="D1216" s="246"/>
      <c r="E1216" s="246"/>
      <c r="F1216" s="246"/>
      <c r="G1216" s="246"/>
      <c r="H1216" s="246"/>
      <c r="I1216" s="246"/>
      <c r="J1216" s="246"/>
      <c r="K1216" s="299"/>
      <c r="L1216" s="246"/>
      <c r="M1216" s="246"/>
    </row>
    <row r="1217" spans="2:13" s="204" customFormat="1" x14ac:dyDescent="0.25">
      <c r="B1217" s="246"/>
      <c r="C1217" s="246"/>
      <c r="D1217" s="246"/>
      <c r="E1217" s="246"/>
      <c r="F1217" s="246"/>
      <c r="G1217" s="246"/>
      <c r="H1217" s="246"/>
      <c r="I1217" s="246"/>
      <c r="J1217" s="246"/>
      <c r="K1217" s="299"/>
      <c r="L1217" s="246"/>
      <c r="M1217" s="246"/>
    </row>
    <row r="1218" spans="2:13" s="204" customFormat="1" x14ac:dyDescent="0.25">
      <c r="B1218" s="246"/>
      <c r="C1218" s="246"/>
      <c r="D1218" s="246"/>
      <c r="E1218" s="246"/>
      <c r="F1218" s="246"/>
      <c r="G1218" s="246"/>
      <c r="H1218" s="246"/>
      <c r="I1218" s="246"/>
      <c r="J1218" s="246"/>
      <c r="K1218" s="299"/>
      <c r="L1218" s="246"/>
      <c r="M1218" s="246"/>
    </row>
    <row r="1219" spans="2:13" s="204" customFormat="1" x14ac:dyDescent="0.25">
      <c r="B1219" s="246"/>
      <c r="C1219" s="246"/>
      <c r="D1219" s="246"/>
      <c r="E1219" s="246"/>
      <c r="F1219" s="246"/>
      <c r="G1219" s="246"/>
      <c r="H1219" s="246"/>
      <c r="I1219" s="246"/>
      <c r="J1219" s="246"/>
      <c r="K1219" s="299"/>
      <c r="L1219" s="246"/>
      <c r="M1219" s="246"/>
    </row>
    <row r="1220" spans="2:13" s="204" customFormat="1" x14ac:dyDescent="0.25">
      <c r="B1220" s="246"/>
      <c r="C1220" s="246"/>
      <c r="D1220" s="246"/>
      <c r="E1220" s="246"/>
      <c r="F1220" s="246"/>
      <c r="G1220" s="246"/>
      <c r="H1220" s="246"/>
      <c r="I1220" s="246"/>
      <c r="J1220" s="246"/>
      <c r="K1220" s="299"/>
      <c r="L1220" s="246"/>
      <c r="M1220" s="246"/>
    </row>
    <row r="1221" spans="2:13" s="204" customFormat="1" x14ac:dyDescent="0.25">
      <c r="B1221" s="246"/>
      <c r="C1221" s="246"/>
      <c r="D1221" s="246"/>
      <c r="E1221" s="246"/>
      <c r="F1221" s="246"/>
      <c r="G1221" s="246"/>
      <c r="H1221" s="246"/>
      <c r="I1221" s="246"/>
      <c r="J1221" s="246"/>
      <c r="K1221" s="299"/>
      <c r="L1221" s="246"/>
      <c r="M1221" s="246"/>
    </row>
    <row r="1222" spans="2:13" s="204" customFormat="1" x14ac:dyDescent="0.25">
      <c r="B1222" s="246"/>
      <c r="C1222" s="246"/>
      <c r="D1222" s="246"/>
      <c r="E1222" s="246"/>
      <c r="F1222" s="246"/>
      <c r="G1222" s="246"/>
      <c r="H1222" s="246"/>
      <c r="I1222" s="246"/>
      <c r="J1222" s="246"/>
      <c r="K1222" s="299"/>
      <c r="L1222" s="246"/>
      <c r="M1222" s="246"/>
    </row>
    <row r="1223" spans="2:13" s="204" customFormat="1" x14ac:dyDescent="0.25">
      <c r="B1223" s="246"/>
      <c r="C1223" s="246"/>
      <c r="D1223" s="246"/>
      <c r="E1223" s="246"/>
      <c r="F1223" s="246"/>
      <c r="G1223" s="246"/>
      <c r="H1223" s="246"/>
      <c r="I1223" s="246"/>
      <c r="J1223" s="246"/>
      <c r="K1223" s="299"/>
      <c r="L1223" s="246"/>
      <c r="M1223" s="246"/>
    </row>
    <row r="1224" spans="2:13" s="204" customFormat="1" x14ac:dyDescent="0.25">
      <c r="B1224" s="246"/>
      <c r="C1224" s="246"/>
      <c r="D1224" s="246"/>
      <c r="E1224" s="246"/>
      <c r="F1224" s="246"/>
      <c r="G1224" s="246"/>
      <c r="H1224" s="246"/>
      <c r="I1224" s="246"/>
      <c r="J1224" s="246"/>
      <c r="K1224" s="299"/>
      <c r="L1224" s="246"/>
      <c r="M1224" s="246"/>
    </row>
    <row r="1225" spans="2:13" s="204" customFormat="1" x14ac:dyDescent="0.25">
      <c r="B1225" s="246"/>
      <c r="C1225" s="246"/>
      <c r="D1225" s="246"/>
      <c r="E1225" s="246"/>
      <c r="F1225" s="246"/>
      <c r="G1225" s="246"/>
      <c r="H1225" s="246"/>
      <c r="I1225" s="246"/>
      <c r="J1225" s="246"/>
      <c r="K1225" s="299"/>
      <c r="L1225" s="246"/>
      <c r="M1225" s="246"/>
    </row>
    <row r="1226" spans="2:13" s="204" customFormat="1" x14ac:dyDescent="0.25">
      <c r="B1226" s="246"/>
      <c r="C1226" s="246"/>
      <c r="D1226" s="246"/>
      <c r="E1226" s="246"/>
      <c r="F1226" s="246"/>
      <c r="G1226" s="246"/>
      <c r="H1226" s="246"/>
      <c r="I1226" s="246"/>
      <c r="J1226" s="246"/>
      <c r="K1226" s="299"/>
      <c r="L1226" s="246"/>
      <c r="M1226" s="246"/>
    </row>
    <row r="1227" spans="2:13" s="204" customFormat="1" x14ac:dyDescent="0.25">
      <c r="B1227" s="246"/>
      <c r="C1227" s="246"/>
      <c r="D1227" s="246"/>
      <c r="E1227" s="246"/>
      <c r="F1227" s="246"/>
      <c r="G1227" s="246"/>
      <c r="H1227" s="246"/>
      <c r="I1227" s="246"/>
      <c r="J1227" s="246"/>
      <c r="K1227" s="299"/>
      <c r="L1227" s="246"/>
      <c r="M1227" s="246"/>
    </row>
    <row r="1228" spans="2:13" s="204" customFormat="1" x14ac:dyDescent="0.25">
      <c r="B1228" s="246"/>
      <c r="C1228" s="246"/>
      <c r="D1228" s="246"/>
      <c r="E1228" s="246"/>
      <c r="F1228" s="246"/>
      <c r="G1228" s="246"/>
      <c r="H1228" s="246"/>
      <c r="I1228" s="246"/>
      <c r="J1228" s="246"/>
      <c r="K1228" s="299"/>
      <c r="L1228" s="246"/>
      <c r="M1228" s="246"/>
    </row>
    <row r="1229" spans="2:13" s="204" customFormat="1" x14ac:dyDescent="0.25">
      <c r="B1229" s="246"/>
      <c r="C1229" s="246"/>
      <c r="D1229" s="246"/>
      <c r="E1229" s="246"/>
      <c r="F1229" s="246"/>
      <c r="G1229" s="246"/>
      <c r="H1229" s="246"/>
      <c r="I1229" s="246"/>
      <c r="J1229" s="246"/>
      <c r="K1229" s="299"/>
      <c r="L1229" s="246"/>
      <c r="M1229" s="246"/>
    </row>
    <row r="1230" spans="2:13" s="204" customFormat="1" x14ac:dyDescent="0.25">
      <c r="B1230" s="246"/>
      <c r="C1230" s="246"/>
      <c r="D1230" s="246"/>
      <c r="E1230" s="246"/>
      <c r="F1230" s="246"/>
      <c r="G1230" s="246"/>
      <c r="H1230" s="246"/>
      <c r="I1230" s="246"/>
      <c r="J1230" s="246"/>
      <c r="K1230" s="299"/>
      <c r="L1230" s="246"/>
      <c r="M1230" s="246"/>
    </row>
    <row r="1231" spans="2:13" s="204" customFormat="1" x14ac:dyDescent="0.25">
      <c r="B1231" s="246"/>
      <c r="C1231" s="246"/>
      <c r="D1231" s="246"/>
      <c r="E1231" s="246"/>
      <c r="F1231" s="246"/>
      <c r="G1231" s="246"/>
      <c r="H1231" s="246"/>
      <c r="I1231" s="246"/>
      <c r="J1231" s="246"/>
      <c r="K1231" s="299"/>
      <c r="L1231" s="246"/>
      <c r="M1231" s="246"/>
    </row>
    <row r="1232" spans="2:13" s="204" customFormat="1" x14ac:dyDescent="0.25">
      <c r="B1232" s="246"/>
      <c r="C1232" s="246"/>
      <c r="D1232" s="246"/>
      <c r="E1232" s="246"/>
      <c r="F1232" s="246"/>
      <c r="G1232" s="246"/>
      <c r="H1232" s="246"/>
      <c r="I1232" s="246"/>
      <c r="J1232" s="246"/>
      <c r="K1232" s="299"/>
      <c r="L1232" s="246"/>
      <c r="M1232" s="246"/>
    </row>
    <row r="1233" spans="2:13" s="204" customFormat="1" x14ac:dyDescent="0.25">
      <c r="B1233" s="246"/>
      <c r="C1233" s="246"/>
      <c r="D1233" s="246"/>
      <c r="E1233" s="246"/>
      <c r="F1233" s="246"/>
      <c r="G1233" s="246"/>
      <c r="H1233" s="246"/>
      <c r="I1233" s="246"/>
      <c r="J1233" s="246"/>
      <c r="K1233" s="299"/>
      <c r="L1233" s="246"/>
      <c r="M1233" s="246"/>
    </row>
    <row r="1234" spans="2:13" s="204" customFormat="1" x14ac:dyDescent="0.25">
      <c r="B1234" s="246"/>
      <c r="C1234" s="246"/>
      <c r="D1234" s="246"/>
      <c r="E1234" s="246"/>
      <c r="F1234" s="246"/>
      <c r="G1234" s="246"/>
      <c r="H1234" s="246"/>
      <c r="I1234" s="246"/>
      <c r="J1234" s="246"/>
      <c r="K1234" s="299"/>
      <c r="L1234" s="246"/>
      <c r="M1234" s="246"/>
    </row>
    <row r="1235" spans="2:13" s="204" customFormat="1" x14ac:dyDescent="0.25">
      <c r="B1235" s="246"/>
      <c r="C1235" s="246"/>
      <c r="D1235" s="246"/>
      <c r="E1235" s="246"/>
      <c r="F1235" s="246"/>
      <c r="G1235" s="246"/>
      <c r="H1235" s="246"/>
      <c r="I1235" s="246"/>
      <c r="J1235" s="246"/>
      <c r="K1235" s="299"/>
      <c r="L1235" s="246"/>
      <c r="M1235" s="246"/>
    </row>
    <row r="1236" spans="2:13" s="204" customFormat="1" x14ac:dyDescent="0.25">
      <c r="B1236" s="246"/>
      <c r="C1236" s="246"/>
      <c r="D1236" s="246"/>
      <c r="E1236" s="246"/>
      <c r="F1236" s="246"/>
      <c r="G1236" s="246"/>
      <c r="H1236" s="246"/>
      <c r="I1236" s="246"/>
      <c r="J1236" s="246"/>
      <c r="K1236" s="299"/>
      <c r="L1236" s="246"/>
      <c r="M1236" s="246"/>
    </row>
    <row r="1237" spans="2:13" s="204" customFormat="1" x14ac:dyDescent="0.25">
      <c r="B1237" s="246"/>
      <c r="C1237" s="246"/>
      <c r="D1237" s="246"/>
      <c r="E1237" s="246"/>
      <c r="F1237" s="246"/>
      <c r="G1237" s="246"/>
      <c r="H1237" s="246"/>
      <c r="I1237" s="246"/>
      <c r="J1237" s="246"/>
      <c r="K1237" s="299"/>
      <c r="L1237" s="246"/>
      <c r="M1237" s="246"/>
    </row>
    <row r="1238" spans="2:13" s="204" customFormat="1" x14ac:dyDescent="0.25">
      <c r="B1238" s="246"/>
      <c r="C1238" s="246"/>
      <c r="D1238" s="246"/>
      <c r="E1238" s="246"/>
      <c r="F1238" s="246"/>
      <c r="G1238" s="246"/>
      <c r="H1238" s="246"/>
      <c r="I1238" s="246"/>
      <c r="J1238" s="246"/>
      <c r="K1238" s="299"/>
      <c r="L1238" s="246"/>
      <c r="M1238" s="246"/>
    </row>
    <row r="1239" spans="2:13" s="204" customFormat="1" x14ac:dyDescent="0.25">
      <c r="B1239" s="246"/>
      <c r="C1239" s="246"/>
      <c r="D1239" s="246"/>
      <c r="E1239" s="246"/>
      <c r="F1239" s="246"/>
      <c r="G1239" s="246"/>
      <c r="H1239" s="246"/>
      <c r="I1239" s="246"/>
      <c r="J1239" s="246"/>
      <c r="K1239" s="299"/>
      <c r="L1239" s="246"/>
      <c r="M1239" s="246"/>
    </row>
    <row r="1240" spans="2:13" s="204" customFormat="1" x14ac:dyDescent="0.25">
      <c r="B1240" s="246"/>
      <c r="C1240" s="246"/>
      <c r="D1240" s="246"/>
      <c r="E1240" s="246"/>
      <c r="F1240" s="246"/>
      <c r="G1240" s="246"/>
      <c r="H1240" s="246"/>
      <c r="I1240" s="246"/>
      <c r="J1240" s="246"/>
      <c r="K1240" s="299"/>
      <c r="L1240" s="246"/>
      <c r="M1240" s="246"/>
    </row>
    <row r="1241" spans="2:13" s="204" customFormat="1" x14ac:dyDescent="0.25">
      <c r="B1241" s="246"/>
      <c r="C1241" s="246"/>
      <c r="D1241" s="246"/>
      <c r="E1241" s="246"/>
      <c r="F1241" s="246"/>
      <c r="G1241" s="246"/>
      <c r="H1241" s="246"/>
      <c r="I1241" s="246"/>
      <c r="J1241" s="246"/>
      <c r="K1241" s="299"/>
      <c r="L1241" s="246"/>
      <c r="M1241" s="246"/>
    </row>
    <row r="1242" spans="2:13" s="204" customFormat="1" x14ac:dyDescent="0.25">
      <c r="B1242" s="246"/>
      <c r="C1242" s="246"/>
      <c r="D1242" s="246"/>
      <c r="E1242" s="246"/>
      <c r="F1242" s="246"/>
      <c r="G1242" s="246"/>
      <c r="H1242" s="246"/>
      <c r="I1242" s="246"/>
      <c r="J1242" s="246"/>
      <c r="K1242" s="299"/>
      <c r="L1242" s="246"/>
      <c r="M1242" s="246"/>
    </row>
    <row r="1243" spans="2:13" s="204" customFormat="1" x14ac:dyDescent="0.25">
      <c r="B1243" s="246"/>
      <c r="C1243" s="246"/>
      <c r="D1243" s="246"/>
      <c r="E1243" s="246"/>
      <c r="F1243" s="246"/>
      <c r="G1243" s="246"/>
      <c r="H1243" s="246"/>
      <c r="I1243" s="246"/>
      <c r="J1243" s="246"/>
      <c r="K1243" s="299"/>
      <c r="L1243" s="246"/>
      <c r="M1243" s="246"/>
    </row>
    <row r="1244" spans="2:13" s="204" customFormat="1" x14ac:dyDescent="0.25">
      <c r="B1244" s="246"/>
      <c r="C1244" s="246"/>
      <c r="D1244" s="246"/>
      <c r="E1244" s="246"/>
      <c r="F1244" s="246"/>
      <c r="G1244" s="246"/>
      <c r="H1244" s="246"/>
      <c r="I1244" s="246"/>
      <c r="J1244" s="246"/>
      <c r="K1244" s="299"/>
      <c r="L1244" s="246"/>
      <c r="M1244" s="246"/>
    </row>
    <row r="1245" spans="2:13" s="204" customFormat="1" x14ac:dyDescent="0.25">
      <c r="B1245" s="246"/>
      <c r="C1245" s="246"/>
      <c r="D1245" s="246"/>
      <c r="E1245" s="246"/>
      <c r="F1245" s="246"/>
      <c r="G1245" s="246"/>
      <c r="H1245" s="246"/>
      <c r="I1245" s="246"/>
      <c r="J1245" s="246"/>
      <c r="K1245" s="299"/>
      <c r="L1245" s="246"/>
      <c r="M1245" s="246"/>
    </row>
    <row r="1246" spans="2:13" s="204" customFormat="1" x14ac:dyDescent="0.25">
      <c r="B1246" s="246"/>
      <c r="C1246" s="246"/>
      <c r="D1246" s="246"/>
      <c r="E1246" s="246"/>
      <c r="F1246" s="246"/>
      <c r="G1246" s="246"/>
      <c r="H1246" s="246"/>
      <c r="I1246" s="246"/>
      <c r="J1246" s="246"/>
      <c r="K1246" s="299"/>
      <c r="L1246" s="246"/>
      <c r="M1246" s="246"/>
    </row>
    <row r="1247" spans="2:13" s="204" customFormat="1" x14ac:dyDescent="0.25">
      <c r="B1247" s="246"/>
      <c r="C1247" s="246"/>
      <c r="D1247" s="246"/>
      <c r="E1247" s="246"/>
      <c r="F1247" s="246"/>
      <c r="G1247" s="246"/>
      <c r="H1247" s="246"/>
      <c r="I1247" s="246"/>
      <c r="J1247" s="246"/>
      <c r="K1247" s="299"/>
      <c r="L1247" s="246"/>
      <c r="M1247" s="246"/>
    </row>
    <row r="1248" spans="2:13" s="204" customFormat="1" x14ac:dyDescent="0.25">
      <c r="B1248" s="246"/>
      <c r="C1248" s="246"/>
      <c r="D1248" s="246"/>
      <c r="E1248" s="246"/>
      <c r="F1248" s="246"/>
      <c r="G1248" s="246"/>
      <c r="H1248" s="246"/>
      <c r="I1248" s="246"/>
      <c r="J1248" s="246"/>
      <c r="K1248" s="299"/>
      <c r="L1248" s="246"/>
      <c r="M1248" s="246"/>
    </row>
    <row r="1249" spans="2:13" s="204" customFormat="1" x14ac:dyDescent="0.25">
      <c r="B1249" s="246"/>
      <c r="C1249" s="246"/>
      <c r="D1249" s="246"/>
      <c r="E1249" s="246"/>
      <c r="F1249" s="246"/>
      <c r="G1249" s="246"/>
      <c r="H1249" s="246"/>
      <c r="I1249" s="246"/>
      <c r="J1249" s="246"/>
      <c r="K1249" s="299"/>
      <c r="L1249" s="246"/>
      <c r="M1249" s="246"/>
    </row>
    <row r="1250" spans="2:13" s="204" customFormat="1" x14ac:dyDescent="0.25">
      <c r="B1250" s="246"/>
      <c r="C1250" s="246"/>
      <c r="D1250" s="246"/>
      <c r="E1250" s="246"/>
      <c r="F1250" s="246"/>
      <c r="G1250" s="246"/>
      <c r="H1250" s="246"/>
      <c r="I1250" s="246"/>
      <c r="J1250" s="246"/>
      <c r="K1250" s="299"/>
      <c r="L1250" s="246"/>
      <c r="M1250" s="246"/>
    </row>
    <row r="1251" spans="2:13" s="204" customFormat="1" x14ac:dyDescent="0.25">
      <c r="B1251" s="246"/>
      <c r="C1251" s="246"/>
      <c r="D1251" s="246"/>
      <c r="E1251" s="246"/>
      <c r="F1251" s="246"/>
      <c r="G1251" s="246"/>
      <c r="H1251" s="246"/>
      <c r="I1251" s="246"/>
      <c r="J1251" s="246"/>
      <c r="K1251" s="299"/>
      <c r="L1251" s="246"/>
      <c r="M1251" s="246"/>
    </row>
    <row r="1252" spans="2:13" s="204" customFormat="1" x14ac:dyDescent="0.25">
      <c r="B1252" s="246"/>
      <c r="C1252" s="246"/>
      <c r="D1252" s="246"/>
      <c r="E1252" s="246"/>
      <c r="F1252" s="246"/>
      <c r="G1252" s="246"/>
      <c r="H1252" s="246"/>
      <c r="I1252" s="246"/>
      <c r="J1252" s="246"/>
      <c r="K1252" s="299"/>
      <c r="L1252" s="246"/>
      <c r="M1252" s="246"/>
    </row>
    <row r="1253" spans="2:13" s="204" customFormat="1" x14ac:dyDescent="0.25">
      <c r="B1253" s="246"/>
      <c r="C1253" s="246"/>
      <c r="D1253" s="246"/>
      <c r="E1253" s="246"/>
      <c r="F1253" s="246"/>
      <c r="G1253" s="246"/>
      <c r="H1253" s="246"/>
      <c r="I1253" s="246"/>
      <c r="J1253" s="246"/>
      <c r="K1253" s="299"/>
      <c r="L1253" s="246"/>
      <c r="M1253" s="246"/>
    </row>
    <row r="1254" spans="2:13" s="204" customFormat="1" x14ac:dyDescent="0.25">
      <c r="B1254" s="246"/>
      <c r="C1254" s="246"/>
      <c r="D1254" s="246"/>
      <c r="E1254" s="246"/>
      <c r="F1254" s="246"/>
      <c r="G1254" s="246"/>
      <c r="H1254" s="246"/>
      <c r="I1254" s="246"/>
      <c r="J1254" s="246"/>
      <c r="K1254" s="299"/>
      <c r="L1254" s="246"/>
      <c r="M1254" s="246"/>
    </row>
    <row r="1255" spans="2:13" s="204" customFormat="1" x14ac:dyDescent="0.25">
      <c r="B1255" s="246"/>
      <c r="C1255" s="246"/>
      <c r="D1255" s="246"/>
      <c r="E1255" s="246"/>
      <c r="F1255" s="246"/>
      <c r="G1255" s="246"/>
      <c r="H1255" s="246"/>
      <c r="I1255" s="246"/>
      <c r="J1255" s="246"/>
      <c r="K1255" s="299"/>
      <c r="L1255" s="246"/>
      <c r="M1255" s="246"/>
    </row>
    <row r="1256" spans="2:13" s="204" customFormat="1" x14ac:dyDescent="0.25">
      <c r="B1256" s="246"/>
      <c r="C1256" s="246"/>
      <c r="D1256" s="246"/>
      <c r="E1256" s="246"/>
      <c r="F1256" s="246"/>
      <c r="G1256" s="246"/>
      <c r="H1256" s="246"/>
      <c r="I1256" s="246"/>
      <c r="J1256" s="246"/>
      <c r="K1256" s="299"/>
      <c r="L1256" s="246"/>
      <c r="M1256" s="246"/>
    </row>
    <row r="1257" spans="2:13" s="204" customFormat="1" x14ac:dyDescent="0.25">
      <c r="B1257" s="246"/>
      <c r="C1257" s="246"/>
      <c r="D1257" s="246"/>
      <c r="E1257" s="246"/>
      <c r="F1257" s="246"/>
      <c r="G1257" s="246"/>
      <c r="H1257" s="246"/>
      <c r="I1257" s="246"/>
      <c r="J1257" s="246"/>
      <c r="K1257" s="299"/>
      <c r="L1257" s="246"/>
      <c r="M1257" s="246"/>
    </row>
    <row r="1258" spans="2:13" s="204" customFormat="1" x14ac:dyDescent="0.25">
      <c r="B1258" s="246"/>
      <c r="C1258" s="246"/>
      <c r="D1258" s="246"/>
      <c r="E1258" s="246"/>
      <c r="F1258" s="246"/>
      <c r="G1258" s="246"/>
      <c r="H1258" s="246"/>
      <c r="I1258" s="246"/>
      <c r="J1258" s="246"/>
      <c r="K1258" s="299"/>
      <c r="L1258" s="246"/>
      <c r="M1258" s="246"/>
    </row>
    <row r="1259" spans="2:13" s="204" customFormat="1" x14ac:dyDescent="0.25">
      <c r="B1259" s="246"/>
      <c r="C1259" s="246"/>
      <c r="D1259" s="246"/>
      <c r="E1259" s="246"/>
      <c r="F1259" s="246"/>
      <c r="G1259" s="246"/>
      <c r="H1259" s="246"/>
      <c r="I1259" s="246"/>
      <c r="J1259" s="246"/>
      <c r="K1259" s="299"/>
      <c r="L1259" s="246"/>
      <c r="M1259" s="246"/>
    </row>
    <row r="1260" spans="2:13" s="204" customFormat="1" x14ac:dyDescent="0.25">
      <c r="B1260" s="246"/>
      <c r="C1260" s="246"/>
      <c r="D1260" s="246"/>
      <c r="E1260" s="246"/>
      <c r="F1260" s="246"/>
      <c r="G1260" s="246"/>
      <c r="H1260" s="246"/>
      <c r="I1260" s="246"/>
      <c r="J1260" s="246"/>
      <c r="K1260" s="299"/>
      <c r="L1260" s="246"/>
      <c r="M1260" s="246"/>
    </row>
    <row r="1261" spans="2:13" s="204" customFormat="1" x14ac:dyDescent="0.25">
      <c r="B1261" s="246"/>
      <c r="C1261" s="246"/>
      <c r="D1261" s="246"/>
      <c r="E1261" s="246"/>
      <c r="F1261" s="246"/>
      <c r="G1261" s="246"/>
      <c r="H1261" s="246"/>
      <c r="I1261" s="246"/>
      <c r="J1261" s="246"/>
      <c r="K1261" s="299"/>
      <c r="L1261" s="246"/>
      <c r="M1261" s="246"/>
    </row>
    <row r="1262" spans="2:13" s="204" customFormat="1" x14ac:dyDescent="0.25">
      <c r="B1262" s="246"/>
      <c r="C1262" s="246"/>
      <c r="D1262" s="246"/>
      <c r="E1262" s="246"/>
      <c r="F1262" s="246"/>
      <c r="G1262" s="246"/>
      <c r="H1262" s="246"/>
      <c r="I1262" s="246"/>
      <c r="J1262" s="246"/>
      <c r="K1262" s="299"/>
      <c r="L1262" s="246"/>
      <c r="M1262" s="246"/>
    </row>
    <row r="1263" spans="2:13" s="204" customFormat="1" x14ac:dyDescent="0.25">
      <c r="B1263" s="246"/>
      <c r="C1263" s="246"/>
      <c r="D1263" s="246"/>
      <c r="E1263" s="246"/>
      <c r="F1263" s="246"/>
      <c r="G1263" s="246"/>
      <c r="H1263" s="246"/>
      <c r="I1263" s="246"/>
      <c r="J1263" s="246"/>
      <c r="K1263" s="299"/>
      <c r="L1263" s="246"/>
      <c r="M1263" s="246"/>
    </row>
    <row r="1264" spans="2:13" s="204" customFormat="1" x14ac:dyDescent="0.25">
      <c r="B1264" s="246"/>
      <c r="C1264" s="246"/>
      <c r="D1264" s="246"/>
      <c r="E1264" s="246"/>
      <c r="F1264" s="246"/>
      <c r="G1264" s="246"/>
      <c r="H1264" s="246"/>
      <c r="I1264" s="246"/>
      <c r="J1264" s="246"/>
      <c r="K1264" s="299"/>
      <c r="L1264" s="246"/>
      <c r="M1264" s="246"/>
    </row>
    <row r="1265" spans="2:13" s="204" customFormat="1" x14ac:dyDescent="0.25">
      <c r="B1265" s="246"/>
      <c r="C1265" s="246"/>
      <c r="D1265" s="246"/>
      <c r="E1265" s="246"/>
      <c r="F1265" s="246"/>
      <c r="G1265" s="246"/>
      <c r="H1265" s="246"/>
      <c r="I1265" s="246"/>
      <c r="J1265" s="246"/>
      <c r="K1265" s="299"/>
      <c r="L1265" s="246"/>
      <c r="M1265" s="246"/>
    </row>
    <row r="1266" spans="2:13" s="204" customFormat="1" x14ac:dyDescent="0.25">
      <c r="B1266" s="246"/>
      <c r="C1266" s="246"/>
      <c r="D1266" s="246"/>
      <c r="E1266" s="246"/>
      <c r="F1266" s="246"/>
      <c r="G1266" s="246"/>
      <c r="H1266" s="246"/>
      <c r="I1266" s="246"/>
      <c r="J1266" s="246"/>
      <c r="K1266" s="299"/>
      <c r="L1266" s="246"/>
      <c r="M1266" s="246"/>
    </row>
    <row r="1267" spans="2:13" s="204" customFormat="1" x14ac:dyDescent="0.25">
      <c r="B1267" s="246"/>
      <c r="C1267" s="246"/>
      <c r="D1267" s="246"/>
      <c r="E1267" s="246"/>
      <c r="F1267" s="246"/>
      <c r="G1267" s="246"/>
      <c r="H1267" s="246"/>
      <c r="I1267" s="246"/>
      <c r="J1267" s="246"/>
      <c r="K1267" s="299"/>
      <c r="L1267" s="246"/>
      <c r="M1267" s="246"/>
    </row>
    <row r="1268" spans="2:13" s="204" customFormat="1" x14ac:dyDescent="0.25">
      <c r="B1268" s="246"/>
      <c r="C1268" s="246"/>
      <c r="D1268" s="246"/>
      <c r="E1268" s="246"/>
      <c r="F1268" s="246"/>
      <c r="G1268" s="246"/>
      <c r="H1268" s="246"/>
      <c r="I1268" s="246"/>
      <c r="J1268" s="246"/>
      <c r="K1268" s="299"/>
      <c r="L1268" s="246"/>
      <c r="M1268" s="246"/>
    </row>
    <row r="1269" spans="2:13" s="204" customFormat="1" x14ac:dyDescent="0.25">
      <c r="B1269" s="246"/>
      <c r="C1269" s="246"/>
      <c r="D1269" s="246"/>
      <c r="E1269" s="246"/>
      <c r="F1269" s="246"/>
      <c r="G1269" s="246"/>
      <c r="H1269" s="246"/>
      <c r="I1269" s="246"/>
      <c r="J1269" s="246"/>
      <c r="K1269" s="299"/>
      <c r="L1269" s="246"/>
      <c r="M1269" s="246"/>
    </row>
    <row r="1270" spans="2:13" s="204" customFormat="1" x14ac:dyDescent="0.25">
      <c r="B1270" s="246"/>
      <c r="C1270" s="246"/>
      <c r="D1270" s="246"/>
      <c r="E1270" s="246"/>
      <c r="F1270" s="246"/>
      <c r="G1270" s="246"/>
      <c r="H1270" s="246"/>
      <c r="I1270" s="246"/>
      <c r="J1270" s="246"/>
      <c r="K1270" s="299"/>
      <c r="L1270" s="246"/>
      <c r="M1270" s="246"/>
    </row>
    <row r="1271" spans="2:13" s="204" customFormat="1" x14ac:dyDescent="0.25">
      <c r="B1271" s="246"/>
      <c r="C1271" s="246"/>
      <c r="D1271" s="246"/>
      <c r="E1271" s="246"/>
      <c r="F1271" s="246"/>
      <c r="G1271" s="246"/>
      <c r="H1271" s="246"/>
      <c r="I1271" s="246"/>
      <c r="J1271" s="246"/>
      <c r="K1271" s="299"/>
      <c r="L1271" s="246"/>
      <c r="M1271" s="246"/>
    </row>
    <row r="1272" spans="2:13" s="204" customFormat="1" x14ac:dyDescent="0.25">
      <c r="B1272" s="246"/>
      <c r="C1272" s="246"/>
      <c r="D1272" s="246"/>
      <c r="E1272" s="246"/>
      <c r="F1272" s="246"/>
      <c r="G1272" s="246"/>
      <c r="H1272" s="246"/>
      <c r="I1272" s="246"/>
      <c r="J1272" s="246"/>
      <c r="K1272" s="299"/>
      <c r="L1272" s="246"/>
      <c r="M1272" s="246"/>
    </row>
    <row r="1273" spans="2:13" s="204" customFormat="1" x14ac:dyDescent="0.25">
      <c r="B1273" s="246"/>
      <c r="C1273" s="246"/>
      <c r="D1273" s="246"/>
      <c r="E1273" s="246"/>
      <c r="F1273" s="246"/>
      <c r="G1273" s="246"/>
      <c r="H1273" s="246"/>
      <c r="I1273" s="246"/>
      <c r="J1273" s="246"/>
      <c r="K1273" s="299"/>
      <c r="L1273" s="246"/>
      <c r="M1273" s="246"/>
    </row>
    <row r="1274" spans="2:13" s="204" customFormat="1" x14ac:dyDescent="0.25">
      <c r="B1274" s="246"/>
      <c r="C1274" s="246"/>
      <c r="D1274" s="246"/>
      <c r="E1274" s="246"/>
      <c r="F1274" s="246"/>
      <c r="G1274" s="246"/>
      <c r="H1274" s="246"/>
      <c r="I1274" s="246"/>
      <c r="J1274" s="246"/>
      <c r="K1274" s="299"/>
      <c r="L1274" s="246"/>
      <c r="M1274" s="246"/>
    </row>
  </sheetData>
  <conditionalFormatting sqref="F1:F9 F11:F1048576">
    <cfRule type="duplicateValues" dxfId="4"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37"/>
  <sheetViews>
    <sheetView workbookViewId="0"/>
  </sheetViews>
  <sheetFormatPr defaultRowHeight="15" x14ac:dyDescent="0.25"/>
  <cols>
    <col min="2" max="2" width="44.28515625" style="185" customWidth="1"/>
    <col min="3" max="3" width="13.7109375" style="185" customWidth="1"/>
    <col min="4" max="4" width="13.5703125" style="185" customWidth="1"/>
    <col min="5" max="5" width="12.85546875" style="185" customWidth="1"/>
    <col min="6" max="6" width="51" style="185" customWidth="1"/>
    <col min="7" max="10" width="17.5703125" style="185" customWidth="1"/>
    <col min="11" max="11" width="17.5703125" style="194" customWidth="1"/>
    <col min="12" max="12" width="48.7109375" style="185" customWidth="1"/>
    <col min="13" max="13" width="8.140625" style="184" customWidth="1"/>
    <col min="14" max="14" width="12" bestFit="1" customWidth="1"/>
    <col min="15" max="15" width="12" customWidth="1"/>
    <col min="16" max="16" width="21.5703125" customWidth="1"/>
    <col min="17" max="17" width="6.7109375" customWidth="1"/>
    <col min="18" max="19" width="3.28515625" customWidth="1"/>
    <col min="20" max="20" width="2.85546875" customWidth="1"/>
    <col min="21" max="21" width="3.7109375" customWidth="1"/>
    <col min="22" max="22" width="10.28515625" customWidth="1"/>
    <col min="23" max="23" width="3.140625" customWidth="1"/>
    <col min="24" max="28" width="2.7109375" customWidth="1"/>
    <col min="29" max="29" width="4.7109375" customWidth="1"/>
    <col min="30" max="30" width="10.28515625" customWidth="1"/>
    <col min="31" max="31" width="11.7109375" customWidth="1"/>
    <col min="32" max="32" width="12.7109375" customWidth="1"/>
    <col min="33" max="33" width="12.85546875" customWidth="1"/>
    <col min="34" max="34" width="4.42578125" customWidth="1"/>
    <col min="35" max="35" width="2.85546875" customWidth="1"/>
    <col min="37" max="37" width="2" customWidth="1"/>
    <col min="38" max="38" width="7.85546875" customWidth="1"/>
    <col min="39" max="39" width="6.42578125" customWidth="1"/>
    <col min="41" max="41" width="30" customWidth="1"/>
    <col min="42" max="42" width="10.42578125" customWidth="1"/>
    <col min="43" max="43" width="13.7109375" customWidth="1"/>
    <col min="44" max="44" width="14" customWidth="1"/>
    <col min="45" max="45" width="14.28515625" customWidth="1"/>
    <col min="261" max="261" width="25.85546875" customWidth="1"/>
    <col min="262" max="263" width="11" customWidth="1"/>
    <col min="264" max="264" width="22.85546875" customWidth="1"/>
    <col min="265" max="266" width="11" customWidth="1"/>
    <col min="267" max="268" width="9.140625" customWidth="1"/>
    <col min="269" max="269" width="19" customWidth="1"/>
    <col min="517" max="517" width="25.85546875" customWidth="1"/>
    <col min="518" max="519" width="11" customWidth="1"/>
    <col min="520" max="520" width="22.85546875" customWidth="1"/>
    <col min="521" max="522" width="11" customWidth="1"/>
    <col min="523" max="524" width="9.140625" customWidth="1"/>
    <col min="525" max="525" width="19" customWidth="1"/>
    <col min="773" max="773" width="25.85546875" customWidth="1"/>
    <col min="774" max="775" width="11" customWidth="1"/>
    <col min="776" max="776" width="22.85546875" customWidth="1"/>
    <col min="777" max="778" width="11" customWidth="1"/>
    <col min="779" max="780" width="9.140625" customWidth="1"/>
    <col min="781" max="781" width="19" customWidth="1"/>
    <col min="1029" max="1029" width="25.85546875" customWidth="1"/>
    <col min="1030" max="1031" width="11" customWidth="1"/>
    <col min="1032" max="1032" width="22.85546875" customWidth="1"/>
    <col min="1033" max="1034" width="11" customWidth="1"/>
    <col min="1035" max="1036" width="9.140625" customWidth="1"/>
    <col min="1037" max="1037" width="19" customWidth="1"/>
    <col min="1285" max="1285" width="25.85546875" customWidth="1"/>
    <col min="1286" max="1287" width="11" customWidth="1"/>
    <col min="1288" max="1288" width="22.85546875" customWidth="1"/>
    <col min="1289" max="1290" width="11" customWidth="1"/>
    <col min="1291" max="1292" width="9.140625" customWidth="1"/>
    <col min="1293" max="1293" width="19" customWidth="1"/>
    <col min="1541" max="1541" width="25.85546875" customWidth="1"/>
    <col min="1542" max="1543" width="11" customWidth="1"/>
    <col min="1544" max="1544" width="22.85546875" customWidth="1"/>
    <col min="1545" max="1546" width="11" customWidth="1"/>
    <col min="1547" max="1548" width="9.140625" customWidth="1"/>
    <col min="1549" max="1549" width="19" customWidth="1"/>
    <col min="1797" max="1797" width="25.85546875" customWidth="1"/>
    <col min="1798" max="1799" width="11" customWidth="1"/>
    <col min="1800" max="1800" width="22.85546875" customWidth="1"/>
    <col min="1801" max="1802" width="11" customWidth="1"/>
    <col min="1803" max="1804" width="9.140625" customWidth="1"/>
    <col min="1805" max="1805" width="19" customWidth="1"/>
    <col min="2053" max="2053" width="25.85546875" customWidth="1"/>
    <col min="2054" max="2055" width="11" customWidth="1"/>
    <col min="2056" max="2056" width="22.85546875" customWidth="1"/>
    <col min="2057" max="2058" width="11" customWidth="1"/>
    <col min="2059" max="2060" width="9.140625" customWidth="1"/>
    <col min="2061" max="2061" width="19" customWidth="1"/>
    <col min="2309" max="2309" width="25.85546875" customWidth="1"/>
    <col min="2310" max="2311" width="11" customWidth="1"/>
    <col min="2312" max="2312" width="22.85546875" customWidth="1"/>
    <col min="2313" max="2314" width="11" customWidth="1"/>
    <col min="2315" max="2316" width="9.140625" customWidth="1"/>
    <col min="2317" max="2317" width="19" customWidth="1"/>
    <col min="2565" max="2565" width="25.85546875" customWidth="1"/>
    <col min="2566" max="2567" width="11" customWidth="1"/>
    <col min="2568" max="2568" width="22.85546875" customWidth="1"/>
    <col min="2569" max="2570" width="11" customWidth="1"/>
    <col min="2571" max="2572" width="9.140625" customWidth="1"/>
    <col min="2573" max="2573" width="19" customWidth="1"/>
    <col min="2821" max="2821" width="25.85546875" customWidth="1"/>
    <col min="2822" max="2823" width="11" customWidth="1"/>
    <col min="2824" max="2824" width="22.85546875" customWidth="1"/>
    <col min="2825" max="2826" width="11" customWidth="1"/>
    <col min="2827" max="2828" width="9.140625" customWidth="1"/>
    <col min="2829" max="2829" width="19" customWidth="1"/>
    <col min="3077" max="3077" width="25.85546875" customWidth="1"/>
    <col min="3078" max="3079" width="11" customWidth="1"/>
    <col min="3080" max="3080" width="22.85546875" customWidth="1"/>
    <col min="3081" max="3082" width="11" customWidth="1"/>
    <col min="3083" max="3084" width="9.140625" customWidth="1"/>
    <col min="3085" max="3085" width="19" customWidth="1"/>
    <col min="3333" max="3333" width="25.85546875" customWidth="1"/>
    <col min="3334" max="3335" width="11" customWidth="1"/>
    <col min="3336" max="3336" width="22.85546875" customWidth="1"/>
    <col min="3337" max="3338" width="11" customWidth="1"/>
    <col min="3339" max="3340" width="9.140625" customWidth="1"/>
    <col min="3341" max="3341" width="19" customWidth="1"/>
    <col min="3589" max="3589" width="25.85546875" customWidth="1"/>
    <col min="3590" max="3591" width="11" customWidth="1"/>
    <col min="3592" max="3592" width="22.85546875" customWidth="1"/>
    <col min="3593" max="3594" width="11" customWidth="1"/>
    <col min="3595" max="3596" width="9.140625" customWidth="1"/>
    <col min="3597" max="3597" width="19" customWidth="1"/>
    <col min="3845" max="3845" width="25.85546875" customWidth="1"/>
    <col min="3846" max="3847" width="11" customWidth="1"/>
    <col min="3848" max="3848" width="22.85546875" customWidth="1"/>
    <col min="3849" max="3850" width="11" customWidth="1"/>
    <col min="3851" max="3852" width="9.140625" customWidth="1"/>
    <col min="3853" max="3853" width="19" customWidth="1"/>
    <col min="4101" max="4101" width="25.85546875" customWidth="1"/>
    <col min="4102" max="4103" width="11" customWidth="1"/>
    <col min="4104" max="4104" width="22.85546875" customWidth="1"/>
    <col min="4105" max="4106" width="11" customWidth="1"/>
    <col min="4107" max="4108" width="9.140625" customWidth="1"/>
    <col min="4109" max="4109" width="19" customWidth="1"/>
    <col min="4357" max="4357" width="25.85546875" customWidth="1"/>
    <col min="4358" max="4359" width="11" customWidth="1"/>
    <col min="4360" max="4360" width="22.85546875" customWidth="1"/>
    <col min="4361" max="4362" width="11" customWidth="1"/>
    <col min="4363" max="4364" width="9.140625" customWidth="1"/>
    <col min="4365" max="4365" width="19" customWidth="1"/>
    <col min="4613" max="4613" width="25.85546875" customWidth="1"/>
    <col min="4614" max="4615" width="11" customWidth="1"/>
    <col min="4616" max="4616" width="22.85546875" customWidth="1"/>
    <col min="4617" max="4618" width="11" customWidth="1"/>
    <col min="4619" max="4620" width="9.140625" customWidth="1"/>
    <col min="4621" max="4621" width="19" customWidth="1"/>
    <col min="4869" max="4869" width="25.85546875" customWidth="1"/>
    <col min="4870" max="4871" width="11" customWidth="1"/>
    <col min="4872" max="4872" width="22.85546875" customWidth="1"/>
    <col min="4873" max="4874" width="11" customWidth="1"/>
    <col min="4875" max="4876" width="9.140625" customWidth="1"/>
    <col min="4877" max="4877" width="19" customWidth="1"/>
    <col min="5125" max="5125" width="25.85546875" customWidth="1"/>
    <col min="5126" max="5127" width="11" customWidth="1"/>
    <col min="5128" max="5128" width="22.85546875" customWidth="1"/>
    <col min="5129" max="5130" width="11" customWidth="1"/>
    <col min="5131" max="5132" width="9.140625" customWidth="1"/>
    <col min="5133" max="5133" width="19" customWidth="1"/>
    <col min="5381" max="5381" width="25.85546875" customWidth="1"/>
    <col min="5382" max="5383" width="11" customWidth="1"/>
    <col min="5384" max="5384" width="22.85546875" customWidth="1"/>
    <col min="5385" max="5386" width="11" customWidth="1"/>
    <col min="5387" max="5388" width="9.140625" customWidth="1"/>
    <col min="5389" max="5389" width="19" customWidth="1"/>
    <col min="5637" max="5637" width="25.85546875" customWidth="1"/>
    <col min="5638" max="5639" width="11" customWidth="1"/>
    <col min="5640" max="5640" width="22.85546875" customWidth="1"/>
    <col min="5641" max="5642" width="11" customWidth="1"/>
    <col min="5643" max="5644" width="9.140625" customWidth="1"/>
    <col min="5645" max="5645" width="19" customWidth="1"/>
    <col min="5893" max="5893" width="25.85546875" customWidth="1"/>
    <col min="5894" max="5895" width="11" customWidth="1"/>
    <col min="5896" max="5896" width="22.85546875" customWidth="1"/>
    <col min="5897" max="5898" width="11" customWidth="1"/>
    <col min="5899" max="5900" width="9.140625" customWidth="1"/>
    <col min="5901" max="5901" width="19" customWidth="1"/>
    <col min="6149" max="6149" width="25.85546875" customWidth="1"/>
    <col min="6150" max="6151" width="11" customWidth="1"/>
    <col min="6152" max="6152" width="22.85546875" customWidth="1"/>
    <col min="6153" max="6154" width="11" customWidth="1"/>
    <col min="6155" max="6156" width="9.140625" customWidth="1"/>
    <col min="6157" max="6157" width="19" customWidth="1"/>
    <col min="6405" max="6405" width="25.85546875" customWidth="1"/>
    <col min="6406" max="6407" width="11" customWidth="1"/>
    <col min="6408" max="6408" width="22.85546875" customWidth="1"/>
    <col min="6409" max="6410" width="11" customWidth="1"/>
    <col min="6411" max="6412" width="9.140625" customWidth="1"/>
    <col min="6413" max="6413" width="19" customWidth="1"/>
    <col min="6661" max="6661" width="25.85546875" customWidth="1"/>
    <col min="6662" max="6663" width="11" customWidth="1"/>
    <col min="6664" max="6664" width="22.85546875" customWidth="1"/>
    <col min="6665" max="6666" width="11" customWidth="1"/>
    <col min="6667" max="6668" width="9.140625" customWidth="1"/>
    <col min="6669" max="6669" width="19" customWidth="1"/>
    <col min="6917" max="6917" width="25.85546875" customWidth="1"/>
    <col min="6918" max="6919" width="11" customWidth="1"/>
    <col min="6920" max="6920" width="22.85546875" customWidth="1"/>
    <col min="6921" max="6922" width="11" customWidth="1"/>
    <col min="6923" max="6924" width="9.140625" customWidth="1"/>
    <col min="6925" max="6925" width="19" customWidth="1"/>
    <col min="7173" max="7173" width="25.85546875" customWidth="1"/>
    <col min="7174" max="7175" width="11" customWidth="1"/>
    <col min="7176" max="7176" width="22.85546875" customWidth="1"/>
    <col min="7177" max="7178" width="11" customWidth="1"/>
    <col min="7179" max="7180" width="9.140625" customWidth="1"/>
    <col min="7181" max="7181" width="19" customWidth="1"/>
    <col min="7429" max="7429" width="25.85546875" customWidth="1"/>
    <col min="7430" max="7431" width="11" customWidth="1"/>
    <col min="7432" max="7432" width="22.85546875" customWidth="1"/>
    <col min="7433" max="7434" width="11" customWidth="1"/>
    <col min="7435" max="7436" width="9.140625" customWidth="1"/>
    <col min="7437" max="7437" width="19" customWidth="1"/>
    <col min="7685" max="7685" width="25.85546875" customWidth="1"/>
    <col min="7686" max="7687" width="11" customWidth="1"/>
    <col min="7688" max="7688" width="22.85546875" customWidth="1"/>
    <col min="7689" max="7690" width="11" customWidth="1"/>
    <col min="7691" max="7692" width="9.140625" customWidth="1"/>
    <col min="7693" max="7693" width="19" customWidth="1"/>
    <col min="7941" max="7941" width="25.85546875" customWidth="1"/>
    <col min="7942" max="7943" width="11" customWidth="1"/>
    <col min="7944" max="7944" width="22.85546875" customWidth="1"/>
    <col min="7945" max="7946" width="11" customWidth="1"/>
    <col min="7947" max="7948" width="9.140625" customWidth="1"/>
    <col min="7949" max="7949" width="19" customWidth="1"/>
    <col min="8197" max="8197" width="25.85546875" customWidth="1"/>
    <col min="8198" max="8199" width="11" customWidth="1"/>
    <col min="8200" max="8200" width="22.85546875" customWidth="1"/>
    <col min="8201" max="8202" width="11" customWidth="1"/>
    <col min="8203" max="8204" width="9.140625" customWidth="1"/>
    <col min="8205" max="8205" width="19" customWidth="1"/>
    <col min="8453" max="8453" width="25.85546875" customWidth="1"/>
    <col min="8454" max="8455" width="11" customWidth="1"/>
    <col min="8456" max="8456" width="22.85546875" customWidth="1"/>
    <col min="8457" max="8458" width="11" customWidth="1"/>
    <col min="8459" max="8460" width="9.140625" customWidth="1"/>
    <col min="8461" max="8461" width="19" customWidth="1"/>
    <col min="8709" max="8709" width="25.85546875" customWidth="1"/>
    <col min="8710" max="8711" width="11" customWidth="1"/>
    <col min="8712" max="8712" width="22.85546875" customWidth="1"/>
    <col min="8713" max="8714" width="11" customWidth="1"/>
    <col min="8715" max="8716" width="9.140625" customWidth="1"/>
    <col min="8717" max="8717" width="19" customWidth="1"/>
    <col min="8965" max="8965" width="25.85546875" customWidth="1"/>
    <col min="8966" max="8967" width="11" customWidth="1"/>
    <col min="8968" max="8968" width="22.85546875" customWidth="1"/>
    <col min="8969" max="8970" width="11" customWidth="1"/>
    <col min="8971" max="8972" width="9.140625" customWidth="1"/>
    <col min="8973" max="8973" width="19" customWidth="1"/>
    <col min="9221" max="9221" width="25.85546875" customWidth="1"/>
    <col min="9222" max="9223" width="11" customWidth="1"/>
    <col min="9224" max="9224" width="22.85546875" customWidth="1"/>
    <col min="9225" max="9226" width="11" customWidth="1"/>
    <col min="9227" max="9228" width="9.140625" customWidth="1"/>
    <col min="9229" max="9229" width="19" customWidth="1"/>
    <col min="9477" max="9477" width="25.85546875" customWidth="1"/>
    <col min="9478" max="9479" width="11" customWidth="1"/>
    <col min="9480" max="9480" width="22.85546875" customWidth="1"/>
    <col min="9481" max="9482" width="11" customWidth="1"/>
    <col min="9483" max="9484" width="9.140625" customWidth="1"/>
    <col min="9485" max="9485" width="19" customWidth="1"/>
    <col min="9733" max="9733" width="25.85546875" customWidth="1"/>
    <col min="9734" max="9735" width="11" customWidth="1"/>
    <col min="9736" max="9736" width="22.85546875" customWidth="1"/>
    <col min="9737" max="9738" width="11" customWidth="1"/>
    <col min="9739" max="9740" width="9.140625" customWidth="1"/>
    <col min="9741" max="9741" width="19" customWidth="1"/>
    <col min="9989" max="9989" width="25.85546875" customWidth="1"/>
    <col min="9990" max="9991" width="11" customWidth="1"/>
    <col min="9992" max="9992" width="22.85546875" customWidth="1"/>
    <col min="9993" max="9994" width="11" customWidth="1"/>
    <col min="9995" max="9996" width="9.140625" customWidth="1"/>
    <col min="9997" max="9997" width="19" customWidth="1"/>
    <col min="10245" max="10245" width="25.85546875" customWidth="1"/>
    <col min="10246" max="10247" width="11" customWidth="1"/>
    <col min="10248" max="10248" width="22.85546875" customWidth="1"/>
    <col min="10249" max="10250" width="11" customWidth="1"/>
    <col min="10251" max="10252" width="9.140625" customWidth="1"/>
    <col min="10253" max="10253" width="19" customWidth="1"/>
    <col min="10501" max="10501" width="25.85546875" customWidth="1"/>
    <col min="10502" max="10503" width="11" customWidth="1"/>
    <col min="10504" max="10504" width="22.85546875" customWidth="1"/>
    <col min="10505" max="10506" width="11" customWidth="1"/>
    <col min="10507" max="10508" width="9.140625" customWidth="1"/>
    <col min="10509" max="10509" width="19" customWidth="1"/>
    <col min="10757" max="10757" width="25.85546875" customWidth="1"/>
    <col min="10758" max="10759" width="11" customWidth="1"/>
    <col min="10760" max="10760" width="22.85546875" customWidth="1"/>
    <col min="10761" max="10762" width="11" customWidth="1"/>
    <col min="10763" max="10764" width="9.140625" customWidth="1"/>
    <col min="10765" max="10765" width="19" customWidth="1"/>
    <col min="11013" max="11013" width="25.85546875" customWidth="1"/>
    <col min="11014" max="11015" width="11" customWidth="1"/>
    <col min="11016" max="11016" width="22.85546875" customWidth="1"/>
    <col min="11017" max="11018" width="11" customWidth="1"/>
    <col min="11019" max="11020" width="9.140625" customWidth="1"/>
    <col min="11021" max="11021" width="19" customWidth="1"/>
    <col min="11269" max="11269" width="25.85546875" customWidth="1"/>
    <col min="11270" max="11271" width="11" customWidth="1"/>
    <col min="11272" max="11272" width="22.85546875" customWidth="1"/>
    <col min="11273" max="11274" width="11" customWidth="1"/>
    <col min="11275" max="11276" width="9.140625" customWidth="1"/>
    <col min="11277" max="11277" width="19" customWidth="1"/>
    <col min="11525" max="11525" width="25.85546875" customWidth="1"/>
    <col min="11526" max="11527" width="11" customWidth="1"/>
    <col min="11528" max="11528" width="22.85546875" customWidth="1"/>
    <col min="11529" max="11530" width="11" customWidth="1"/>
    <col min="11531" max="11532" width="9.140625" customWidth="1"/>
    <col min="11533" max="11533" width="19" customWidth="1"/>
    <col min="11781" max="11781" width="25.85546875" customWidth="1"/>
    <col min="11782" max="11783" width="11" customWidth="1"/>
    <col min="11784" max="11784" width="22.85546875" customWidth="1"/>
    <col min="11785" max="11786" width="11" customWidth="1"/>
    <col min="11787" max="11788" width="9.140625" customWidth="1"/>
    <col min="11789" max="11789" width="19" customWidth="1"/>
    <col min="12037" max="12037" width="25.85546875" customWidth="1"/>
    <col min="12038" max="12039" width="11" customWidth="1"/>
    <col min="12040" max="12040" width="22.85546875" customWidth="1"/>
    <col min="12041" max="12042" width="11" customWidth="1"/>
    <col min="12043" max="12044" width="9.140625" customWidth="1"/>
    <col min="12045" max="12045" width="19" customWidth="1"/>
    <col min="12293" max="12293" width="25.85546875" customWidth="1"/>
    <col min="12294" max="12295" width="11" customWidth="1"/>
    <col min="12296" max="12296" width="22.85546875" customWidth="1"/>
    <col min="12297" max="12298" width="11" customWidth="1"/>
    <col min="12299" max="12300" width="9.140625" customWidth="1"/>
    <col min="12301" max="12301" width="19" customWidth="1"/>
    <col min="12549" max="12549" width="25.85546875" customWidth="1"/>
    <col min="12550" max="12551" width="11" customWidth="1"/>
    <col min="12552" max="12552" width="22.85546875" customWidth="1"/>
    <col min="12553" max="12554" width="11" customWidth="1"/>
    <col min="12555" max="12556" width="9.140625" customWidth="1"/>
    <col min="12557" max="12557" width="19" customWidth="1"/>
    <col min="12805" max="12805" width="25.85546875" customWidth="1"/>
    <col min="12806" max="12807" width="11" customWidth="1"/>
    <col min="12808" max="12808" width="22.85546875" customWidth="1"/>
    <col min="12809" max="12810" width="11" customWidth="1"/>
    <col min="12811" max="12812" width="9.140625" customWidth="1"/>
    <col min="12813" max="12813" width="19" customWidth="1"/>
    <col min="13061" max="13061" width="25.85546875" customWidth="1"/>
    <col min="13062" max="13063" width="11" customWidth="1"/>
    <col min="13064" max="13064" width="22.85546875" customWidth="1"/>
    <col min="13065" max="13066" width="11" customWidth="1"/>
    <col min="13067" max="13068" width="9.140625" customWidth="1"/>
    <col min="13069" max="13069" width="19" customWidth="1"/>
    <col min="13317" max="13317" width="25.85546875" customWidth="1"/>
    <col min="13318" max="13319" width="11" customWidth="1"/>
    <col min="13320" max="13320" width="22.85546875" customWidth="1"/>
    <col min="13321" max="13322" width="11" customWidth="1"/>
    <col min="13323" max="13324" width="9.140625" customWidth="1"/>
    <col min="13325" max="13325" width="19" customWidth="1"/>
    <col min="13573" max="13573" width="25.85546875" customWidth="1"/>
    <col min="13574" max="13575" width="11" customWidth="1"/>
    <col min="13576" max="13576" width="22.85546875" customWidth="1"/>
    <col min="13577" max="13578" width="11" customWidth="1"/>
    <col min="13579" max="13580" width="9.140625" customWidth="1"/>
    <col min="13581" max="13581" width="19" customWidth="1"/>
    <col min="13829" max="13829" width="25.85546875" customWidth="1"/>
    <col min="13830" max="13831" width="11" customWidth="1"/>
    <col min="13832" max="13832" width="22.85546875" customWidth="1"/>
    <col min="13833" max="13834" width="11" customWidth="1"/>
    <col min="13835" max="13836" width="9.140625" customWidth="1"/>
    <col min="13837" max="13837" width="19" customWidth="1"/>
    <col min="14085" max="14085" width="25.85546875" customWidth="1"/>
    <col min="14086" max="14087" width="11" customWidth="1"/>
    <col min="14088" max="14088" width="22.85546875" customWidth="1"/>
    <col min="14089" max="14090" width="11" customWidth="1"/>
    <col min="14091" max="14092" width="9.140625" customWidth="1"/>
    <col min="14093" max="14093" width="19" customWidth="1"/>
    <col min="14341" max="14341" width="25.85546875" customWidth="1"/>
    <col min="14342" max="14343" width="11" customWidth="1"/>
    <col min="14344" max="14344" width="22.85546875" customWidth="1"/>
    <col min="14345" max="14346" width="11" customWidth="1"/>
    <col min="14347" max="14348" width="9.140625" customWidth="1"/>
    <col min="14349" max="14349" width="19" customWidth="1"/>
    <col min="14597" max="14597" width="25.85546875" customWidth="1"/>
    <col min="14598" max="14599" width="11" customWidth="1"/>
    <col min="14600" max="14600" width="22.85546875" customWidth="1"/>
    <col min="14601" max="14602" width="11" customWidth="1"/>
    <col min="14603" max="14604" width="9.140625" customWidth="1"/>
    <col min="14605" max="14605" width="19" customWidth="1"/>
    <col min="14853" max="14853" width="25.85546875" customWidth="1"/>
    <col min="14854" max="14855" width="11" customWidth="1"/>
    <col min="14856" max="14856" width="22.85546875" customWidth="1"/>
    <col min="14857" max="14858" width="11" customWidth="1"/>
    <col min="14859" max="14860" width="9.140625" customWidth="1"/>
    <col min="14861" max="14861" width="19" customWidth="1"/>
    <col min="15109" max="15109" width="25.85546875" customWidth="1"/>
    <col min="15110" max="15111" width="11" customWidth="1"/>
    <col min="15112" max="15112" width="22.85546875" customWidth="1"/>
    <col min="15113" max="15114" width="11" customWidth="1"/>
    <col min="15115" max="15116" width="9.140625" customWidth="1"/>
    <col min="15117" max="15117" width="19" customWidth="1"/>
    <col min="15365" max="15365" width="25.85546875" customWidth="1"/>
    <col min="15366" max="15367" width="11" customWidth="1"/>
    <col min="15368" max="15368" width="22.85546875" customWidth="1"/>
    <col min="15369" max="15370" width="11" customWidth="1"/>
    <col min="15371" max="15372" width="9.140625" customWidth="1"/>
    <col min="15373" max="15373" width="19" customWidth="1"/>
    <col min="15621" max="15621" width="25.85546875" customWidth="1"/>
    <col min="15622" max="15623" width="11" customWidth="1"/>
    <col min="15624" max="15624" width="22.85546875" customWidth="1"/>
    <col min="15625" max="15626" width="11" customWidth="1"/>
    <col min="15627" max="15628" width="9.140625" customWidth="1"/>
    <col min="15629" max="15629" width="19" customWidth="1"/>
    <col min="15877" max="15877" width="25.85546875" customWidth="1"/>
    <col min="15878" max="15879" width="11" customWidth="1"/>
    <col min="15880" max="15880" width="22.85546875" customWidth="1"/>
    <col min="15881" max="15882" width="11" customWidth="1"/>
    <col min="15883" max="15884" width="9.140625" customWidth="1"/>
    <col min="15885" max="15885" width="19" customWidth="1"/>
    <col min="16133" max="16133" width="25.85546875" customWidth="1"/>
    <col min="16134" max="16135" width="11" customWidth="1"/>
    <col min="16136" max="16136" width="22.85546875" customWidth="1"/>
    <col min="16137" max="16138" width="11" customWidth="1"/>
    <col min="16139" max="16140" width="9.140625" customWidth="1"/>
    <col min="16141" max="16141" width="19" customWidth="1"/>
  </cols>
  <sheetData>
    <row r="1" spans="1:45" s="11" customFormat="1" ht="20.25" x14ac:dyDescent="0.3">
      <c r="A1" s="298" t="s">
        <v>19</v>
      </c>
      <c r="J1" s="186"/>
      <c r="K1" s="220"/>
      <c r="L1" s="297" t="s">
        <v>19</v>
      </c>
      <c r="M1" s="178"/>
      <c r="N1" s="178"/>
    </row>
    <row r="2" spans="1:45" s="183" customFormat="1" ht="18" customHeight="1" x14ac:dyDescent="0.25">
      <c r="B2" s="180" t="s">
        <v>220</v>
      </c>
      <c r="C2" s="181"/>
      <c r="D2" s="182"/>
      <c r="E2" s="182"/>
      <c r="F2" s="182"/>
      <c r="G2" s="182"/>
      <c r="H2" s="182"/>
      <c r="I2" s="182"/>
      <c r="J2" s="202"/>
      <c r="K2" s="182"/>
      <c r="L2" s="182"/>
      <c r="M2" s="179"/>
      <c r="N2" s="202"/>
    </row>
    <row r="3" spans="1:45" s="183" customFormat="1" ht="12.75" x14ac:dyDescent="0.2">
      <c r="A3" s="202"/>
      <c r="B3" s="202"/>
      <c r="C3" s="290"/>
      <c r="D3" s="202"/>
      <c r="E3" s="202"/>
      <c r="F3" s="202"/>
      <c r="G3" s="202"/>
      <c r="H3" s="202"/>
      <c r="I3" s="202"/>
      <c r="J3" s="202"/>
      <c r="K3" s="182"/>
      <c r="L3" s="202"/>
      <c r="M3" s="202"/>
      <c r="N3" s="202"/>
      <c r="O3" s="202"/>
      <c r="P3" s="202"/>
    </row>
    <row r="4" spans="1:45" s="183" customFormat="1" ht="12.75" x14ac:dyDescent="0.2">
      <c r="A4" s="202"/>
      <c r="B4" s="181"/>
      <c r="C4" s="181"/>
      <c r="D4" s="181"/>
      <c r="E4" s="291"/>
      <c r="F4" s="202"/>
      <c r="G4" s="202"/>
      <c r="H4" s="202"/>
      <c r="I4" s="202"/>
      <c r="J4" s="202"/>
      <c r="K4" s="182"/>
      <c r="L4" s="202"/>
      <c r="M4" s="202"/>
      <c r="N4" s="202"/>
      <c r="O4" s="202"/>
      <c r="P4" s="202"/>
    </row>
    <row r="5" spans="1:45" x14ac:dyDescent="0.25">
      <c r="A5" s="201"/>
      <c r="B5" s="201"/>
      <c r="C5" s="201"/>
      <c r="D5" s="201"/>
      <c r="E5" s="201"/>
      <c r="F5" s="201"/>
      <c r="G5" s="201"/>
      <c r="H5" s="201"/>
      <c r="I5" s="201"/>
      <c r="J5" s="295"/>
      <c r="K5" s="293"/>
      <c r="L5" s="201"/>
      <c r="M5" s="200"/>
      <c r="N5" s="201"/>
      <c r="O5" s="201"/>
      <c r="P5" s="201"/>
    </row>
    <row r="6" spans="1:45" x14ac:dyDescent="0.25">
      <c r="A6" s="201"/>
      <c r="B6" s="296" t="s">
        <v>797</v>
      </c>
      <c r="C6" s="200"/>
      <c r="D6" s="200"/>
      <c r="E6" s="200"/>
      <c r="F6" s="200"/>
      <c r="G6" s="200"/>
      <c r="H6" s="200"/>
      <c r="I6" s="200"/>
      <c r="J6" s="200"/>
      <c r="K6" s="296"/>
      <c r="L6" s="200"/>
      <c r="M6" s="200"/>
      <c r="N6" s="201"/>
      <c r="O6" s="201"/>
      <c r="P6" s="201"/>
    </row>
    <row r="7" spans="1:45" x14ac:dyDescent="0.25">
      <c r="M7" s="200"/>
    </row>
    <row r="8" spans="1:45" ht="15.75" thickBot="1" x14ac:dyDescent="0.3">
      <c r="H8" s="218"/>
      <c r="I8" s="218"/>
      <c r="J8" s="218"/>
      <c r="K8" s="221"/>
      <c r="L8"/>
      <c r="M8"/>
    </row>
    <row r="9" spans="1:45" ht="15.75" thickBot="1" x14ac:dyDescent="0.3">
      <c r="A9" s="219"/>
      <c r="B9" s="229" t="str">
        <f>L12</f>
        <v>Oil Field - Separator</v>
      </c>
      <c r="D9" s="226" t="s">
        <v>71</v>
      </c>
      <c r="E9" s="227">
        <f ca="1">SUM(E10:E500)</f>
        <v>299.99960000000004</v>
      </c>
      <c r="F9" s="227" t="s">
        <v>677</v>
      </c>
      <c r="G9" s="259">
        <f ca="1">SUMPRODUCT(K10:K450,G10:G450)/100</f>
        <v>73.462535643669611</v>
      </c>
      <c r="H9" s="227" t="s">
        <v>71</v>
      </c>
      <c r="I9" s="227">
        <f ca="1">SUM(I12:I500)</f>
        <v>298.87386516515352</v>
      </c>
      <c r="J9" s="227">
        <f ca="1">SUM(J10:J500)</f>
        <v>40.962254616339465</v>
      </c>
      <c r="K9" s="228">
        <f ca="1">SUM(K10:K500)</f>
        <v>100.00000000000004</v>
      </c>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row>
    <row r="10" spans="1:45" ht="15.75" thickBot="1" x14ac:dyDescent="0.3">
      <c r="A10" s="229" t="s">
        <v>672</v>
      </c>
      <c r="B10" s="231">
        <f>COUNTIF(L:L,$B$9)</f>
        <v>134</v>
      </c>
      <c r="C10" s="185" t="s">
        <v>561</v>
      </c>
      <c r="D10" s="232">
        <v>2283</v>
      </c>
      <c r="E10" s="233"/>
      <c r="F10" s="233" t="s">
        <v>357</v>
      </c>
      <c r="G10" s="268">
        <f ca="1">(SUMPRODUCT(--(J12:J500="X"),I12:I500,G12:G500)+SUMPRODUCT(--(F12:F500=$F$10),J12:J500,G12:G500))/$J$10</f>
        <v>84.920128989457524</v>
      </c>
      <c r="H10" s="233"/>
      <c r="I10" s="233"/>
      <c r="J10" s="233">
        <f ca="1">IFERROR(VLOOKUP($F$10,F12:J500,5,FALSE),0)+SUMIF(J12:J500,"X",I12:I500)</f>
        <v>8.8129784173045547</v>
      </c>
      <c r="K10" s="234">
        <f ca="1">IF(J10="","",J10/$J$9*100)</f>
        <v>21.514876316864502</v>
      </c>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row>
    <row r="11" spans="1:45" s="195" customFormat="1" ht="13.5" customHeight="1" thickBot="1" x14ac:dyDescent="0.3">
      <c r="A11" s="235" t="s">
        <v>656</v>
      </c>
      <c r="B11" s="236" t="s">
        <v>226</v>
      </c>
      <c r="C11" s="236" t="s">
        <v>671</v>
      </c>
      <c r="D11" s="236" t="s">
        <v>245</v>
      </c>
      <c r="E11" s="236" t="s">
        <v>246</v>
      </c>
      <c r="F11" s="236" t="s">
        <v>255</v>
      </c>
      <c r="G11" s="236" t="s">
        <v>257</v>
      </c>
      <c r="H11" s="236" t="s">
        <v>674</v>
      </c>
      <c r="I11" s="236" t="s">
        <v>657</v>
      </c>
      <c r="J11" s="236" t="s">
        <v>658</v>
      </c>
      <c r="K11" s="237" t="s">
        <v>659</v>
      </c>
      <c r="L11" s="260" t="s">
        <v>226</v>
      </c>
      <c r="M11" s="260" t="s">
        <v>227</v>
      </c>
      <c r="N11" s="260" t="s">
        <v>228</v>
      </c>
      <c r="O11" s="260" t="s">
        <v>229</v>
      </c>
      <c r="P11" s="260" t="s">
        <v>230</v>
      </c>
      <c r="Q11" s="260" t="s">
        <v>231</v>
      </c>
      <c r="R11" s="260" t="s">
        <v>232</v>
      </c>
      <c r="S11" s="260" t="s">
        <v>233</v>
      </c>
      <c r="T11" s="260" t="s">
        <v>234</v>
      </c>
      <c r="U11" s="260" t="s">
        <v>235</v>
      </c>
      <c r="V11" s="260" t="s">
        <v>236</v>
      </c>
      <c r="W11" s="260" t="s">
        <v>237</v>
      </c>
      <c r="X11" s="260" t="s">
        <v>238</v>
      </c>
      <c r="Y11" s="260" t="s">
        <v>239</v>
      </c>
      <c r="Z11" s="260" t="s">
        <v>240</v>
      </c>
      <c r="AA11" s="260" t="s">
        <v>241</v>
      </c>
      <c r="AB11" s="260" t="s">
        <v>242</v>
      </c>
      <c r="AC11" s="260" t="s">
        <v>243</v>
      </c>
      <c r="AD11" s="260" t="s">
        <v>244</v>
      </c>
      <c r="AE11" s="260" t="s">
        <v>245</v>
      </c>
      <c r="AF11" s="260" t="s">
        <v>246</v>
      </c>
      <c r="AG11" s="260" t="s">
        <v>247</v>
      </c>
      <c r="AH11" s="260" t="s">
        <v>248</v>
      </c>
      <c r="AI11" s="260" t="s">
        <v>249</v>
      </c>
      <c r="AJ11" s="260" t="s">
        <v>250</v>
      </c>
      <c r="AK11" s="260" t="s">
        <v>251</v>
      </c>
      <c r="AL11" s="260" t="s">
        <v>252</v>
      </c>
      <c r="AM11" s="260" t="s">
        <v>253</v>
      </c>
      <c r="AN11" s="260" t="s">
        <v>254</v>
      </c>
      <c r="AO11" s="260" t="s">
        <v>255</v>
      </c>
      <c r="AP11" s="260" t="s">
        <v>256</v>
      </c>
      <c r="AQ11" s="260" t="s">
        <v>257</v>
      </c>
      <c r="AR11" s="260" t="s">
        <v>258</v>
      </c>
      <c r="AS11" s="260" t="s">
        <v>259</v>
      </c>
    </row>
    <row r="12" spans="1:45" s="219" customFormat="1" x14ac:dyDescent="0.25">
      <c r="A12" s="240">
        <f>MATCH($B$9,L:L,0)</f>
        <v>12</v>
      </c>
      <c r="B12" s="241" t="str">
        <f t="shared" ref="B12:B75" si="0">IF(ROW(A12)-(ROW($A$12))&lt;$B$10,$B$9,"")</f>
        <v>Oil Field - Separator</v>
      </c>
      <c r="C12" s="241" t="str">
        <f ca="1">IF(B12="","",VLOOKUP(D12,'Species Data'!B:E,4,FALSE))</f>
        <v>isobutben</v>
      </c>
      <c r="D12" s="241">
        <f ca="1">IF(B12="","",INDIRECT("AE"&amp;$A12))</f>
        <v>3</v>
      </c>
      <c r="E12" s="241">
        <f ca="1">IF(D12="","",INDIRECT("AF"&amp;$A12))</f>
        <v>4.8999999999999998E-3</v>
      </c>
      <c r="F12" s="241" t="str">
        <f ca="1">IF(E12="","",INDIRECT("AO"&amp;$A12))</f>
        <v>(2-methylpropyl)benzene; isobutylbenzene</v>
      </c>
      <c r="G12" s="241">
        <f ca="1">IF(F12="","",INDIRECT("AQ"&amp;$A12))</f>
        <v>134.21816000000001</v>
      </c>
      <c r="H12" s="242" t="str">
        <f ca="1">IF(G12="","",IF(VLOOKUP(Separator!F12,'Species Data'!D:F,3,FALSE)=0,"X",IF(G12&lt;44.1,2,1)))</f>
        <v>X</v>
      </c>
      <c r="I12" s="242">
        <f ca="1">IF(H12="","",SUMIF(D:D,D12,E:E)/($E$9/100))</f>
        <v>1.6333355111140147E-3</v>
      </c>
      <c r="J12" s="243" t="str">
        <f ca="1">IF(I12="","",IF(COUNTIF($D$12:D12,D12)=1,IF(H12=1,I12*H12,IF(H12="X","X",0)),0))</f>
        <v>X</v>
      </c>
      <c r="K12" s="244">
        <f ca="1">IF(J12="","",IF(J12="X",0,J12/$J$9*100))</f>
        <v>0</v>
      </c>
      <c r="L12" s="197" t="s">
        <v>678</v>
      </c>
      <c r="M12" s="197" t="s">
        <v>448</v>
      </c>
      <c r="N12" s="197" t="s">
        <v>470</v>
      </c>
      <c r="O12" s="198">
        <v>41419</v>
      </c>
      <c r="P12" s="197" t="s">
        <v>531</v>
      </c>
      <c r="Q12" s="199">
        <v>100</v>
      </c>
      <c r="R12" s="197" t="s">
        <v>445</v>
      </c>
      <c r="S12" s="197" t="s">
        <v>532</v>
      </c>
      <c r="T12" s="197" t="s">
        <v>445</v>
      </c>
      <c r="U12" s="197" t="s">
        <v>446</v>
      </c>
      <c r="V12" s="199" t="b">
        <v>1</v>
      </c>
      <c r="W12" s="199">
        <v>1989</v>
      </c>
      <c r="X12" s="199">
        <v>5</v>
      </c>
      <c r="Y12" s="199">
        <v>2</v>
      </c>
      <c r="Z12" s="199">
        <v>4</v>
      </c>
      <c r="AA12" s="197" t="s">
        <v>447</v>
      </c>
      <c r="AB12" s="197" t="s">
        <v>531</v>
      </c>
      <c r="AC12" s="197" t="s">
        <v>533</v>
      </c>
      <c r="AD12" s="199">
        <v>1.8588359999999999</v>
      </c>
      <c r="AE12" s="199">
        <v>3</v>
      </c>
      <c r="AF12" s="199">
        <v>4.8999999999999998E-3</v>
      </c>
      <c r="AG12" s="199">
        <v>-99</v>
      </c>
      <c r="AH12" s="197" t="s">
        <v>224</v>
      </c>
      <c r="AI12" s="197" t="s">
        <v>449</v>
      </c>
      <c r="AJ12" s="197" t="s">
        <v>425</v>
      </c>
      <c r="AK12" s="197" t="s">
        <v>531</v>
      </c>
      <c r="AL12" s="197" t="s">
        <v>456</v>
      </c>
      <c r="AM12" s="199" t="b">
        <v>0</v>
      </c>
      <c r="AN12" s="199" t="b">
        <v>0</v>
      </c>
      <c r="AO12" s="197" t="s">
        <v>426</v>
      </c>
      <c r="AP12" s="197" t="s">
        <v>531</v>
      </c>
      <c r="AQ12" s="199">
        <v>134.21816000000001</v>
      </c>
      <c r="AR12" s="199" t="b">
        <v>0</v>
      </c>
      <c r="AS12" s="197" t="s">
        <v>534</v>
      </c>
    </row>
    <row r="13" spans="1:45" s="219" customFormat="1" x14ac:dyDescent="0.25">
      <c r="A13" s="245">
        <f>IF(B13="","",A12+1)</f>
        <v>13</v>
      </c>
      <c r="B13" s="246" t="str">
        <f t="shared" si="0"/>
        <v>Oil Field - Separator</v>
      </c>
      <c r="C13" s="246" t="str">
        <f ca="1">IF(B13="","",VLOOKUP(D13,'Species Data'!B:E,4,FALSE))</f>
        <v>trimetben124</v>
      </c>
      <c r="D13" s="246">
        <f t="shared" ref="D13:D76" ca="1" si="1">IF(B13="","",INDIRECT("AE"&amp;$A13))</f>
        <v>30</v>
      </c>
      <c r="E13" s="246">
        <f t="shared" ref="E13:E76" ca="1" si="2">IF(D13="","",INDIRECT("AF"&amp;$A13))</f>
        <v>5.4999999999999997E-3</v>
      </c>
      <c r="F13" s="246" t="str">
        <f t="shared" ref="F13:F76" ca="1" si="3">IF(E13="","",INDIRECT("AO"&amp;$A13))</f>
        <v>1,2,4-trimethylbenzene  (1,3,4-trimethylbenzene)</v>
      </c>
      <c r="G13" s="246">
        <f t="shared" ref="G13:G76" ca="1" si="4">IF(F13="","",INDIRECT("AQ"&amp;$A13))</f>
        <v>120.19158</v>
      </c>
      <c r="H13" s="204">
        <f ca="1">IF(G13="","",IF(VLOOKUP(Separator!F13,'Species Data'!D:F,3,FALSE)=0,"X",IF(G13&lt;44.1,2,1)))</f>
        <v>1</v>
      </c>
      <c r="I13" s="204">
        <f t="shared" ref="I13:I76" ca="1" si="5">IF(H13="","",SUMIF(D:D,D13,E:E)/($E$9/100))</f>
        <v>1.8333357777810368E-3</v>
      </c>
      <c r="J13" s="247">
        <f ca="1">IF(I13="","",IF(COUNTIF($D$12:D13,D13)=1,IF(H13=1,I13*H13,IF(H13="X","X",0)),0))</f>
        <v>1.8333357777810368E-3</v>
      </c>
      <c r="K13" s="248">
        <f t="shared" ref="K13:K76" ca="1" si="6">IF(J13="","",IF(J13="X",0,J13/$J$9*100))</f>
        <v>4.4756710658444476E-3</v>
      </c>
      <c r="L13" s="197" t="s">
        <v>678</v>
      </c>
      <c r="M13" s="197" t="s">
        <v>448</v>
      </c>
      <c r="N13" s="197" t="s">
        <v>470</v>
      </c>
      <c r="O13" s="198">
        <v>41419</v>
      </c>
      <c r="P13" s="197" t="s">
        <v>531</v>
      </c>
      <c r="Q13" s="199">
        <v>100</v>
      </c>
      <c r="R13" s="197" t="s">
        <v>445</v>
      </c>
      <c r="S13" s="197" t="s">
        <v>532</v>
      </c>
      <c r="T13" s="197" t="s">
        <v>445</v>
      </c>
      <c r="U13" s="197" t="s">
        <v>446</v>
      </c>
      <c r="V13" s="199" t="b">
        <v>1</v>
      </c>
      <c r="W13" s="199">
        <v>1989</v>
      </c>
      <c r="X13" s="199">
        <v>5</v>
      </c>
      <c r="Y13" s="199">
        <v>2</v>
      </c>
      <c r="Z13" s="199">
        <v>4</v>
      </c>
      <c r="AA13" s="197" t="s">
        <v>447</v>
      </c>
      <c r="AB13" s="197" t="s">
        <v>531</v>
      </c>
      <c r="AC13" s="197" t="s">
        <v>533</v>
      </c>
      <c r="AD13" s="199">
        <v>1.8588359999999999</v>
      </c>
      <c r="AE13" s="199">
        <v>30</v>
      </c>
      <c r="AF13" s="199">
        <v>5.4999999999999997E-3</v>
      </c>
      <c r="AG13" s="199">
        <v>-99</v>
      </c>
      <c r="AH13" s="197" t="s">
        <v>224</v>
      </c>
      <c r="AI13" s="197" t="s">
        <v>449</v>
      </c>
      <c r="AJ13" s="197" t="s">
        <v>359</v>
      </c>
      <c r="AK13" s="197" t="s">
        <v>531</v>
      </c>
      <c r="AL13" s="197" t="s">
        <v>531</v>
      </c>
      <c r="AM13" s="199" t="b">
        <v>1</v>
      </c>
      <c r="AN13" s="199" t="b">
        <v>0</v>
      </c>
      <c r="AO13" s="197" t="s">
        <v>360</v>
      </c>
      <c r="AP13" s="197" t="s">
        <v>361</v>
      </c>
      <c r="AQ13" s="199">
        <v>120.19158</v>
      </c>
      <c r="AR13" s="199" t="b">
        <v>0</v>
      </c>
      <c r="AS13" s="197" t="s">
        <v>534</v>
      </c>
    </row>
    <row r="14" spans="1:45" s="219" customFormat="1" x14ac:dyDescent="0.25">
      <c r="A14" s="245">
        <f t="shared" ref="A14:A77" si="7">IF(B14="","",A13+1)</f>
        <v>14</v>
      </c>
      <c r="B14" s="246" t="str">
        <f t="shared" si="0"/>
        <v>Oil Field - Separator</v>
      </c>
      <c r="C14" s="246" t="str">
        <f ca="1">IF(B14="","",VLOOKUP(D14,'Species Data'!B:E,4,FALSE))</f>
        <v>ethben12</v>
      </c>
      <c r="D14" s="246">
        <f t="shared" ca="1" si="1"/>
        <v>80</v>
      </c>
      <c r="E14" s="246">
        <f t="shared" ca="1" si="2"/>
        <v>8.6999999999999994E-3</v>
      </c>
      <c r="F14" s="246" t="str">
        <f t="shared" ca="1" si="3"/>
        <v>1-Methyl-2-ethylbenzene</v>
      </c>
      <c r="G14" s="246">
        <f t="shared" ca="1" si="4"/>
        <v>120.19158</v>
      </c>
      <c r="H14" s="204">
        <f ca="1">IF(G14="","",IF(VLOOKUP(Separator!F14,'Species Data'!D:F,3,FALSE)=0,"X",IF(G14&lt;44.1,2,1)))</f>
        <v>1</v>
      </c>
      <c r="I14" s="204">
        <f t="shared" ca="1" si="5"/>
        <v>5.1000068000090657E-3</v>
      </c>
      <c r="J14" s="247">
        <f ca="1">IF(I14="","",IF(COUNTIF($D$12:D14,D14)=1,IF(H14=1,I14*H14,IF(H14="X","X",0)),0))</f>
        <v>5.1000068000090657E-3</v>
      </c>
      <c r="K14" s="248">
        <f t="shared" ca="1" si="6"/>
        <v>1.2450503146803644E-2</v>
      </c>
      <c r="L14" s="197" t="s">
        <v>678</v>
      </c>
      <c r="M14" s="197" t="s">
        <v>448</v>
      </c>
      <c r="N14" s="197" t="s">
        <v>470</v>
      </c>
      <c r="O14" s="198">
        <v>41419</v>
      </c>
      <c r="P14" s="197" t="s">
        <v>531</v>
      </c>
      <c r="Q14" s="199">
        <v>100</v>
      </c>
      <c r="R14" s="197" t="s">
        <v>445</v>
      </c>
      <c r="S14" s="197" t="s">
        <v>532</v>
      </c>
      <c r="T14" s="197" t="s">
        <v>445</v>
      </c>
      <c r="U14" s="197" t="s">
        <v>446</v>
      </c>
      <c r="V14" s="199" t="b">
        <v>1</v>
      </c>
      <c r="W14" s="199">
        <v>1989</v>
      </c>
      <c r="X14" s="199">
        <v>5</v>
      </c>
      <c r="Y14" s="199">
        <v>2</v>
      </c>
      <c r="Z14" s="199">
        <v>4</v>
      </c>
      <c r="AA14" s="197" t="s">
        <v>447</v>
      </c>
      <c r="AB14" s="197" t="s">
        <v>531</v>
      </c>
      <c r="AC14" s="197" t="s">
        <v>533</v>
      </c>
      <c r="AD14" s="199">
        <v>1.8588359999999999</v>
      </c>
      <c r="AE14" s="199">
        <v>80</v>
      </c>
      <c r="AF14" s="199">
        <v>8.6999999999999994E-3</v>
      </c>
      <c r="AG14" s="199">
        <v>-99</v>
      </c>
      <c r="AH14" s="197" t="s">
        <v>224</v>
      </c>
      <c r="AI14" s="197" t="s">
        <v>449</v>
      </c>
      <c r="AJ14" s="197" t="s">
        <v>408</v>
      </c>
      <c r="AK14" s="197" t="s">
        <v>531</v>
      </c>
      <c r="AL14" s="197" t="s">
        <v>450</v>
      </c>
      <c r="AM14" s="199" t="b">
        <v>1</v>
      </c>
      <c r="AN14" s="199" t="b">
        <v>0</v>
      </c>
      <c r="AO14" s="197" t="s">
        <v>409</v>
      </c>
      <c r="AP14" s="197" t="s">
        <v>410</v>
      </c>
      <c r="AQ14" s="199">
        <v>120.19158</v>
      </c>
      <c r="AR14" s="199" t="b">
        <v>0</v>
      </c>
      <c r="AS14" s="197" t="s">
        <v>534</v>
      </c>
    </row>
    <row r="15" spans="1:45" s="219" customFormat="1" x14ac:dyDescent="0.25">
      <c r="A15" s="245">
        <f t="shared" si="7"/>
        <v>15</v>
      </c>
      <c r="B15" s="246" t="str">
        <f t="shared" si="0"/>
        <v>Oil Field - Separator</v>
      </c>
      <c r="C15" s="246" t="str">
        <f ca="1">IF(B15="","",VLOOKUP(D15,'Species Data'!B:E,4,FALSE))</f>
        <v>ethben13</v>
      </c>
      <c r="D15" s="246">
        <f t="shared" ca="1" si="1"/>
        <v>89</v>
      </c>
      <c r="E15" s="246">
        <f t="shared" ca="1" si="2"/>
        <v>9.2999999999999992E-3</v>
      </c>
      <c r="F15" s="246" t="str">
        <f t="shared" ca="1" si="3"/>
        <v>1-Methyl-3-ethylbenzene (3-Ethyltoluene)</v>
      </c>
      <c r="G15" s="246">
        <f t="shared" ca="1" si="4"/>
        <v>120.19158</v>
      </c>
      <c r="H15" s="204">
        <f ca="1">IF(G15="","",IF(VLOOKUP(Separator!F15,'Species Data'!D:F,3,FALSE)=0,"X",IF(G15&lt;44.1,2,1)))</f>
        <v>1</v>
      </c>
      <c r="I15" s="204">
        <f t="shared" ca="1" si="5"/>
        <v>4.7666730222306955E-3</v>
      </c>
      <c r="J15" s="247">
        <f ca="1">IF(I15="","",IF(COUNTIF($D$12:D15,D15)=1,IF(H15=1,I15*H15,IF(H15="X","X",0)),0))</f>
        <v>4.7666730222306955E-3</v>
      </c>
      <c r="K15" s="248">
        <f t="shared" ca="1" si="6"/>
        <v>1.1636744771195561E-2</v>
      </c>
      <c r="L15" s="197" t="s">
        <v>678</v>
      </c>
      <c r="M15" s="197" t="s">
        <v>448</v>
      </c>
      <c r="N15" s="197" t="s">
        <v>470</v>
      </c>
      <c r="O15" s="198">
        <v>41419</v>
      </c>
      <c r="P15" s="197" t="s">
        <v>531</v>
      </c>
      <c r="Q15" s="199">
        <v>100</v>
      </c>
      <c r="R15" s="197" t="s">
        <v>445</v>
      </c>
      <c r="S15" s="197" t="s">
        <v>532</v>
      </c>
      <c r="T15" s="197" t="s">
        <v>445</v>
      </c>
      <c r="U15" s="197" t="s">
        <v>446</v>
      </c>
      <c r="V15" s="199" t="b">
        <v>1</v>
      </c>
      <c r="W15" s="199">
        <v>1989</v>
      </c>
      <c r="X15" s="199">
        <v>5</v>
      </c>
      <c r="Y15" s="199">
        <v>2</v>
      </c>
      <c r="Z15" s="199">
        <v>4</v>
      </c>
      <c r="AA15" s="197" t="s">
        <v>447</v>
      </c>
      <c r="AB15" s="197" t="s">
        <v>531</v>
      </c>
      <c r="AC15" s="197" t="s">
        <v>533</v>
      </c>
      <c r="AD15" s="199">
        <v>1.8588359999999999</v>
      </c>
      <c r="AE15" s="199">
        <v>89</v>
      </c>
      <c r="AF15" s="199">
        <v>9.2999999999999992E-3</v>
      </c>
      <c r="AG15" s="199">
        <v>-99</v>
      </c>
      <c r="AH15" s="197" t="s">
        <v>224</v>
      </c>
      <c r="AI15" s="197" t="s">
        <v>449</v>
      </c>
      <c r="AJ15" s="197" t="s">
        <v>411</v>
      </c>
      <c r="AK15" s="197" t="s">
        <v>531</v>
      </c>
      <c r="AL15" s="197" t="s">
        <v>451</v>
      </c>
      <c r="AM15" s="199" t="b">
        <v>1</v>
      </c>
      <c r="AN15" s="199" t="b">
        <v>0</v>
      </c>
      <c r="AO15" s="197" t="s">
        <v>412</v>
      </c>
      <c r="AP15" s="197" t="s">
        <v>413</v>
      </c>
      <c r="AQ15" s="199">
        <v>120.19158</v>
      </c>
      <c r="AR15" s="199" t="b">
        <v>0</v>
      </c>
      <c r="AS15" s="197" t="s">
        <v>534</v>
      </c>
    </row>
    <row r="16" spans="1:45" s="219" customFormat="1" ht="15" customHeight="1" x14ac:dyDescent="0.25">
      <c r="A16" s="245">
        <f t="shared" si="7"/>
        <v>16</v>
      </c>
      <c r="B16" s="246" t="str">
        <f t="shared" si="0"/>
        <v>Oil Field - Separator</v>
      </c>
      <c r="C16" s="246" t="str">
        <f ca="1">IF(B16="","",VLOOKUP(D16,'Species Data'!B:E,4,FALSE))</f>
        <v>dimetbut22</v>
      </c>
      <c r="D16" s="246">
        <f t="shared" ca="1" si="1"/>
        <v>122</v>
      </c>
      <c r="E16" s="246">
        <f t="shared" ca="1" si="2"/>
        <v>0.1976</v>
      </c>
      <c r="F16" s="246" t="str">
        <f t="shared" ca="1" si="3"/>
        <v>2,2-dimethylbutane</v>
      </c>
      <c r="G16" s="246">
        <f t="shared" ca="1" si="4"/>
        <v>86.175359999999998</v>
      </c>
      <c r="H16" s="204">
        <f ca="1">IF(G16="","",IF(VLOOKUP(Separator!F16,'Species Data'!D:F,3,FALSE)=0,"X",IF(G16&lt;44.1,2,1)))</f>
        <v>1</v>
      </c>
      <c r="I16" s="204">
        <f t="shared" ca="1" si="5"/>
        <v>0.15476687302249734</v>
      </c>
      <c r="J16" s="247">
        <f ca="1">IF(I16="","",IF(COUNTIF($D$12:D16,D16)=1,IF(H16=1,I16*H16,IF(H16="X","X",0)),0))</f>
        <v>0.15476687302249734</v>
      </c>
      <c r="K16" s="248">
        <f t="shared" ca="1" si="6"/>
        <v>0.37782801379483211</v>
      </c>
      <c r="L16" s="197" t="s">
        <v>678</v>
      </c>
      <c r="M16" s="197" t="s">
        <v>448</v>
      </c>
      <c r="N16" s="197" t="s">
        <v>470</v>
      </c>
      <c r="O16" s="198">
        <v>41419</v>
      </c>
      <c r="P16" s="197" t="s">
        <v>531</v>
      </c>
      <c r="Q16" s="199">
        <v>100</v>
      </c>
      <c r="R16" s="197" t="s">
        <v>445</v>
      </c>
      <c r="S16" s="197" t="s">
        <v>532</v>
      </c>
      <c r="T16" s="197" t="s">
        <v>445</v>
      </c>
      <c r="U16" s="197" t="s">
        <v>446</v>
      </c>
      <c r="V16" s="199" t="b">
        <v>1</v>
      </c>
      <c r="W16" s="199">
        <v>1989</v>
      </c>
      <c r="X16" s="199">
        <v>5</v>
      </c>
      <c r="Y16" s="199">
        <v>2</v>
      </c>
      <c r="Z16" s="199">
        <v>4</v>
      </c>
      <c r="AA16" s="197" t="s">
        <v>447</v>
      </c>
      <c r="AB16" s="197" t="s">
        <v>531</v>
      </c>
      <c r="AC16" s="197" t="s">
        <v>533</v>
      </c>
      <c r="AD16" s="199">
        <v>1.8588359999999999</v>
      </c>
      <c r="AE16" s="199">
        <v>122</v>
      </c>
      <c r="AF16" s="199">
        <v>0.1976</v>
      </c>
      <c r="AG16" s="199">
        <v>-99</v>
      </c>
      <c r="AH16" s="197" t="s">
        <v>224</v>
      </c>
      <c r="AI16" s="197" t="s">
        <v>449</v>
      </c>
      <c r="AJ16" s="197" t="s">
        <v>301</v>
      </c>
      <c r="AK16" s="197" t="s">
        <v>531</v>
      </c>
      <c r="AL16" s="197" t="s">
        <v>384</v>
      </c>
      <c r="AM16" s="199" t="b">
        <v>1</v>
      </c>
      <c r="AN16" s="199" t="b">
        <v>0</v>
      </c>
      <c r="AO16" s="197" t="s">
        <v>302</v>
      </c>
      <c r="AP16" s="197" t="s">
        <v>303</v>
      </c>
      <c r="AQ16" s="199">
        <v>86.175359999999998</v>
      </c>
      <c r="AR16" s="199" t="b">
        <v>0</v>
      </c>
      <c r="AS16" s="197" t="s">
        <v>534</v>
      </c>
    </row>
    <row r="17" spans="1:45" s="219" customFormat="1" x14ac:dyDescent="0.25">
      <c r="A17" s="245">
        <f t="shared" si="7"/>
        <v>17</v>
      </c>
      <c r="B17" s="246" t="str">
        <f t="shared" si="0"/>
        <v>Oil Field - Separator</v>
      </c>
      <c r="C17" s="246" t="str">
        <f ca="1">IF(B17="","",VLOOKUP(D17,'Species Data'!B:E,4,FALSE))</f>
        <v>dimethpro</v>
      </c>
      <c r="D17" s="246">
        <f t="shared" ca="1" si="1"/>
        <v>127</v>
      </c>
      <c r="E17" s="246">
        <f t="shared" ca="1" si="2"/>
        <v>0.1195</v>
      </c>
      <c r="F17" s="246" t="str">
        <f t="shared" ca="1" si="3"/>
        <v>2,2-dimethylpropane</v>
      </c>
      <c r="G17" s="246">
        <f t="shared" ca="1" si="4"/>
        <v>72.148780000000002</v>
      </c>
      <c r="H17" s="204">
        <f ca="1">IF(G17="","",IF(VLOOKUP(Separator!F17,'Species Data'!D:F,3,FALSE)=0,"X",IF(G17&lt;44.1,2,1)))</f>
        <v>1</v>
      </c>
      <c r="I17" s="204">
        <f t="shared" ca="1" si="5"/>
        <v>9.2800123733498288E-2</v>
      </c>
      <c r="J17" s="247">
        <f ca="1">IF(I17="","",IF(COUNTIF($D$12:D17,D17)=1,IF(H17=1,I17*H17,IF(H17="X","X",0)),0))</f>
        <v>9.2800123733498288E-2</v>
      </c>
      <c r="K17" s="248">
        <f t="shared" ca="1" si="6"/>
        <v>0.22655033176928979</v>
      </c>
      <c r="L17" s="197" t="s">
        <v>678</v>
      </c>
      <c r="M17" s="197" t="s">
        <v>448</v>
      </c>
      <c r="N17" s="197" t="s">
        <v>470</v>
      </c>
      <c r="O17" s="198">
        <v>41419</v>
      </c>
      <c r="P17" s="197" t="s">
        <v>531</v>
      </c>
      <c r="Q17" s="199">
        <v>100</v>
      </c>
      <c r="R17" s="197" t="s">
        <v>445</v>
      </c>
      <c r="S17" s="197" t="s">
        <v>532</v>
      </c>
      <c r="T17" s="197" t="s">
        <v>445</v>
      </c>
      <c r="U17" s="197" t="s">
        <v>446</v>
      </c>
      <c r="V17" s="199" t="b">
        <v>1</v>
      </c>
      <c r="W17" s="199">
        <v>1989</v>
      </c>
      <c r="X17" s="199">
        <v>5</v>
      </c>
      <c r="Y17" s="199">
        <v>2</v>
      </c>
      <c r="Z17" s="199">
        <v>4</v>
      </c>
      <c r="AA17" s="197" t="s">
        <v>447</v>
      </c>
      <c r="AB17" s="197" t="s">
        <v>531</v>
      </c>
      <c r="AC17" s="197" t="s">
        <v>533</v>
      </c>
      <c r="AD17" s="199">
        <v>1.8588359999999999</v>
      </c>
      <c r="AE17" s="199">
        <v>127</v>
      </c>
      <c r="AF17" s="199">
        <v>0.1195</v>
      </c>
      <c r="AG17" s="199">
        <v>-99</v>
      </c>
      <c r="AH17" s="197" t="s">
        <v>224</v>
      </c>
      <c r="AI17" s="197" t="s">
        <v>449</v>
      </c>
      <c r="AJ17" s="197" t="s">
        <v>441</v>
      </c>
      <c r="AK17" s="197" t="s">
        <v>531</v>
      </c>
      <c r="AL17" s="197" t="s">
        <v>462</v>
      </c>
      <c r="AM17" s="199" t="b">
        <v>0</v>
      </c>
      <c r="AN17" s="199" t="b">
        <v>0</v>
      </c>
      <c r="AO17" s="197" t="s">
        <v>442</v>
      </c>
      <c r="AP17" s="197" t="s">
        <v>531</v>
      </c>
      <c r="AQ17" s="199">
        <v>72.148780000000002</v>
      </c>
      <c r="AR17" s="199" t="b">
        <v>0</v>
      </c>
      <c r="AS17" s="197" t="s">
        <v>534</v>
      </c>
    </row>
    <row r="18" spans="1:45" s="219" customFormat="1" x14ac:dyDescent="0.25">
      <c r="A18" s="245">
        <f t="shared" si="7"/>
        <v>18</v>
      </c>
      <c r="B18" s="246" t="str">
        <f t="shared" si="0"/>
        <v>Oil Field - Separator</v>
      </c>
      <c r="C18" s="246" t="str">
        <f ca="1">IF(B18="","",VLOOKUP(D18,'Species Data'!B:E,4,FALSE))</f>
        <v>trimentpen3</v>
      </c>
      <c r="D18" s="246">
        <f t="shared" ca="1" si="1"/>
        <v>130</v>
      </c>
      <c r="E18" s="246">
        <f t="shared" ca="1" si="2"/>
        <v>0.38429999999999997</v>
      </c>
      <c r="F18" s="246" t="str">
        <f t="shared" ca="1" si="3"/>
        <v>2,3,4-trimethylpentane</v>
      </c>
      <c r="G18" s="246">
        <f t="shared" ca="1" si="4"/>
        <v>114.22852</v>
      </c>
      <c r="H18" s="204">
        <f ca="1">IF(G18="","",IF(VLOOKUP(Separator!F18,'Species Data'!D:F,3,FALSE)=0,"X",IF(G18&lt;44.1,2,1)))</f>
        <v>1</v>
      </c>
      <c r="I18" s="204">
        <f t="shared" ca="1" si="5"/>
        <v>0.1436668582224776</v>
      </c>
      <c r="J18" s="247">
        <f ca="1">IF(I18="","",IF(COUNTIF($D$12:D18,D18)=1,IF(H18=1,I18*H18,IF(H18="X","X",0)),0))</f>
        <v>0.1436668582224776</v>
      </c>
      <c r="K18" s="248">
        <f t="shared" ca="1" si="6"/>
        <v>0.35072985988708305</v>
      </c>
      <c r="L18" s="197" t="s">
        <v>678</v>
      </c>
      <c r="M18" s="197" t="s">
        <v>448</v>
      </c>
      <c r="N18" s="197" t="s">
        <v>470</v>
      </c>
      <c r="O18" s="198">
        <v>41419</v>
      </c>
      <c r="P18" s="197" t="s">
        <v>531</v>
      </c>
      <c r="Q18" s="199">
        <v>100</v>
      </c>
      <c r="R18" s="197" t="s">
        <v>445</v>
      </c>
      <c r="S18" s="197" t="s">
        <v>532</v>
      </c>
      <c r="T18" s="197" t="s">
        <v>445</v>
      </c>
      <c r="U18" s="197" t="s">
        <v>446</v>
      </c>
      <c r="V18" s="199" t="b">
        <v>1</v>
      </c>
      <c r="W18" s="199">
        <v>1989</v>
      </c>
      <c r="X18" s="199">
        <v>5</v>
      </c>
      <c r="Y18" s="199">
        <v>2</v>
      </c>
      <c r="Z18" s="199">
        <v>4</v>
      </c>
      <c r="AA18" s="197" t="s">
        <v>447</v>
      </c>
      <c r="AB18" s="197" t="s">
        <v>531</v>
      </c>
      <c r="AC18" s="197" t="s">
        <v>533</v>
      </c>
      <c r="AD18" s="199">
        <v>1.8588359999999999</v>
      </c>
      <c r="AE18" s="199">
        <v>130</v>
      </c>
      <c r="AF18" s="199">
        <v>0.38429999999999997</v>
      </c>
      <c r="AG18" s="199">
        <v>-99</v>
      </c>
      <c r="AH18" s="197" t="s">
        <v>224</v>
      </c>
      <c r="AI18" s="197" t="s">
        <v>449</v>
      </c>
      <c r="AJ18" s="197" t="s">
        <v>404</v>
      </c>
      <c r="AK18" s="197" t="s">
        <v>531</v>
      </c>
      <c r="AL18" s="197" t="s">
        <v>405</v>
      </c>
      <c r="AM18" s="199" t="b">
        <v>1</v>
      </c>
      <c r="AN18" s="199" t="b">
        <v>0</v>
      </c>
      <c r="AO18" s="197" t="s">
        <v>406</v>
      </c>
      <c r="AP18" s="197" t="s">
        <v>407</v>
      </c>
      <c r="AQ18" s="199">
        <v>114.22852</v>
      </c>
      <c r="AR18" s="199" t="b">
        <v>0</v>
      </c>
      <c r="AS18" s="197" t="s">
        <v>534</v>
      </c>
    </row>
    <row r="19" spans="1:45" s="219" customFormat="1" x14ac:dyDescent="0.25">
      <c r="A19" s="245">
        <f t="shared" si="7"/>
        <v>19</v>
      </c>
      <c r="B19" s="246" t="str">
        <f t="shared" si="0"/>
        <v>Oil Field - Separator</v>
      </c>
      <c r="C19" s="246" t="str">
        <f ca="1">IF(B19="","",VLOOKUP(D19,'Species Data'!B:E,4,FALSE))</f>
        <v>dimethhex23</v>
      </c>
      <c r="D19" s="246">
        <f t="shared" ca="1" si="1"/>
        <v>138</v>
      </c>
      <c r="E19" s="246">
        <f t="shared" ca="1" si="2"/>
        <v>2.7300000000000001E-2</v>
      </c>
      <c r="F19" s="246" t="str">
        <f t="shared" ca="1" si="3"/>
        <v>2,3-dimethylhexane</v>
      </c>
      <c r="G19" s="246">
        <f t="shared" ca="1" si="4"/>
        <v>114.22852</v>
      </c>
      <c r="H19" s="204">
        <f ca="1">IF(G19="","",IF(VLOOKUP(Separator!F19,'Species Data'!D:F,3,FALSE)=0,"X",IF(G19&lt;44.1,2,1)))</f>
        <v>1</v>
      </c>
      <c r="I19" s="204">
        <f t="shared" ca="1" si="5"/>
        <v>1.5666687555583404E-2</v>
      </c>
      <c r="J19" s="247">
        <f ca="1">IF(I19="","",IF(COUNTIF($D$12:D19,D19)=1,IF(H19=1,I19*H19,IF(H19="X","X",0)),0))</f>
        <v>1.5666687555583404E-2</v>
      </c>
      <c r="K19" s="248">
        <f t="shared" ca="1" si="6"/>
        <v>3.8246643653579819E-2</v>
      </c>
      <c r="L19" s="197" t="s">
        <v>678</v>
      </c>
      <c r="M19" s="197" t="s">
        <v>448</v>
      </c>
      <c r="N19" s="197" t="s">
        <v>470</v>
      </c>
      <c r="O19" s="198">
        <v>41419</v>
      </c>
      <c r="P19" s="197" t="s">
        <v>531</v>
      </c>
      <c r="Q19" s="199">
        <v>100</v>
      </c>
      <c r="R19" s="197" t="s">
        <v>445</v>
      </c>
      <c r="S19" s="197" t="s">
        <v>532</v>
      </c>
      <c r="T19" s="197" t="s">
        <v>445</v>
      </c>
      <c r="U19" s="197" t="s">
        <v>446</v>
      </c>
      <c r="V19" s="199" t="b">
        <v>1</v>
      </c>
      <c r="W19" s="199">
        <v>1989</v>
      </c>
      <c r="X19" s="199">
        <v>5</v>
      </c>
      <c r="Y19" s="199">
        <v>2</v>
      </c>
      <c r="Z19" s="199">
        <v>4</v>
      </c>
      <c r="AA19" s="197" t="s">
        <v>447</v>
      </c>
      <c r="AB19" s="197" t="s">
        <v>531</v>
      </c>
      <c r="AC19" s="197" t="s">
        <v>533</v>
      </c>
      <c r="AD19" s="199">
        <v>1.8588359999999999</v>
      </c>
      <c r="AE19" s="199">
        <v>138</v>
      </c>
      <c r="AF19" s="199">
        <v>2.7300000000000001E-2</v>
      </c>
      <c r="AG19" s="199">
        <v>-99</v>
      </c>
      <c r="AH19" s="197" t="s">
        <v>224</v>
      </c>
      <c r="AI19" s="197" t="s">
        <v>449</v>
      </c>
      <c r="AJ19" s="197" t="s">
        <v>443</v>
      </c>
      <c r="AK19" s="197" t="s">
        <v>531</v>
      </c>
      <c r="AL19" s="197" t="s">
        <v>463</v>
      </c>
      <c r="AM19" s="199" t="b">
        <v>0</v>
      </c>
      <c r="AN19" s="199" t="b">
        <v>0</v>
      </c>
      <c r="AO19" s="197" t="s">
        <v>444</v>
      </c>
      <c r="AP19" s="197" t="s">
        <v>531</v>
      </c>
      <c r="AQ19" s="199">
        <v>114.22852</v>
      </c>
      <c r="AR19" s="199" t="b">
        <v>0</v>
      </c>
      <c r="AS19" s="197" t="s">
        <v>534</v>
      </c>
    </row>
    <row r="20" spans="1:45" s="219" customFormat="1" x14ac:dyDescent="0.25">
      <c r="A20" s="245">
        <f t="shared" si="7"/>
        <v>20</v>
      </c>
      <c r="B20" s="246" t="str">
        <f t="shared" si="0"/>
        <v>Oil Field - Separator</v>
      </c>
      <c r="C20" s="246" t="str">
        <f ca="1">IF(B20="","",VLOOKUP(D20,'Species Data'!B:E,4,FALSE))</f>
        <v>dimetpen3</v>
      </c>
      <c r="D20" s="246">
        <f t="shared" ca="1" si="1"/>
        <v>140</v>
      </c>
      <c r="E20" s="246">
        <f t="shared" ca="1" si="2"/>
        <v>0.2397</v>
      </c>
      <c r="F20" s="246" t="str">
        <f t="shared" ca="1" si="3"/>
        <v>2,3-dimethylpentane</v>
      </c>
      <c r="G20" s="246">
        <f t="shared" ca="1" si="4"/>
        <v>100.20194000000001</v>
      </c>
      <c r="H20" s="204">
        <f ca="1">IF(G20="","",IF(VLOOKUP(Separator!F20,'Species Data'!D:F,3,FALSE)=0,"X",IF(G20&lt;44.1,2,1)))</f>
        <v>1</v>
      </c>
      <c r="I20" s="204">
        <f t="shared" ca="1" si="5"/>
        <v>0.20590027453369936</v>
      </c>
      <c r="J20" s="247">
        <f ca="1">IF(I20="","",IF(COUNTIF($D$12:D20,D20)=1,IF(H20=1,I20*H20,IF(H20="X","X",0)),0))</f>
        <v>0.20590027453369936</v>
      </c>
      <c r="K20" s="248">
        <f t="shared" ca="1" si="6"/>
        <v>0.50265854861311177</v>
      </c>
      <c r="L20" s="197" t="s">
        <v>678</v>
      </c>
      <c r="M20" s="197" t="s">
        <v>448</v>
      </c>
      <c r="N20" s="197" t="s">
        <v>470</v>
      </c>
      <c r="O20" s="198">
        <v>41419</v>
      </c>
      <c r="P20" s="197" t="s">
        <v>531</v>
      </c>
      <c r="Q20" s="199">
        <v>100</v>
      </c>
      <c r="R20" s="197" t="s">
        <v>445</v>
      </c>
      <c r="S20" s="197" t="s">
        <v>532</v>
      </c>
      <c r="T20" s="197" t="s">
        <v>445</v>
      </c>
      <c r="U20" s="197" t="s">
        <v>446</v>
      </c>
      <c r="V20" s="199" t="b">
        <v>1</v>
      </c>
      <c r="W20" s="199">
        <v>1989</v>
      </c>
      <c r="X20" s="199">
        <v>5</v>
      </c>
      <c r="Y20" s="199">
        <v>2</v>
      </c>
      <c r="Z20" s="199">
        <v>4</v>
      </c>
      <c r="AA20" s="197" t="s">
        <v>447</v>
      </c>
      <c r="AB20" s="197" t="s">
        <v>531</v>
      </c>
      <c r="AC20" s="197" t="s">
        <v>533</v>
      </c>
      <c r="AD20" s="199">
        <v>1.8588359999999999</v>
      </c>
      <c r="AE20" s="199">
        <v>140</v>
      </c>
      <c r="AF20" s="199">
        <v>0.2397</v>
      </c>
      <c r="AG20" s="199">
        <v>-99</v>
      </c>
      <c r="AH20" s="197" t="s">
        <v>224</v>
      </c>
      <c r="AI20" s="197" t="s">
        <v>449</v>
      </c>
      <c r="AJ20" s="197" t="s">
        <v>307</v>
      </c>
      <c r="AK20" s="197" t="s">
        <v>531</v>
      </c>
      <c r="AL20" s="197" t="s">
        <v>385</v>
      </c>
      <c r="AM20" s="199" t="b">
        <v>1</v>
      </c>
      <c r="AN20" s="199" t="b">
        <v>0</v>
      </c>
      <c r="AO20" s="197" t="s">
        <v>308</v>
      </c>
      <c r="AP20" s="197" t="s">
        <v>309</v>
      </c>
      <c r="AQ20" s="199">
        <v>100.20194000000001</v>
      </c>
      <c r="AR20" s="199" t="b">
        <v>0</v>
      </c>
      <c r="AS20" s="197" t="s">
        <v>534</v>
      </c>
    </row>
    <row r="21" spans="1:45" s="219" customFormat="1" x14ac:dyDescent="0.25">
      <c r="A21" s="245">
        <f t="shared" si="7"/>
        <v>21</v>
      </c>
      <c r="B21" s="246" t="str">
        <f t="shared" si="0"/>
        <v>Oil Field - Separator</v>
      </c>
      <c r="C21" s="246" t="str">
        <f ca="1">IF(B21="","",VLOOKUP(D21,'Species Data'!B:E,4,FALSE))</f>
        <v>dimetpen4</v>
      </c>
      <c r="D21" s="246">
        <f t="shared" ca="1" si="1"/>
        <v>152</v>
      </c>
      <c r="E21" s="246">
        <f t="shared" ca="1" si="2"/>
        <v>0.1125</v>
      </c>
      <c r="F21" s="246" t="str">
        <f t="shared" ca="1" si="3"/>
        <v>2,4-dimethylpentane</v>
      </c>
      <c r="G21" s="246">
        <f t="shared" ca="1" si="4"/>
        <v>100.20194000000001</v>
      </c>
      <c r="H21" s="204">
        <f ca="1">IF(G21="","",IF(VLOOKUP(Separator!F21,'Species Data'!D:F,3,FALSE)=0,"X",IF(G21&lt;44.1,2,1)))</f>
        <v>1</v>
      </c>
      <c r="I21" s="204">
        <f t="shared" ca="1" si="5"/>
        <v>9.4800126400168522E-2</v>
      </c>
      <c r="J21" s="247">
        <f ca="1">IF(I21="","",IF(COUNTIF($D$12:D21,D21)=1,IF(H21=1,I21*H21,IF(H21="X","X",0)),0))</f>
        <v>9.4800126400168522E-2</v>
      </c>
      <c r="K21" s="248">
        <f t="shared" ca="1" si="6"/>
        <v>0.23143288202293832</v>
      </c>
      <c r="L21" s="197" t="s">
        <v>678</v>
      </c>
      <c r="M21" s="197" t="s">
        <v>448</v>
      </c>
      <c r="N21" s="197" t="s">
        <v>470</v>
      </c>
      <c r="O21" s="198">
        <v>41419</v>
      </c>
      <c r="P21" s="197" t="s">
        <v>531</v>
      </c>
      <c r="Q21" s="199">
        <v>100</v>
      </c>
      <c r="R21" s="197" t="s">
        <v>445</v>
      </c>
      <c r="S21" s="197" t="s">
        <v>532</v>
      </c>
      <c r="T21" s="197" t="s">
        <v>445</v>
      </c>
      <c r="U21" s="197" t="s">
        <v>446</v>
      </c>
      <c r="V21" s="199" t="b">
        <v>1</v>
      </c>
      <c r="W21" s="199">
        <v>1989</v>
      </c>
      <c r="X21" s="199">
        <v>5</v>
      </c>
      <c r="Y21" s="199">
        <v>2</v>
      </c>
      <c r="Z21" s="199">
        <v>4</v>
      </c>
      <c r="AA21" s="197" t="s">
        <v>447</v>
      </c>
      <c r="AB21" s="197" t="s">
        <v>531</v>
      </c>
      <c r="AC21" s="197" t="s">
        <v>533</v>
      </c>
      <c r="AD21" s="199">
        <v>1.8588359999999999</v>
      </c>
      <c r="AE21" s="199">
        <v>152</v>
      </c>
      <c r="AF21" s="199">
        <v>0.1125</v>
      </c>
      <c r="AG21" s="199">
        <v>-99</v>
      </c>
      <c r="AH21" s="197" t="s">
        <v>224</v>
      </c>
      <c r="AI21" s="197" t="s">
        <v>449</v>
      </c>
      <c r="AJ21" s="197" t="s">
        <v>310</v>
      </c>
      <c r="AK21" s="197" t="s">
        <v>531</v>
      </c>
      <c r="AL21" s="197" t="s">
        <v>386</v>
      </c>
      <c r="AM21" s="199" t="b">
        <v>1</v>
      </c>
      <c r="AN21" s="199" t="b">
        <v>0</v>
      </c>
      <c r="AO21" s="197" t="s">
        <v>311</v>
      </c>
      <c r="AP21" s="197" t="s">
        <v>312</v>
      </c>
      <c r="AQ21" s="199">
        <v>100.20194000000001</v>
      </c>
      <c r="AR21" s="199" t="b">
        <v>0</v>
      </c>
      <c r="AS21" s="197" t="s">
        <v>534</v>
      </c>
    </row>
    <row r="22" spans="1:45" s="219" customFormat="1" x14ac:dyDescent="0.25">
      <c r="A22" s="245">
        <f t="shared" si="7"/>
        <v>22</v>
      </c>
      <c r="B22" s="246" t="str">
        <f t="shared" si="0"/>
        <v>Oil Field - Separator</v>
      </c>
      <c r="C22" s="246" t="str">
        <f ca="1">IF(B22="","",VLOOKUP(D22,'Species Data'!B:E,4,FALSE))</f>
        <v>methep2</v>
      </c>
      <c r="D22" s="246">
        <f t="shared" ca="1" si="1"/>
        <v>193</v>
      </c>
      <c r="E22" s="246">
        <f t="shared" ca="1" si="2"/>
        <v>9.4500000000000001E-2</v>
      </c>
      <c r="F22" s="246" t="str">
        <f t="shared" ca="1" si="3"/>
        <v>2-methylheptane</v>
      </c>
      <c r="G22" s="246">
        <f t="shared" ca="1" si="4"/>
        <v>114.22852</v>
      </c>
      <c r="H22" s="204">
        <f ca="1">IF(G22="","",IF(VLOOKUP(Separator!F22,'Species Data'!D:F,3,FALSE)=0,"X",IF(G22&lt;44.1,2,1)))</f>
        <v>1</v>
      </c>
      <c r="I22" s="204">
        <f t="shared" ca="1" si="5"/>
        <v>0.10063346751129</v>
      </c>
      <c r="J22" s="247">
        <f ca="1">IF(I22="","",IF(COUNTIF($D$12:D22,D22)=1,IF(H22=1,I22*H22,IF(H22="X","X",0)),0))</f>
        <v>0.10063346751129</v>
      </c>
      <c r="K22" s="248">
        <f t="shared" ca="1" si="6"/>
        <v>0.24567365359607976</v>
      </c>
      <c r="L22" s="197" t="s">
        <v>678</v>
      </c>
      <c r="M22" s="197" t="s">
        <v>448</v>
      </c>
      <c r="N22" s="197" t="s">
        <v>470</v>
      </c>
      <c r="O22" s="198">
        <v>41419</v>
      </c>
      <c r="P22" s="197" t="s">
        <v>531</v>
      </c>
      <c r="Q22" s="199">
        <v>100</v>
      </c>
      <c r="R22" s="197" t="s">
        <v>445</v>
      </c>
      <c r="S22" s="197" t="s">
        <v>532</v>
      </c>
      <c r="T22" s="197" t="s">
        <v>445</v>
      </c>
      <c r="U22" s="197" t="s">
        <v>446</v>
      </c>
      <c r="V22" s="199" t="b">
        <v>1</v>
      </c>
      <c r="W22" s="199">
        <v>1989</v>
      </c>
      <c r="X22" s="199">
        <v>5</v>
      </c>
      <c r="Y22" s="199">
        <v>2</v>
      </c>
      <c r="Z22" s="199">
        <v>4</v>
      </c>
      <c r="AA22" s="197" t="s">
        <v>447</v>
      </c>
      <c r="AB22" s="197" t="s">
        <v>531</v>
      </c>
      <c r="AC22" s="197" t="s">
        <v>533</v>
      </c>
      <c r="AD22" s="199">
        <v>1.8588359999999999</v>
      </c>
      <c r="AE22" s="199">
        <v>193</v>
      </c>
      <c r="AF22" s="199">
        <v>9.4500000000000001E-2</v>
      </c>
      <c r="AG22" s="199">
        <v>-99</v>
      </c>
      <c r="AH22" s="197" t="s">
        <v>224</v>
      </c>
      <c r="AI22" s="197" t="s">
        <v>449</v>
      </c>
      <c r="AJ22" s="197" t="s">
        <v>313</v>
      </c>
      <c r="AK22" s="197" t="s">
        <v>531</v>
      </c>
      <c r="AL22" s="197" t="s">
        <v>387</v>
      </c>
      <c r="AM22" s="199" t="b">
        <v>1</v>
      </c>
      <c r="AN22" s="199" t="b">
        <v>0</v>
      </c>
      <c r="AO22" s="197" t="s">
        <v>314</v>
      </c>
      <c r="AP22" s="197" t="s">
        <v>315</v>
      </c>
      <c r="AQ22" s="199">
        <v>114.22852</v>
      </c>
      <c r="AR22" s="199" t="b">
        <v>0</v>
      </c>
      <c r="AS22" s="197" t="s">
        <v>534</v>
      </c>
    </row>
    <row r="23" spans="1:45" s="219" customFormat="1" x14ac:dyDescent="0.25">
      <c r="A23" s="245">
        <f t="shared" si="7"/>
        <v>23</v>
      </c>
      <c r="B23" s="246" t="str">
        <f t="shared" si="0"/>
        <v>Oil Field - Separator</v>
      </c>
      <c r="C23" s="246" t="str">
        <f ca="1">IF(B23="","",VLOOKUP(D23,'Species Data'!B:E,4,FALSE))</f>
        <v>twomethex</v>
      </c>
      <c r="D23" s="246">
        <f t="shared" ca="1" si="1"/>
        <v>194</v>
      </c>
      <c r="E23" s="246">
        <f t="shared" ca="1" si="2"/>
        <v>0.2276</v>
      </c>
      <c r="F23" s="246" t="str">
        <f t="shared" ca="1" si="3"/>
        <v>2-methylhexane</v>
      </c>
      <c r="G23" s="246">
        <f t="shared" ca="1" si="4"/>
        <v>100.20194000000001</v>
      </c>
      <c r="H23" s="204">
        <f ca="1">IF(G23="","",IF(VLOOKUP(Separator!F23,'Species Data'!D:F,3,FALSE)=0,"X",IF(G23&lt;44.1,2,1)))</f>
        <v>1</v>
      </c>
      <c r="I23" s="204">
        <f t="shared" ca="1" si="5"/>
        <v>0.27013369351159133</v>
      </c>
      <c r="J23" s="247">
        <f ca="1">IF(I23="","",IF(COUNTIF($D$12:D23,D23)=1,IF(H23=1,I23*H23,IF(H23="X","X",0)),0))</f>
        <v>0.27013369351159133</v>
      </c>
      <c r="K23" s="248">
        <f t="shared" ca="1" si="6"/>
        <v>0.65946978759278907</v>
      </c>
      <c r="L23" s="197" t="s">
        <v>678</v>
      </c>
      <c r="M23" s="197" t="s">
        <v>448</v>
      </c>
      <c r="N23" s="197" t="s">
        <v>470</v>
      </c>
      <c r="O23" s="198">
        <v>41419</v>
      </c>
      <c r="P23" s="197" t="s">
        <v>531</v>
      </c>
      <c r="Q23" s="199">
        <v>100</v>
      </c>
      <c r="R23" s="197" t="s">
        <v>445</v>
      </c>
      <c r="S23" s="197" t="s">
        <v>532</v>
      </c>
      <c r="T23" s="197" t="s">
        <v>445</v>
      </c>
      <c r="U23" s="197" t="s">
        <v>446</v>
      </c>
      <c r="V23" s="199" t="b">
        <v>1</v>
      </c>
      <c r="W23" s="199">
        <v>1989</v>
      </c>
      <c r="X23" s="199">
        <v>5</v>
      </c>
      <c r="Y23" s="199">
        <v>2</v>
      </c>
      <c r="Z23" s="199">
        <v>4</v>
      </c>
      <c r="AA23" s="197" t="s">
        <v>447</v>
      </c>
      <c r="AB23" s="197" t="s">
        <v>531</v>
      </c>
      <c r="AC23" s="197" t="s">
        <v>533</v>
      </c>
      <c r="AD23" s="199">
        <v>1.8588359999999999</v>
      </c>
      <c r="AE23" s="199">
        <v>194</v>
      </c>
      <c r="AF23" s="199">
        <v>0.2276</v>
      </c>
      <c r="AG23" s="199">
        <v>-99</v>
      </c>
      <c r="AH23" s="197" t="s">
        <v>224</v>
      </c>
      <c r="AI23" s="197" t="s">
        <v>449</v>
      </c>
      <c r="AJ23" s="197" t="s">
        <v>316</v>
      </c>
      <c r="AK23" s="197" t="s">
        <v>531</v>
      </c>
      <c r="AL23" s="197" t="s">
        <v>388</v>
      </c>
      <c r="AM23" s="199" t="b">
        <v>1</v>
      </c>
      <c r="AN23" s="199" t="b">
        <v>0</v>
      </c>
      <c r="AO23" s="197" t="s">
        <v>317</v>
      </c>
      <c r="AP23" s="197" t="s">
        <v>318</v>
      </c>
      <c r="AQ23" s="199">
        <v>100.20194000000001</v>
      </c>
      <c r="AR23" s="199" t="b">
        <v>0</v>
      </c>
      <c r="AS23" s="197" t="s">
        <v>534</v>
      </c>
    </row>
    <row r="24" spans="1:45" s="219" customFormat="1" x14ac:dyDescent="0.25">
      <c r="A24" s="245">
        <f t="shared" si="7"/>
        <v>24</v>
      </c>
      <c r="B24" s="246" t="str">
        <f t="shared" si="0"/>
        <v>Oil Field - Separator</v>
      </c>
      <c r="C24" s="246" t="str">
        <f ca="1">IF(B24="","",VLOOKUP(D24,'Species Data'!B:E,4,FALSE))</f>
        <v>twometpen</v>
      </c>
      <c r="D24" s="246">
        <f t="shared" ca="1" si="1"/>
        <v>199</v>
      </c>
      <c r="E24" s="246">
        <f t="shared" ca="1" si="2"/>
        <v>0.9909</v>
      </c>
      <c r="F24" s="246" t="str">
        <f t="shared" ca="1" si="3"/>
        <v>2-methylpentane (isohexane)</v>
      </c>
      <c r="G24" s="246">
        <f t="shared" ca="1" si="4"/>
        <v>86.175359999999998</v>
      </c>
      <c r="H24" s="204">
        <f ca="1">IF(G24="","",IF(VLOOKUP(Separator!F24,'Species Data'!D:F,3,FALSE)=0,"X",IF(G24&lt;44.1,2,1)))</f>
        <v>1</v>
      </c>
      <c r="I24" s="204">
        <f t="shared" ca="1" si="5"/>
        <v>1.0612014149352198</v>
      </c>
      <c r="J24" s="247">
        <f ca="1">IF(I24="","",IF(COUNTIF($D$12:D24,D24)=1,IF(H24=1,I24*H24,IF(H24="X","X",0)),0))</f>
        <v>1.0612014149352198</v>
      </c>
      <c r="K24" s="248">
        <f t="shared" ca="1" si="6"/>
        <v>2.590681164585888</v>
      </c>
      <c r="L24" s="197" t="s">
        <v>678</v>
      </c>
      <c r="M24" s="197" t="s">
        <v>448</v>
      </c>
      <c r="N24" s="197" t="s">
        <v>470</v>
      </c>
      <c r="O24" s="198">
        <v>41419</v>
      </c>
      <c r="P24" s="197" t="s">
        <v>531</v>
      </c>
      <c r="Q24" s="199">
        <v>100</v>
      </c>
      <c r="R24" s="197" t="s">
        <v>445</v>
      </c>
      <c r="S24" s="197" t="s">
        <v>532</v>
      </c>
      <c r="T24" s="197" t="s">
        <v>445</v>
      </c>
      <c r="U24" s="197" t="s">
        <v>446</v>
      </c>
      <c r="V24" s="199" t="b">
        <v>1</v>
      </c>
      <c r="W24" s="199">
        <v>1989</v>
      </c>
      <c r="X24" s="199">
        <v>5</v>
      </c>
      <c r="Y24" s="199">
        <v>2</v>
      </c>
      <c r="Z24" s="199">
        <v>4</v>
      </c>
      <c r="AA24" s="197" t="s">
        <v>447</v>
      </c>
      <c r="AB24" s="197" t="s">
        <v>531</v>
      </c>
      <c r="AC24" s="197" t="s">
        <v>533</v>
      </c>
      <c r="AD24" s="199">
        <v>1.8588359999999999</v>
      </c>
      <c r="AE24" s="199">
        <v>199</v>
      </c>
      <c r="AF24" s="199">
        <v>0.9909</v>
      </c>
      <c r="AG24" s="199">
        <v>-99</v>
      </c>
      <c r="AH24" s="197" t="s">
        <v>224</v>
      </c>
      <c r="AI24" s="197" t="s">
        <v>449</v>
      </c>
      <c r="AJ24" s="197" t="s">
        <v>319</v>
      </c>
      <c r="AK24" s="197" t="s">
        <v>531</v>
      </c>
      <c r="AL24" s="197" t="s">
        <v>389</v>
      </c>
      <c r="AM24" s="199" t="b">
        <v>1</v>
      </c>
      <c r="AN24" s="199" t="b">
        <v>0</v>
      </c>
      <c r="AO24" s="197" t="s">
        <v>320</v>
      </c>
      <c r="AP24" s="197" t="s">
        <v>321</v>
      </c>
      <c r="AQ24" s="199">
        <v>86.175359999999998</v>
      </c>
      <c r="AR24" s="199" t="b">
        <v>0</v>
      </c>
      <c r="AS24" s="197" t="s">
        <v>534</v>
      </c>
    </row>
    <row r="25" spans="1:45" s="219" customFormat="1" ht="15" customHeight="1" x14ac:dyDescent="0.25">
      <c r="A25" s="245">
        <f t="shared" si="7"/>
        <v>25</v>
      </c>
      <c r="B25" s="246" t="str">
        <f t="shared" si="0"/>
        <v>Oil Field - Separator</v>
      </c>
      <c r="C25" s="246" t="str">
        <f ca="1">IF(B25="","",VLOOKUP(D25,'Species Data'!B:E,4,FALSE))</f>
        <v>ethylhexane</v>
      </c>
      <c r="D25" s="246">
        <f t="shared" ca="1" si="1"/>
        <v>226</v>
      </c>
      <c r="E25" s="246">
        <f t="shared" ca="1" si="2"/>
        <v>3.3300000000000003E-2</v>
      </c>
      <c r="F25" s="246" t="str">
        <f t="shared" ca="1" si="3"/>
        <v>3-ethylhexane</v>
      </c>
      <c r="G25" s="246">
        <f t="shared" ca="1" si="4"/>
        <v>114.22852</v>
      </c>
      <c r="H25" s="204" t="str">
        <f ca="1">IF(G25="","",IF(VLOOKUP(Separator!F25,'Species Data'!D:F,3,FALSE)=0,"X",IF(G25&lt;44.1,2,1)))</f>
        <v>X</v>
      </c>
      <c r="I25" s="204">
        <f t="shared" ca="1" si="5"/>
        <v>2.5700034266712354E-2</v>
      </c>
      <c r="J25" s="247" t="str">
        <f ca="1">IF(I25="","",IF(COUNTIF($D$12:D25,D25)=1,IF(H25=1,I25*H25,IF(H25="X","X",0)),0))</f>
        <v>X</v>
      </c>
      <c r="K25" s="248">
        <f t="shared" ca="1" si="6"/>
        <v>0</v>
      </c>
      <c r="L25" s="197" t="s">
        <v>678</v>
      </c>
      <c r="M25" s="197" t="s">
        <v>448</v>
      </c>
      <c r="N25" s="197" t="s">
        <v>470</v>
      </c>
      <c r="O25" s="198">
        <v>41419</v>
      </c>
      <c r="P25" s="197" t="s">
        <v>531</v>
      </c>
      <c r="Q25" s="199">
        <v>100</v>
      </c>
      <c r="R25" s="197" t="s">
        <v>445</v>
      </c>
      <c r="S25" s="197" t="s">
        <v>532</v>
      </c>
      <c r="T25" s="197" t="s">
        <v>445</v>
      </c>
      <c r="U25" s="197" t="s">
        <v>446</v>
      </c>
      <c r="V25" s="199" t="b">
        <v>1</v>
      </c>
      <c r="W25" s="199">
        <v>1989</v>
      </c>
      <c r="X25" s="199">
        <v>5</v>
      </c>
      <c r="Y25" s="199">
        <v>2</v>
      </c>
      <c r="Z25" s="199">
        <v>4</v>
      </c>
      <c r="AA25" s="197" t="s">
        <v>447</v>
      </c>
      <c r="AB25" s="197" t="s">
        <v>531</v>
      </c>
      <c r="AC25" s="197" t="s">
        <v>533</v>
      </c>
      <c r="AD25" s="199">
        <v>1.8588359999999999</v>
      </c>
      <c r="AE25" s="199">
        <v>226</v>
      </c>
      <c r="AF25" s="199">
        <v>3.3300000000000003E-2</v>
      </c>
      <c r="AG25" s="199">
        <v>-99</v>
      </c>
      <c r="AH25" s="197" t="s">
        <v>224</v>
      </c>
      <c r="AI25" s="197" t="s">
        <v>449</v>
      </c>
      <c r="AJ25" s="197" t="s">
        <v>439</v>
      </c>
      <c r="AK25" s="197" t="s">
        <v>531</v>
      </c>
      <c r="AL25" s="197" t="s">
        <v>461</v>
      </c>
      <c r="AM25" s="199" t="b">
        <v>0</v>
      </c>
      <c r="AN25" s="199" t="b">
        <v>0</v>
      </c>
      <c r="AO25" s="197" t="s">
        <v>440</v>
      </c>
      <c r="AP25" s="197" t="s">
        <v>531</v>
      </c>
      <c r="AQ25" s="199">
        <v>114.22852</v>
      </c>
      <c r="AR25" s="199" t="b">
        <v>0</v>
      </c>
      <c r="AS25" s="197" t="s">
        <v>534</v>
      </c>
    </row>
    <row r="26" spans="1:45" s="219" customFormat="1" x14ac:dyDescent="0.25">
      <c r="A26" s="245">
        <f t="shared" si="7"/>
        <v>26</v>
      </c>
      <c r="B26" s="246" t="str">
        <f t="shared" si="0"/>
        <v>Oil Field - Separator</v>
      </c>
      <c r="C26" s="246" t="str">
        <f ca="1">IF(B26="","",VLOOKUP(D26,'Species Data'!B:E,4,FALSE))</f>
        <v>threemethex</v>
      </c>
      <c r="D26" s="246">
        <f t="shared" ca="1" si="1"/>
        <v>245</v>
      </c>
      <c r="E26" s="246">
        <f t="shared" ca="1" si="2"/>
        <v>0.24110000000000001</v>
      </c>
      <c r="F26" s="246" t="str">
        <f t="shared" ca="1" si="3"/>
        <v>3-methylhexane</v>
      </c>
      <c r="G26" s="246">
        <f t="shared" ca="1" si="4"/>
        <v>100.20194000000001</v>
      </c>
      <c r="H26" s="204">
        <f ca="1">IF(G26="","",IF(VLOOKUP(Separator!F26,'Species Data'!D:F,3,FALSE)=0,"X",IF(G26&lt;44.1,2,1)))</f>
        <v>1</v>
      </c>
      <c r="I26" s="204">
        <f t="shared" ca="1" si="5"/>
        <v>0.33276711035614709</v>
      </c>
      <c r="J26" s="247">
        <f ca="1">IF(I26="","",IF(COUNTIF($D$12:D26,D26)=1,IF(H26=1,I26*H26,IF(H26="X","X",0)),0))</f>
        <v>0.33276711035614709</v>
      </c>
      <c r="K26" s="248">
        <f t="shared" ca="1" si="6"/>
        <v>0.81237498636954752</v>
      </c>
      <c r="L26" s="197" t="s">
        <v>678</v>
      </c>
      <c r="M26" s="197" t="s">
        <v>448</v>
      </c>
      <c r="N26" s="197" t="s">
        <v>470</v>
      </c>
      <c r="O26" s="198">
        <v>41419</v>
      </c>
      <c r="P26" s="197" t="s">
        <v>531</v>
      </c>
      <c r="Q26" s="199">
        <v>100</v>
      </c>
      <c r="R26" s="197" t="s">
        <v>445</v>
      </c>
      <c r="S26" s="197" t="s">
        <v>532</v>
      </c>
      <c r="T26" s="197" t="s">
        <v>445</v>
      </c>
      <c r="U26" s="197" t="s">
        <v>446</v>
      </c>
      <c r="V26" s="199" t="b">
        <v>1</v>
      </c>
      <c r="W26" s="199">
        <v>1989</v>
      </c>
      <c r="X26" s="199">
        <v>5</v>
      </c>
      <c r="Y26" s="199">
        <v>2</v>
      </c>
      <c r="Z26" s="199">
        <v>4</v>
      </c>
      <c r="AA26" s="197" t="s">
        <v>447</v>
      </c>
      <c r="AB26" s="197" t="s">
        <v>531</v>
      </c>
      <c r="AC26" s="197" t="s">
        <v>533</v>
      </c>
      <c r="AD26" s="199">
        <v>1.8588359999999999</v>
      </c>
      <c r="AE26" s="199">
        <v>245</v>
      </c>
      <c r="AF26" s="199">
        <v>0.24110000000000001</v>
      </c>
      <c r="AG26" s="199">
        <v>-99</v>
      </c>
      <c r="AH26" s="197" t="s">
        <v>224</v>
      </c>
      <c r="AI26" s="197" t="s">
        <v>449</v>
      </c>
      <c r="AJ26" s="197" t="s">
        <v>325</v>
      </c>
      <c r="AK26" s="197" t="s">
        <v>531</v>
      </c>
      <c r="AL26" s="197" t="s">
        <v>390</v>
      </c>
      <c r="AM26" s="199" t="b">
        <v>1</v>
      </c>
      <c r="AN26" s="199" t="b">
        <v>0</v>
      </c>
      <c r="AO26" s="197" t="s">
        <v>326</v>
      </c>
      <c r="AP26" s="197" t="s">
        <v>327</v>
      </c>
      <c r="AQ26" s="199">
        <v>100.20194000000001</v>
      </c>
      <c r="AR26" s="199" t="b">
        <v>0</v>
      </c>
      <c r="AS26" s="197" t="s">
        <v>534</v>
      </c>
    </row>
    <row r="27" spans="1:45" s="219" customFormat="1" x14ac:dyDescent="0.25">
      <c r="A27" s="245">
        <f t="shared" si="7"/>
        <v>27</v>
      </c>
      <c r="B27" s="246" t="str">
        <f t="shared" si="0"/>
        <v>Oil Field - Separator</v>
      </c>
      <c r="C27" s="246" t="str">
        <f ca="1">IF(B27="","",VLOOKUP(D27,'Species Data'!B:E,4,FALSE))</f>
        <v>threemetpen</v>
      </c>
      <c r="D27" s="246">
        <f t="shared" ca="1" si="1"/>
        <v>248</v>
      </c>
      <c r="E27" s="246">
        <f t="shared" ca="1" si="2"/>
        <v>0.68240000000000001</v>
      </c>
      <c r="F27" s="246" t="str">
        <f t="shared" ca="1" si="3"/>
        <v>3-methylpentane</v>
      </c>
      <c r="G27" s="246">
        <f t="shared" ca="1" si="4"/>
        <v>86.175359999999998</v>
      </c>
      <c r="H27" s="204">
        <f ca="1">IF(G27="","",IF(VLOOKUP(Separator!F27,'Species Data'!D:F,3,FALSE)=0,"X",IF(G27&lt;44.1,2,1)))</f>
        <v>1</v>
      </c>
      <c r="I27" s="204">
        <f t="shared" ca="1" si="5"/>
        <v>0.74503432671243552</v>
      </c>
      <c r="J27" s="247">
        <f ca="1">IF(I27="","",IF(COUNTIF($D$12:D27,D27)=1,IF(H27=1,I27*H27,IF(H27="X","X",0)),0))</f>
        <v>0.74503432671243552</v>
      </c>
      <c r="K27" s="248">
        <f t="shared" ca="1" si="6"/>
        <v>1.8188313453216227</v>
      </c>
      <c r="L27" s="197" t="s">
        <v>678</v>
      </c>
      <c r="M27" s="197" t="s">
        <v>448</v>
      </c>
      <c r="N27" s="197" t="s">
        <v>470</v>
      </c>
      <c r="O27" s="198">
        <v>41419</v>
      </c>
      <c r="P27" s="197" t="s">
        <v>531</v>
      </c>
      <c r="Q27" s="199">
        <v>100</v>
      </c>
      <c r="R27" s="197" t="s">
        <v>445</v>
      </c>
      <c r="S27" s="197" t="s">
        <v>532</v>
      </c>
      <c r="T27" s="197" t="s">
        <v>445</v>
      </c>
      <c r="U27" s="197" t="s">
        <v>446</v>
      </c>
      <c r="V27" s="199" t="b">
        <v>1</v>
      </c>
      <c r="W27" s="199">
        <v>1989</v>
      </c>
      <c r="X27" s="199">
        <v>5</v>
      </c>
      <c r="Y27" s="199">
        <v>2</v>
      </c>
      <c r="Z27" s="199">
        <v>4</v>
      </c>
      <c r="AA27" s="197" t="s">
        <v>447</v>
      </c>
      <c r="AB27" s="197" t="s">
        <v>531</v>
      </c>
      <c r="AC27" s="197" t="s">
        <v>533</v>
      </c>
      <c r="AD27" s="199">
        <v>1.8588359999999999</v>
      </c>
      <c r="AE27" s="199">
        <v>248</v>
      </c>
      <c r="AF27" s="199">
        <v>0.68240000000000001</v>
      </c>
      <c r="AG27" s="199">
        <v>-99</v>
      </c>
      <c r="AH27" s="197" t="s">
        <v>224</v>
      </c>
      <c r="AI27" s="197" t="s">
        <v>449</v>
      </c>
      <c r="AJ27" s="197" t="s">
        <v>328</v>
      </c>
      <c r="AK27" s="197" t="s">
        <v>531</v>
      </c>
      <c r="AL27" s="197" t="s">
        <v>391</v>
      </c>
      <c r="AM27" s="199" t="b">
        <v>1</v>
      </c>
      <c r="AN27" s="199" t="b">
        <v>0</v>
      </c>
      <c r="AO27" s="197" t="s">
        <v>329</v>
      </c>
      <c r="AP27" s="197" t="s">
        <v>330</v>
      </c>
      <c r="AQ27" s="199">
        <v>86.175359999999998</v>
      </c>
      <c r="AR27" s="199" t="b">
        <v>0</v>
      </c>
      <c r="AS27" s="197" t="s">
        <v>534</v>
      </c>
    </row>
    <row r="28" spans="1:45" s="219" customFormat="1" x14ac:dyDescent="0.25">
      <c r="A28" s="245">
        <f t="shared" si="7"/>
        <v>28</v>
      </c>
      <c r="B28" s="246" t="str">
        <f t="shared" si="0"/>
        <v>Oil Field - Separator</v>
      </c>
      <c r="C28" s="246" t="str">
        <f ca="1">IF(B28="","",VLOOKUP(D28,'Species Data'!B:E,4,FALSE))</f>
        <v>benzene</v>
      </c>
      <c r="D28" s="246">
        <f t="shared" ca="1" si="1"/>
        <v>302</v>
      </c>
      <c r="E28" s="246">
        <f t="shared" ca="1" si="2"/>
        <v>6.9400000000000003E-2</v>
      </c>
      <c r="F28" s="246" t="str">
        <f t="shared" ca="1" si="3"/>
        <v>Benzene</v>
      </c>
      <c r="G28" s="246">
        <f t="shared" ca="1" si="4"/>
        <v>78.111840000000001</v>
      </c>
      <c r="H28" s="204">
        <f ca="1">IF(G28="","",IF(VLOOKUP(Separator!F28,'Species Data'!D:F,3,FALSE)=0,"X",IF(G28&lt;44.1,2,1)))</f>
        <v>1</v>
      </c>
      <c r="I28" s="204">
        <f t="shared" ca="1" si="5"/>
        <v>0.14523352697803596</v>
      </c>
      <c r="J28" s="247">
        <f ca="1">IF(I28="","",IF(COUNTIF($D$12:D28,D28)=1,IF(H28=1,I28*H28,IF(H28="X","X",0)),0))</f>
        <v>0.14523352697803596</v>
      </c>
      <c r="K28" s="248">
        <f t="shared" ca="1" si="6"/>
        <v>0.35455452425244105</v>
      </c>
      <c r="L28" s="197" t="s">
        <v>678</v>
      </c>
      <c r="M28" s="197" t="s">
        <v>448</v>
      </c>
      <c r="N28" s="197" t="s">
        <v>470</v>
      </c>
      <c r="O28" s="198">
        <v>41419</v>
      </c>
      <c r="P28" s="197" t="s">
        <v>531</v>
      </c>
      <c r="Q28" s="199">
        <v>100</v>
      </c>
      <c r="R28" s="197" t="s">
        <v>445</v>
      </c>
      <c r="S28" s="197" t="s">
        <v>532</v>
      </c>
      <c r="T28" s="197" t="s">
        <v>445</v>
      </c>
      <c r="U28" s="197" t="s">
        <v>446</v>
      </c>
      <c r="V28" s="199" t="b">
        <v>1</v>
      </c>
      <c r="W28" s="199">
        <v>1989</v>
      </c>
      <c r="X28" s="199">
        <v>5</v>
      </c>
      <c r="Y28" s="199">
        <v>2</v>
      </c>
      <c r="Z28" s="199">
        <v>4</v>
      </c>
      <c r="AA28" s="197" t="s">
        <v>447</v>
      </c>
      <c r="AB28" s="197" t="s">
        <v>531</v>
      </c>
      <c r="AC28" s="197" t="s">
        <v>533</v>
      </c>
      <c r="AD28" s="199">
        <v>1.8588359999999999</v>
      </c>
      <c r="AE28" s="199">
        <v>302</v>
      </c>
      <c r="AF28" s="199">
        <v>6.9400000000000003E-2</v>
      </c>
      <c r="AG28" s="199">
        <v>-99</v>
      </c>
      <c r="AH28" s="197" t="s">
        <v>224</v>
      </c>
      <c r="AI28" s="197" t="s">
        <v>449</v>
      </c>
      <c r="AJ28" s="197" t="s">
        <v>262</v>
      </c>
      <c r="AK28" s="197" t="s">
        <v>531</v>
      </c>
      <c r="AL28" s="197" t="s">
        <v>373</v>
      </c>
      <c r="AM28" s="199" t="b">
        <v>1</v>
      </c>
      <c r="AN28" s="199" t="b">
        <v>1</v>
      </c>
      <c r="AO28" s="197" t="s">
        <v>263</v>
      </c>
      <c r="AP28" s="197" t="s">
        <v>264</v>
      </c>
      <c r="AQ28" s="199">
        <v>78.111840000000001</v>
      </c>
      <c r="AR28" s="199" t="b">
        <v>0</v>
      </c>
      <c r="AS28" s="197" t="s">
        <v>534</v>
      </c>
    </row>
    <row r="29" spans="1:45" s="219" customFormat="1" ht="15" customHeight="1" x14ac:dyDescent="0.25">
      <c r="A29" s="245">
        <f t="shared" si="7"/>
        <v>29</v>
      </c>
      <c r="B29" s="246" t="str">
        <f t="shared" si="0"/>
        <v>Oil Field - Separator</v>
      </c>
      <c r="C29" s="246" t="str">
        <f ca="1">IF(B29="","",VLOOKUP(D29,'Species Data'!B:E,4,FALSE))</f>
        <v>cyclohexane</v>
      </c>
      <c r="D29" s="246">
        <f t="shared" ca="1" si="1"/>
        <v>385</v>
      </c>
      <c r="E29" s="246">
        <f t="shared" ca="1" si="2"/>
        <v>2.93E-2</v>
      </c>
      <c r="F29" s="246" t="str">
        <f t="shared" ca="1" si="3"/>
        <v>Cyclohexane</v>
      </c>
      <c r="G29" s="246">
        <f t="shared" ca="1" si="4"/>
        <v>84.159480000000002</v>
      </c>
      <c r="H29" s="204">
        <f ca="1">IF(G29="","",IF(VLOOKUP(Separator!F29,'Species Data'!D:F,3,FALSE)=0,"X",IF(G29&lt;44.1,2,1)))</f>
        <v>1</v>
      </c>
      <c r="I29" s="204">
        <f t="shared" ca="1" si="5"/>
        <v>2.3133364177818902E-2</v>
      </c>
      <c r="J29" s="247">
        <f ca="1">IF(I29="","",IF(COUNTIF($D$12:D29,D29)=1,IF(H29=1,I29*H29,IF(H29="X","X",0)),0))</f>
        <v>2.3133364177818902E-2</v>
      </c>
      <c r="K29" s="248">
        <f t="shared" ca="1" si="6"/>
        <v>5.6474831267200841E-2</v>
      </c>
      <c r="L29" s="197" t="s">
        <v>678</v>
      </c>
      <c r="M29" s="197" t="s">
        <v>448</v>
      </c>
      <c r="N29" s="197" t="s">
        <v>470</v>
      </c>
      <c r="O29" s="198">
        <v>41419</v>
      </c>
      <c r="P29" s="197" t="s">
        <v>531</v>
      </c>
      <c r="Q29" s="199">
        <v>100</v>
      </c>
      <c r="R29" s="197" t="s">
        <v>445</v>
      </c>
      <c r="S29" s="197" t="s">
        <v>532</v>
      </c>
      <c r="T29" s="197" t="s">
        <v>445</v>
      </c>
      <c r="U29" s="197" t="s">
        <v>446</v>
      </c>
      <c r="V29" s="199" t="b">
        <v>1</v>
      </c>
      <c r="W29" s="199">
        <v>1989</v>
      </c>
      <c r="X29" s="199">
        <v>5</v>
      </c>
      <c r="Y29" s="199">
        <v>2</v>
      </c>
      <c r="Z29" s="199">
        <v>4</v>
      </c>
      <c r="AA29" s="197" t="s">
        <v>447</v>
      </c>
      <c r="AB29" s="197" t="s">
        <v>531</v>
      </c>
      <c r="AC29" s="197" t="s">
        <v>533</v>
      </c>
      <c r="AD29" s="199">
        <v>1.8588359999999999</v>
      </c>
      <c r="AE29" s="199">
        <v>385</v>
      </c>
      <c r="AF29" s="199">
        <v>2.93E-2</v>
      </c>
      <c r="AG29" s="199">
        <v>-99</v>
      </c>
      <c r="AH29" s="197" t="s">
        <v>224</v>
      </c>
      <c r="AI29" s="197" t="s">
        <v>449</v>
      </c>
      <c r="AJ29" s="197" t="s">
        <v>331</v>
      </c>
      <c r="AK29" s="197" t="s">
        <v>531</v>
      </c>
      <c r="AL29" s="197" t="s">
        <v>392</v>
      </c>
      <c r="AM29" s="199" t="b">
        <v>1</v>
      </c>
      <c r="AN29" s="199" t="b">
        <v>0</v>
      </c>
      <c r="AO29" s="197" t="s">
        <v>332</v>
      </c>
      <c r="AP29" s="197" t="s">
        <v>333</v>
      </c>
      <c r="AQ29" s="199">
        <v>84.159480000000002</v>
      </c>
      <c r="AR29" s="199" t="b">
        <v>0</v>
      </c>
      <c r="AS29" s="197" t="s">
        <v>534</v>
      </c>
    </row>
    <row r="30" spans="1:45" s="219" customFormat="1" ht="15" customHeight="1" x14ac:dyDescent="0.25">
      <c r="A30" s="245">
        <f t="shared" si="7"/>
        <v>30</v>
      </c>
      <c r="B30" s="246" t="str">
        <f t="shared" si="0"/>
        <v>Oil Field - Separator</v>
      </c>
      <c r="C30" s="246" t="str">
        <f ca="1">IF(B30="","",VLOOKUP(D30,'Species Data'!B:E,4,FALSE))</f>
        <v>cyclopentane</v>
      </c>
      <c r="D30" s="246">
        <f t="shared" ca="1" si="1"/>
        <v>390</v>
      </c>
      <c r="E30" s="246">
        <f t="shared" ca="1" si="2"/>
        <v>0.46560000000000001</v>
      </c>
      <c r="F30" s="246" t="str">
        <f t="shared" ca="1" si="3"/>
        <v>Cyclopentane</v>
      </c>
      <c r="G30" s="246">
        <f t="shared" ca="1" si="4"/>
        <v>70.132900000000006</v>
      </c>
      <c r="H30" s="204">
        <f ca="1">IF(G30="","",IF(VLOOKUP(Separator!F30,'Species Data'!D:F,3,FALSE)=0,"X",IF(G30&lt;44.1,2,1)))</f>
        <v>1</v>
      </c>
      <c r="I30" s="204">
        <f t="shared" ca="1" si="5"/>
        <v>0.38286717715623619</v>
      </c>
      <c r="J30" s="247">
        <f ca="1">IF(I30="","",IF(COUNTIF($D$12:D30,D30)=1,IF(H30=1,I30*H30,IF(H30="X","X",0)),0))</f>
        <v>0.38286717715623619</v>
      </c>
      <c r="K30" s="248">
        <f t="shared" ca="1" si="6"/>
        <v>0.93468287022344232</v>
      </c>
      <c r="L30" s="197" t="s">
        <v>678</v>
      </c>
      <c r="M30" s="197" t="s">
        <v>448</v>
      </c>
      <c r="N30" s="197" t="s">
        <v>470</v>
      </c>
      <c r="O30" s="198">
        <v>41419</v>
      </c>
      <c r="P30" s="197" t="s">
        <v>531</v>
      </c>
      <c r="Q30" s="199">
        <v>100</v>
      </c>
      <c r="R30" s="197" t="s">
        <v>445</v>
      </c>
      <c r="S30" s="197" t="s">
        <v>532</v>
      </c>
      <c r="T30" s="197" t="s">
        <v>445</v>
      </c>
      <c r="U30" s="197" t="s">
        <v>446</v>
      </c>
      <c r="V30" s="199" t="b">
        <v>1</v>
      </c>
      <c r="W30" s="199">
        <v>1989</v>
      </c>
      <c r="X30" s="199">
        <v>5</v>
      </c>
      <c r="Y30" s="199">
        <v>2</v>
      </c>
      <c r="Z30" s="199">
        <v>4</v>
      </c>
      <c r="AA30" s="197" t="s">
        <v>447</v>
      </c>
      <c r="AB30" s="197" t="s">
        <v>531</v>
      </c>
      <c r="AC30" s="197" t="s">
        <v>533</v>
      </c>
      <c r="AD30" s="199">
        <v>1.8588359999999999</v>
      </c>
      <c r="AE30" s="199">
        <v>390</v>
      </c>
      <c r="AF30" s="199">
        <v>0.46560000000000001</v>
      </c>
      <c r="AG30" s="199">
        <v>-99</v>
      </c>
      <c r="AH30" s="197" t="s">
        <v>224</v>
      </c>
      <c r="AI30" s="197" t="s">
        <v>449</v>
      </c>
      <c r="AJ30" s="197" t="s">
        <v>334</v>
      </c>
      <c r="AK30" s="197" t="s">
        <v>531</v>
      </c>
      <c r="AL30" s="197" t="s">
        <v>393</v>
      </c>
      <c r="AM30" s="199" t="b">
        <v>1</v>
      </c>
      <c r="AN30" s="199" t="b">
        <v>0</v>
      </c>
      <c r="AO30" s="197" t="s">
        <v>335</v>
      </c>
      <c r="AP30" s="197" t="s">
        <v>336</v>
      </c>
      <c r="AQ30" s="199">
        <v>70.132900000000006</v>
      </c>
      <c r="AR30" s="199" t="b">
        <v>0</v>
      </c>
      <c r="AS30" s="197" t="s">
        <v>534</v>
      </c>
    </row>
    <row r="31" spans="1:45" s="219" customFormat="1" ht="15" customHeight="1" x14ac:dyDescent="0.25">
      <c r="A31" s="245">
        <f t="shared" si="7"/>
        <v>31</v>
      </c>
      <c r="B31" s="246" t="str">
        <f t="shared" si="0"/>
        <v>Oil Field - Separator</v>
      </c>
      <c r="C31" s="246" t="str">
        <f ca="1">IF(B31="","",VLOOKUP(D31,'Species Data'!B:E,4,FALSE))</f>
        <v>ethane</v>
      </c>
      <c r="D31" s="246">
        <f t="shared" ca="1" si="1"/>
        <v>438</v>
      </c>
      <c r="E31" s="246">
        <f t="shared" ca="1" si="2"/>
        <v>12.771699999999999</v>
      </c>
      <c r="F31" s="246" t="str">
        <f t="shared" ca="1" si="3"/>
        <v>Ethane</v>
      </c>
      <c r="G31" s="246">
        <f t="shared" ca="1" si="4"/>
        <v>30.069040000000005</v>
      </c>
      <c r="H31" s="204">
        <f ca="1">IF(G31="","",IF(VLOOKUP(Separator!F31,'Species Data'!D:F,3,FALSE)=0,"X",IF(G31&lt;44.1,2,1)))</f>
        <v>2</v>
      </c>
      <c r="I31" s="204">
        <f t="shared" ca="1" si="5"/>
        <v>11.912315883087842</v>
      </c>
      <c r="J31" s="247">
        <f ca="1">IF(I31="","",IF(COUNTIF($D$12:D31,D31)=1,IF(H31=1,I31*H31,IF(H31="X","X",0)),0))</f>
        <v>0</v>
      </c>
      <c r="K31" s="248">
        <f t="shared" ca="1" si="6"/>
        <v>0</v>
      </c>
      <c r="L31" s="197" t="s">
        <v>678</v>
      </c>
      <c r="M31" s="197" t="s">
        <v>448</v>
      </c>
      <c r="N31" s="197" t="s">
        <v>470</v>
      </c>
      <c r="O31" s="198">
        <v>41419</v>
      </c>
      <c r="P31" s="197" t="s">
        <v>531</v>
      </c>
      <c r="Q31" s="199">
        <v>100</v>
      </c>
      <c r="R31" s="197" t="s">
        <v>445</v>
      </c>
      <c r="S31" s="197" t="s">
        <v>532</v>
      </c>
      <c r="T31" s="197" t="s">
        <v>445</v>
      </c>
      <c r="U31" s="197" t="s">
        <v>446</v>
      </c>
      <c r="V31" s="199" t="b">
        <v>1</v>
      </c>
      <c r="W31" s="199">
        <v>1989</v>
      </c>
      <c r="X31" s="199">
        <v>5</v>
      </c>
      <c r="Y31" s="199">
        <v>2</v>
      </c>
      <c r="Z31" s="199">
        <v>4</v>
      </c>
      <c r="AA31" s="197" t="s">
        <v>447</v>
      </c>
      <c r="AB31" s="197" t="s">
        <v>531</v>
      </c>
      <c r="AC31" s="197" t="s">
        <v>533</v>
      </c>
      <c r="AD31" s="199">
        <v>1.8588359999999999</v>
      </c>
      <c r="AE31" s="199">
        <v>438</v>
      </c>
      <c r="AF31" s="199">
        <v>12.771699999999999</v>
      </c>
      <c r="AG31" s="199">
        <v>-99</v>
      </c>
      <c r="AH31" s="197" t="s">
        <v>224</v>
      </c>
      <c r="AI31" s="197" t="s">
        <v>449</v>
      </c>
      <c r="AJ31" s="197" t="s">
        <v>265</v>
      </c>
      <c r="AK31" s="197" t="s">
        <v>531</v>
      </c>
      <c r="AL31" s="197" t="s">
        <v>374</v>
      </c>
      <c r="AM31" s="199" t="b">
        <v>1</v>
      </c>
      <c r="AN31" s="199" t="b">
        <v>0</v>
      </c>
      <c r="AO31" s="197" t="s">
        <v>266</v>
      </c>
      <c r="AP31" s="197" t="s">
        <v>267</v>
      </c>
      <c r="AQ31" s="199">
        <v>30.069040000000005</v>
      </c>
      <c r="AR31" s="199" t="b">
        <v>1</v>
      </c>
      <c r="AS31" s="197" t="s">
        <v>534</v>
      </c>
    </row>
    <row r="32" spans="1:45" s="219" customFormat="1" ht="15" customHeight="1" x14ac:dyDescent="0.25">
      <c r="A32" s="245">
        <f t="shared" si="7"/>
        <v>32</v>
      </c>
      <c r="B32" s="246" t="str">
        <f t="shared" si="0"/>
        <v>Oil Field - Separator</v>
      </c>
      <c r="C32" s="246" t="str">
        <f ca="1">IF(B32="","",VLOOKUP(D32,'Species Data'!B:E,4,FALSE))</f>
        <v>ethyl_benz</v>
      </c>
      <c r="D32" s="246">
        <f t="shared" ca="1" si="1"/>
        <v>449</v>
      </c>
      <c r="E32" s="246">
        <f t="shared" ca="1" si="2"/>
        <v>9.3799999999999994E-2</v>
      </c>
      <c r="F32" s="246" t="str">
        <f t="shared" ca="1" si="3"/>
        <v>Ethylbenzene</v>
      </c>
      <c r="G32" s="246">
        <f t="shared" ca="1" si="4"/>
        <v>106.16500000000001</v>
      </c>
      <c r="H32" s="204">
        <f ca="1">IF(G32="","",IF(VLOOKUP(Separator!F32,'Species Data'!D:F,3,FALSE)=0,"X",IF(G32&lt;44.1,2,1)))</f>
        <v>1</v>
      </c>
      <c r="I32" s="204">
        <f t="shared" ca="1" si="5"/>
        <v>6.1000081333441772E-2</v>
      </c>
      <c r="J32" s="247">
        <f ca="1">IF(I32="","",IF(COUNTIF($D$12:D32,D32)=1,IF(H32=1,I32*H32,IF(H32="X","X",0)),0))</f>
        <v>6.1000081333441772E-2</v>
      </c>
      <c r="K32" s="248">
        <f t="shared" ca="1" si="6"/>
        <v>0.1489177827362789</v>
      </c>
      <c r="L32" s="197" t="s">
        <v>678</v>
      </c>
      <c r="M32" s="197" t="s">
        <v>448</v>
      </c>
      <c r="N32" s="197" t="s">
        <v>470</v>
      </c>
      <c r="O32" s="198">
        <v>41419</v>
      </c>
      <c r="P32" s="197" t="s">
        <v>531</v>
      </c>
      <c r="Q32" s="199">
        <v>100</v>
      </c>
      <c r="R32" s="197" t="s">
        <v>445</v>
      </c>
      <c r="S32" s="197" t="s">
        <v>532</v>
      </c>
      <c r="T32" s="197" t="s">
        <v>445</v>
      </c>
      <c r="U32" s="197" t="s">
        <v>446</v>
      </c>
      <c r="V32" s="199" t="b">
        <v>1</v>
      </c>
      <c r="W32" s="199">
        <v>1989</v>
      </c>
      <c r="X32" s="199">
        <v>5</v>
      </c>
      <c r="Y32" s="199">
        <v>2</v>
      </c>
      <c r="Z32" s="199">
        <v>4</v>
      </c>
      <c r="AA32" s="197" t="s">
        <v>447</v>
      </c>
      <c r="AB32" s="197" t="s">
        <v>531</v>
      </c>
      <c r="AC32" s="197" t="s">
        <v>533</v>
      </c>
      <c r="AD32" s="199">
        <v>1.8588359999999999</v>
      </c>
      <c r="AE32" s="199">
        <v>449</v>
      </c>
      <c r="AF32" s="199">
        <v>9.3799999999999994E-2</v>
      </c>
      <c r="AG32" s="199">
        <v>-99</v>
      </c>
      <c r="AH32" s="197" t="s">
        <v>224</v>
      </c>
      <c r="AI32" s="197" t="s">
        <v>449</v>
      </c>
      <c r="AJ32" s="197" t="s">
        <v>337</v>
      </c>
      <c r="AK32" s="197" t="s">
        <v>531</v>
      </c>
      <c r="AL32" s="197" t="s">
        <v>394</v>
      </c>
      <c r="AM32" s="199" t="b">
        <v>1</v>
      </c>
      <c r="AN32" s="199" t="b">
        <v>1</v>
      </c>
      <c r="AO32" s="197" t="s">
        <v>338</v>
      </c>
      <c r="AP32" s="197" t="s">
        <v>339</v>
      </c>
      <c r="AQ32" s="199">
        <v>106.16500000000001</v>
      </c>
      <c r="AR32" s="199" t="b">
        <v>0</v>
      </c>
      <c r="AS32" s="197" t="s">
        <v>534</v>
      </c>
    </row>
    <row r="33" spans="1:45" s="219" customFormat="1" x14ac:dyDescent="0.25">
      <c r="A33" s="245">
        <f t="shared" si="7"/>
        <v>33</v>
      </c>
      <c r="B33" s="246" t="str">
        <f t="shared" si="0"/>
        <v>Oil Field - Separator</v>
      </c>
      <c r="C33" s="246" t="str">
        <f ca="1">IF(B33="","",VLOOKUP(D33,'Species Data'!B:E,4,FALSE))</f>
        <v>isobut</v>
      </c>
      <c r="D33" s="246">
        <f t="shared" ca="1" si="1"/>
        <v>491</v>
      </c>
      <c r="E33" s="246">
        <f t="shared" ca="1" si="2"/>
        <v>3.4171</v>
      </c>
      <c r="F33" s="246" t="str">
        <f t="shared" ca="1" si="3"/>
        <v>Isobutane</v>
      </c>
      <c r="G33" s="246">
        <f t="shared" ca="1" si="4"/>
        <v>58.122199999999992</v>
      </c>
      <c r="H33" s="204">
        <f ca="1">IF(G33="","",IF(VLOOKUP(Separator!F33,'Species Data'!D:F,3,FALSE)=0,"X",IF(G33&lt;44.1,2,1)))</f>
        <v>1</v>
      </c>
      <c r="I33" s="204">
        <f t="shared" ca="1" si="5"/>
        <v>4.1096388128517507</v>
      </c>
      <c r="J33" s="247">
        <f ca="1">IF(I33="","",IF(COUNTIF($D$12:D33,D33)=1,IF(H33=1,I33*H33,IF(H33="X","X",0)),0))</f>
        <v>4.1096388128517507</v>
      </c>
      <c r="K33" s="248">
        <f t="shared" ca="1" si="6"/>
        <v>10.032745637034475</v>
      </c>
      <c r="L33" s="197" t="s">
        <v>678</v>
      </c>
      <c r="M33" s="197" t="s">
        <v>448</v>
      </c>
      <c r="N33" s="197" t="s">
        <v>470</v>
      </c>
      <c r="O33" s="198">
        <v>41419</v>
      </c>
      <c r="P33" s="197" t="s">
        <v>531</v>
      </c>
      <c r="Q33" s="199">
        <v>100</v>
      </c>
      <c r="R33" s="197" t="s">
        <v>445</v>
      </c>
      <c r="S33" s="197" t="s">
        <v>532</v>
      </c>
      <c r="T33" s="197" t="s">
        <v>445</v>
      </c>
      <c r="U33" s="197" t="s">
        <v>446</v>
      </c>
      <c r="V33" s="199" t="b">
        <v>1</v>
      </c>
      <c r="W33" s="199">
        <v>1989</v>
      </c>
      <c r="X33" s="199">
        <v>5</v>
      </c>
      <c r="Y33" s="199">
        <v>2</v>
      </c>
      <c r="Z33" s="199">
        <v>4</v>
      </c>
      <c r="AA33" s="197" t="s">
        <v>447</v>
      </c>
      <c r="AB33" s="197" t="s">
        <v>531</v>
      </c>
      <c r="AC33" s="197" t="s">
        <v>533</v>
      </c>
      <c r="AD33" s="199">
        <v>1.8588359999999999</v>
      </c>
      <c r="AE33" s="199">
        <v>491</v>
      </c>
      <c r="AF33" s="199">
        <v>3.4171</v>
      </c>
      <c r="AG33" s="199">
        <v>-99</v>
      </c>
      <c r="AH33" s="197" t="s">
        <v>224</v>
      </c>
      <c r="AI33" s="197" t="s">
        <v>449</v>
      </c>
      <c r="AJ33" s="197" t="s">
        <v>268</v>
      </c>
      <c r="AK33" s="197" t="s">
        <v>531</v>
      </c>
      <c r="AL33" s="197" t="s">
        <v>375</v>
      </c>
      <c r="AM33" s="199" t="b">
        <v>1</v>
      </c>
      <c r="AN33" s="199" t="b">
        <v>0</v>
      </c>
      <c r="AO33" s="197" t="s">
        <v>269</v>
      </c>
      <c r="AP33" s="197" t="s">
        <v>270</v>
      </c>
      <c r="AQ33" s="199">
        <v>58.122199999999992</v>
      </c>
      <c r="AR33" s="199" t="b">
        <v>0</v>
      </c>
      <c r="AS33" s="197" t="s">
        <v>534</v>
      </c>
    </row>
    <row r="34" spans="1:45" s="219" customFormat="1" ht="15" customHeight="1" x14ac:dyDescent="0.25">
      <c r="A34" s="245">
        <f t="shared" si="7"/>
        <v>34</v>
      </c>
      <c r="B34" s="246" t="str">
        <f t="shared" si="0"/>
        <v>Oil Field - Separator</v>
      </c>
      <c r="C34" s="246" t="str">
        <f ca="1">IF(B34="","",VLOOKUP(D34,'Species Data'!B:E,4,FALSE))</f>
        <v>isopentane</v>
      </c>
      <c r="D34" s="246">
        <f t="shared" ca="1" si="1"/>
        <v>508</v>
      </c>
      <c r="E34" s="246">
        <f t="shared" ca="1" si="2"/>
        <v>3.3797000000000001</v>
      </c>
      <c r="F34" s="246" t="str">
        <f t="shared" ca="1" si="3"/>
        <v>Isopentane (2-Methylbutane)</v>
      </c>
      <c r="G34" s="246">
        <f t="shared" ca="1" si="4"/>
        <v>72.148780000000002</v>
      </c>
      <c r="H34" s="204">
        <f ca="1">IF(G34="","",IF(VLOOKUP(Separator!F34,'Species Data'!D:F,3,FALSE)=0,"X",IF(G34&lt;44.1,2,1)))</f>
        <v>1</v>
      </c>
      <c r="I34" s="204">
        <f t="shared" ca="1" si="5"/>
        <v>3.8368384491179319</v>
      </c>
      <c r="J34" s="247">
        <f ca="1">IF(I34="","",IF(COUNTIF($D$12:D34,D34)=1,IF(H34=1,I34*H34,IF(H34="X","X",0)),0))</f>
        <v>3.8368384491179319</v>
      </c>
      <c r="K34" s="248">
        <f t="shared" ca="1" si="6"/>
        <v>9.3667657824368202</v>
      </c>
      <c r="L34" s="197" t="s">
        <v>678</v>
      </c>
      <c r="M34" s="197" t="s">
        <v>448</v>
      </c>
      <c r="N34" s="197" t="s">
        <v>470</v>
      </c>
      <c r="O34" s="198">
        <v>41419</v>
      </c>
      <c r="P34" s="197" t="s">
        <v>531</v>
      </c>
      <c r="Q34" s="199">
        <v>100</v>
      </c>
      <c r="R34" s="197" t="s">
        <v>445</v>
      </c>
      <c r="S34" s="197" t="s">
        <v>532</v>
      </c>
      <c r="T34" s="197" t="s">
        <v>445</v>
      </c>
      <c r="U34" s="197" t="s">
        <v>446</v>
      </c>
      <c r="V34" s="199" t="b">
        <v>1</v>
      </c>
      <c r="W34" s="199">
        <v>1989</v>
      </c>
      <c r="X34" s="199">
        <v>5</v>
      </c>
      <c r="Y34" s="199">
        <v>2</v>
      </c>
      <c r="Z34" s="199">
        <v>4</v>
      </c>
      <c r="AA34" s="197" t="s">
        <v>447</v>
      </c>
      <c r="AB34" s="197" t="s">
        <v>531</v>
      </c>
      <c r="AC34" s="197" t="s">
        <v>533</v>
      </c>
      <c r="AD34" s="199">
        <v>1.8588359999999999</v>
      </c>
      <c r="AE34" s="199">
        <v>508</v>
      </c>
      <c r="AF34" s="199">
        <v>3.3797000000000001</v>
      </c>
      <c r="AG34" s="199">
        <v>-99</v>
      </c>
      <c r="AH34" s="197" t="s">
        <v>224</v>
      </c>
      <c r="AI34" s="197" t="s">
        <v>449</v>
      </c>
      <c r="AJ34" s="197" t="s">
        <v>342</v>
      </c>
      <c r="AK34" s="197" t="s">
        <v>531</v>
      </c>
      <c r="AL34" s="197" t="s">
        <v>395</v>
      </c>
      <c r="AM34" s="199" t="b">
        <v>1</v>
      </c>
      <c r="AN34" s="199" t="b">
        <v>0</v>
      </c>
      <c r="AO34" s="197" t="s">
        <v>343</v>
      </c>
      <c r="AP34" s="197" t="s">
        <v>344</v>
      </c>
      <c r="AQ34" s="199">
        <v>72.148780000000002</v>
      </c>
      <c r="AR34" s="199" t="b">
        <v>0</v>
      </c>
      <c r="AS34" s="197" t="s">
        <v>534</v>
      </c>
    </row>
    <row r="35" spans="1:45" s="219" customFormat="1" x14ac:dyDescent="0.25">
      <c r="A35" s="245">
        <f t="shared" si="7"/>
        <v>35</v>
      </c>
      <c r="B35" s="246" t="str">
        <f t="shared" si="0"/>
        <v>Oil Field - Separator</v>
      </c>
      <c r="C35" s="246" t="str">
        <f ca="1">IF(B35="","",VLOOKUP(D35,'Species Data'!B:E,4,FALSE))</f>
        <v>isopben</v>
      </c>
      <c r="D35" s="246">
        <f t="shared" ca="1" si="1"/>
        <v>514</v>
      </c>
      <c r="E35" s="246">
        <f t="shared" ca="1" si="2"/>
        <v>3.3999999999999998E-3</v>
      </c>
      <c r="F35" s="246" t="str">
        <f t="shared" ca="1" si="3"/>
        <v>Isopropylbenzene (cumene)</v>
      </c>
      <c r="G35" s="246">
        <f t="shared" ca="1" si="4"/>
        <v>120.19158</v>
      </c>
      <c r="H35" s="204">
        <f ca="1">IF(G35="","",IF(VLOOKUP(Separator!F35,'Species Data'!D:F,3,FALSE)=0,"X",IF(G35&lt;44.1,2,1)))</f>
        <v>1</v>
      </c>
      <c r="I35" s="204">
        <f t="shared" ca="1" si="5"/>
        <v>2.6333368444491252E-3</v>
      </c>
      <c r="J35" s="247">
        <f ca="1">IF(I35="","",IF(COUNTIF($D$12:D35,D35)=1,IF(H35=1,I35*H35,IF(H35="X","X",0)),0))</f>
        <v>2.6333368444491252E-3</v>
      </c>
      <c r="K35" s="248">
        <f t="shared" ca="1" si="6"/>
        <v>6.4286911673038412E-3</v>
      </c>
      <c r="L35" s="197" t="s">
        <v>678</v>
      </c>
      <c r="M35" s="197" t="s">
        <v>448</v>
      </c>
      <c r="N35" s="197" t="s">
        <v>470</v>
      </c>
      <c r="O35" s="198">
        <v>41419</v>
      </c>
      <c r="P35" s="197" t="s">
        <v>531</v>
      </c>
      <c r="Q35" s="199">
        <v>100</v>
      </c>
      <c r="R35" s="197" t="s">
        <v>445</v>
      </c>
      <c r="S35" s="197" t="s">
        <v>532</v>
      </c>
      <c r="T35" s="197" t="s">
        <v>445</v>
      </c>
      <c r="U35" s="197" t="s">
        <v>446</v>
      </c>
      <c r="V35" s="199" t="b">
        <v>1</v>
      </c>
      <c r="W35" s="199">
        <v>1989</v>
      </c>
      <c r="X35" s="199">
        <v>5</v>
      </c>
      <c r="Y35" s="199">
        <v>2</v>
      </c>
      <c r="Z35" s="199">
        <v>4</v>
      </c>
      <c r="AA35" s="197" t="s">
        <v>447</v>
      </c>
      <c r="AB35" s="197" t="s">
        <v>531</v>
      </c>
      <c r="AC35" s="197" t="s">
        <v>533</v>
      </c>
      <c r="AD35" s="199">
        <v>1.8588359999999999</v>
      </c>
      <c r="AE35" s="199">
        <v>514</v>
      </c>
      <c r="AF35" s="199">
        <v>3.3999999999999998E-3</v>
      </c>
      <c r="AG35" s="199">
        <v>-99</v>
      </c>
      <c r="AH35" s="197" t="s">
        <v>224</v>
      </c>
      <c r="AI35" s="197" t="s">
        <v>449</v>
      </c>
      <c r="AJ35" s="197" t="s">
        <v>362</v>
      </c>
      <c r="AK35" s="197" t="s">
        <v>531</v>
      </c>
      <c r="AL35" s="197" t="s">
        <v>399</v>
      </c>
      <c r="AM35" s="199" t="b">
        <v>1</v>
      </c>
      <c r="AN35" s="199" t="b">
        <v>1</v>
      </c>
      <c r="AO35" s="197" t="s">
        <v>363</v>
      </c>
      <c r="AP35" s="197" t="s">
        <v>364</v>
      </c>
      <c r="AQ35" s="199">
        <v>120.19158</v>
      </c>
      <c r="AR35" s="199" t="b">
        <v>0</v>
      </c>
      <c r="AS35" s="197" t="s">
        <v>534</v>
      </c>
    </row>
    <row r="36" spans="1:45" s="219" customFormat="1" x14ac:dyDescent="0.25">
      <c r="A36" s="245">
        <f t="shared" si="7"/>
        <v>36</v>
      </c>
      <c r="B36" s="246" t="str">
        <f t="shared" si="0"/>
        <v>Oil Field - Separator</v>
      </c>
      <c r="C36" s="246" t="str">
        <f ca="1">IF(B36="","",VLOOKUP(D36,'Species Data'!B:E,4,FALSE))</f>
        <v>M_xylene</v>
      </c>
      <c r="D36" s="246">
        <f t="shared" ca="1" si="1"/>
        <v>524</v>
      </c>
      <c r="E36" s="246">
        <f t="shared" ca="1" si="2"/>
        <v>2.1000000000000001E-2</v>
      </c>
      <c r="F36" s="246" t="str">
        <f t="shared" ca="1" si="3"/>
        <v>M-xylene</v>
      </c>
      <c r="G36" s="246">
        <f t="shared" ca="1" si="4"/>
        <v>106.16500000000001</v>
      </c>
      <c r="H36" s="204">
        <f ca="1">IF(G36="","",IF(VLOOKUP(Separator!F36,'Species Data'!D:F,3,FALSE)=0,"X",IF(G36&lt;44.1,2,1)))</f>
        <v>1</v>
      </c>
      <c r="I36" s="204">
        <f t="shared" ca="1" si="5"/>
        <v>3.2466709955613272E-2</v>
      </c>
      <c r="J36" s="247">
        <f ca="1">IF(I36="","",IF(COUNTIF($D$12:D36,D36)=1,IF(H36=1,I36*H36,IF(H36="X","X",0)),0))</f>
        <v>3.2466709955613272E-2</v>
      </c>
      <c r="K36" s="248">
        <f t="shared" ca="1" si="6"/>
        <v>7.9260065784227132E-2</v>
      </c>
      <c r="L36" s="197" t="s">
        <v>678</v>
      </c>
      <c r="M36" s="197" t="s">
        <v>448</v>
      </c>
      <c r="N36" s="197" t="s">
        <v>470</v>
      </c>
      <c r="O36" s="198">
        <v>41419</v>
      </c>
      <c r="P36" s="197" t="s">
        <v>531</v>
      </c>
      <c r="Q36" s="199">
        <v>100</v>
      </c>
      <c r="R36" s="197" t="s">
        <v>445</v>
      </c>
      <c r="S36" s="197" t="s">
        <v>532</v>
      </c>
      <c r="T36" s="197" t="s">
        <v>445</v>
      </c>
      <c r="U36" s="197" t="s">
        <v>446</v>
      </c>
      <c r="V36" s="199" t="b">
        <v>1</v>
      </c>
      <c r="W36" s="199">
        <v>1989</v>
      </c>
      <c r="X36" s="199">
        <v>5</v>
      </c>
      <c r="Y36" s="199">
        <v>2</v>
      </c>
      <c r="Z36" s="199">
        <v>4</v>
      </c>
      <c r="AA36" s="197" t="s">
        <v>447</v>
      </c>
      <c r="AB36" s="197" t="s">
        <v>531</v>
      </c>
      <c r="AC36" s="197" t="s">
        <v>533</v>
      </c>
      <c r="AD36" s="199">
        <v>1.8588359999999999</v>
      </c>
      <c r="AE36" s="199">
        <v>524</v>
      </c>
      <c r="AF36" s="199">
        <v>2.1000000000000001E-2</v>
      </c>
      <c r="AG36" s="199">
        <v>-99</v>
      </c>
      <c r="AH36" s="197" t="s">
        <v>224</v>
      </c>
      <c r="AI36" s="197" t="s">
        <v>449</v>
      </c>
      <c r="AJ36" s="197" t="s">
        <v>436</v>
      </c>
      <c r="AK36" s="197" t="s">
        <v>531</v>
      </c>
      <c r="AL36" s="197" t="s">
        <v>460</v>
      </c>
      <c r="AM36" s="199" t="b">
        <v>0</v>
      </c>
      <c r="AN36" s="199" t="b">
        <v>1</v>
      </c>
      <c r="AO36" s="197" t="s">
        <v>437</v>
      </c>
      <c r="AP36" s="197" t="s">
        <v>438</v>
      </c>
      <c r="AQ36" s="199">
        <v>106.16500000000001</v>
      </c>
      <c r="AR36" s="199" t="b">
        <v>0</v>
      </c>
      <c r="AS36" s="197" t="s">
        <v>534</v>
      </c>
    </row>
    <row r="37" spans="1:45" s="219" customFormat="1" x14ac:dyDescent="0.25">
      <c r="A37" s="245">
        <f t="shared" si="7"/>
        <v>37</v>
      </c>
      <c r="B37" s="246" t="str">
        <f t="shared" si="0"/>
        <v>Oil Field - Separator</v>
      </c>
      <c r="C37" s="246" t="str">
        <f ca="1">IF(B37="","",VLOOKUP(D37,'Species Data'!B:E,4,FALSE))</f>
        <v>methane</v>
      </c>
      <c r="D37" s="246">
        <f t="shared" ca="1" si="1"/>
        <v>529</v>
      </c>
      <c r="E37" s="246">
        <f t="shared" ca="1" si="2"/>
        <v>33.431199999999997</v>
      </c>
      <c r="F37" s="246" t="str">
        <f t="shared" ca="1" si="3"/>
        <v>Methane</v>
      </c>
      <c r="G37" s="246">
        <f t="shared" ca="1" si="4"/>
        <v>16.042459999999998</v>
      </c>
      <c r="H37" s="204">
        <f ca="1">IF(G37="","",IF(VLOOKUP(Separator!F37,'Species Data'!D:F,3,FALSE)=0,"X",IF(G37&lt;44.1,2,1)))</f>
        <v>2</v>
      </c>
      <c r="I37" s="204">
        <f t="shared" ca="1" si="5"/>
        <v>30.72677430236573</v>
      </c>
      <c r="J37" s="247">
        <f ca="1">IF(I37="","",IF(COUNTIF($D$12:D37,D37)=1,IF(H37=1,I37*H37,IF(H37="X","X",0)),0))</f>
        <v>0</v>
      </c>
      <c r="K37" s="248">
        <f t="shared" ca="1" si="6"/>
        <v>0</v>
      </c>
      <c r="L37" s="197" t="s">
        <v>678</v>
      </c>
      <c r="M37" s="197" t="s">
        <v>448</v>
      </c>
      <c r="N37" s="197" t="s">
        <v>470</v>
      </c>
      <c r="O37" s="198">
        <v>41419</v>
      </c>
      <c r="P37" s="197" t="s">
        <v>531</v>
      </c>
      <c r="Q37" s="199">
        <v>100</v>
      </c>
      <c r="R37" s="197" t="s">
        <v>445</v>
      </c>
      <c r="S37" s="197" t="s">
        <v>532</v>
      </c>
      <c r="T37" s="197" t="s">
        <v>445</v>
      </c>
      <c r="U37" s="197" t="s">
        <v>446</v>
      </c>
      <c r="V37" s="199" t="b">
        <v>1</v>
      </c>
      <c r="W37" s="199">
        <v>1989</v>
      </c>
      <c r="X37" s="199">
        <v>5</v>
      </c>
      <c r="Y37" s="199">
        <v>2</v>
      </c>
      <c r="Z37" s="199">
        <v>4</v>
      </c>
      <c r="AA37" s="197" t="s">
        <v>447</v>
      </c>
      <c r="AB37" s="197" t="s">
        <v>531</v>
      </c>
      <c r="AC37" s="197" t="s">
        <v>533</v>
      </c>
      <c r="AD37" s="199">
        <v>1.8588359999999999</v>
      </c>
      <c r="AE37" s="199">
        <v>529</v>
      </c>
      <c r="AF37" s="199">
        <v>33.431199999999997</v>
      </c>
      <c r="AG37" s="199">
        <v>-99</v>
      </c>
      <c r="AH37" s="197" t="s">
        <v>224</v>
      </c>
      <c r="AI37" s="197" t="s">
        <v>449</v>
      </c>
      <c r="AJ37" s="197" t="s">
        <v>271</v>
      </c>
      <c r="AK37" s="197" t="s">
        <v>531</v>
      </c>
      <c r="AL37" s="197" t="s">
        <v>376</v>
      </c>
      <c r="AM37" s="199" t="b">
        <v>0</v>
      </c>
      <c r="AN37" s="199" t="b">
        <v>0</v>
      </c>
      <c r="AO37" s="197" t="s">
        <v>272</v>
      </c>
      <c r="AP37" s="197" t="s">
        <v>531</v>
      </c>
      <c r="AQ37" s="199">
        <v>16.042459999999998</v>
      </c>
      <c r="AR37" s="199" t="b">
        <v>1</v>
      </c>
      <c r="AS37" s="197" t="s">
        <v>534</v>
      </c>
    </row>
    <row r="38" spans="1:45" s="219" customFormat="1" ht="15" customHeight="1" x14ac:dyDescent="0.25">
      <c r="A38" s="245">
        <f t="shared" si="7"/>
        <v>38</v>
      </c>
      <c r="B38" s="246" t="str">
        <f t="shared" si="0"/>
        <v>Oil Field - Separator</v>
      </c>
      <c r="C38" s="246" t="str">
        <f ca="1">IF(B38="","",VLOOKUP(D38,'Species Data'!B:E,4,FALSE))</f>
        <v>methcychex</v>
      </c>
      <c r="D38" s="246">
        <f t="shared" ca="1" si="1"/>
        <v>550</v>
      </c>
      <c r="E38" s="246">
        <f t="shared" ca="1" si="2"/>
        <v>1.0033000000000001</v>
      </c>
      <c r="F38" s="246" t="str">
        <f t="shared" ca="1" si="3"/>
        <v>Methylcyclohexane</v>
      </c>
      <c r="G38" s="246">
        <f t="shared" ca="1" si="4"/>
        <v>98.186059999999998</v>
      </c>
      <c r="H38" s="204">
        <f ca="1">IF(G38="","",IF(VLOOKUP(Separator!F38,'Species Data'!D:F,3,FALSE)=0,"X",IF(G38&lt;44.1,2,1)))</f>
        <v>1</v>
      </c>
      <c r="I38" s="204">
        <f t="shared" ca="1" si="5"/>
        <v>0.97356796475728624</v>
      </c>
      <c r="J38" s="247">
        <f ca="1">IF(I38="","",IF(COUNTIF($D$12:D38,D38)=1,IF(H38=1,I38*H38,IF(H38="X","X",0)),0))</f>
        <v>0.97356796475728624</v>
      </c>
      <c r="K38" s="248">
        <f t="shared" ca="1" si="6"/>
        <v>2.3767440876385231</v>
      </c>
      <c r="L38" s="197" t="s">
        <v>678</v>
      </c>
      <c r="M38" s="197" t="s">
        <v>448</v>
      </c>
      <c r="N38" s="197" t="s">
        <v>470</v>
      </c>
      <c r="O38" s="198">
        <v>41419</v>
      </c>
      <c r="P38" s="197" t="s">
        <v>531</v>
      </c>
      <c r="Q38" s="199">
        <v>100</v>
      </c>
      <c r="R38" s="197" t="s">
        <v>445</v>
      </c>
      <c r="S38" s="197" t="s">
        <v>532</v>
      </c>
      <c r="T38" s="197" t="s">
        <v>445</v>
      </c>
      <c r="U38" s="197" t="s">
        <v>446</v>
      </c>
      <c r="V38" s="199" t="b">
        <v>1</v>
      </c>
      <c r="W38" s="199">
        <v>1989</v>
      </c>
      <c r="X38" s="199">
        <v>5</v>
      </c>
      <c r="Y38" s="199">
        <v>2</v>
      </c>
      <c r="Z38" s="199">
        <v>4</v>
      </c>
      <c r="AA38" s="197" t="s">
        <v>447</v>
      </c>
      <c r="AB38" s="197" t="s">
        <v>531</v>
      </c>
      <c r="AC38" s="197" t="s">
        <v>533</v>
      </c>
      <c r="AD38" s="199">
        <v>1.8588359999999999</v>
      </c>
      <c r="AE38" s="199">
        <v>550</v>
      </c>
      <c r="AF38" s="199">
        <v>1.0033000000000001</v>
      </c>
      <c r="AG38" s="199">
        <v>-99</v>
      </c>
      <c r="AH38" s="197" t="s">
        <v>224</v>
      </c>
      <c r="AI38" s="197" t="s">
        <v>449</v>
      </c>
      <c r="AJ38" s="197" t="s">
        <v>348</v>
      </c>
      <c r="AK38" s="197" t="s">
        <v>531</v>
      </c>
      <c r="AL38" s="197" t="s">
        <v>396</v>
      </c>
      <c r="AM38" s="199" t="b">
        <v>1</v>
      </c>
      <c r="AN38" s="199" t="b">
        <v>0</v>
      </c>
      <c r="AO38" s="197" t="s">
        <v>349</v>
      </c>
      <c r="AP38" s="197" t="s">
        <v>350</v>
      </c>
      <c r="AQ38" s="199">
        <v>98.186059999999998</v>
      </c>
      <c r="AR38" s="199" t="b">
        <v>0</v>
      </c>
      <c r="AS38" s="197" t="s">
        <v>534</v>
      </c>
    </row>
    <row r="39" spans="1:45" s="219" customFormat="1" x14ac:dyDescent="0.25">
      <c r="A39" s="245">
        <f t="shared" si="7"/>
        <v>39</v>
      </c>
      <c r="B39" s="246" t="str">
        <f t="shared" si="0"/>
        <v>Oil Field - Separator</v>
      </c>
      <c r="C39" s="246" t="str">
        <f ca="1">IF(B39="","",VLOOKUP(D39,'Species Data'!B:E,4,FALSE))</f>
        <v>methcycpen</v>
      </c>
      <c r="D39" s="246">
        <f t="shared" ca="1" si="1"/>
        <v>551</v>
      </c>
      <c r="E39" s="246">
        <f t="shared" ca="1" si="2"/>
        <v>1.7243999999999999</v>
      </c>
      <c r="F39" s="246" t="str">
        <f t="shared" ca="1" si="3"/>
        <v>Methylcyclopentane</v>
      </c>
      <c r="G39" s="246">
        <f t="shared" ca="1" si="4"/>
        <v>84.159480000000002</v>
      </c>
      <c r="H39" s="204">
        <f ca="1">IF(G39="","",IF(VLOOKUP(Separator!F39,'Species Data'!D:F,3,FALSE)=0,"X",IF(G39&lt;44.1,2,1)))</f>
        <v>1</v>
      </c>
      <c r="I39" s="204">
        <f t="shared" ca="1" si="5"/>
        <v>1.9099358799145063</v>
      </c>
      <c r="J39" s="247">
        <f ca="1">IF(I39="","",IF(COUNTIF($D$12:D39,D39)=1,IF(H39=1,I39*H39,IF(H39="X","X",0)),0))</f>
        <v>1.9099358799145063</v>
      </c>
      <c r="K39" s="248">
        <f t="shared" ca="1" si="6"/>
        <v>4.6626727405591843</v>
      </c>
      <c r="L39" s="197" t="s">
        <v>678</v>
      </c>
      <c r="M39" s="197" t="s">
        <v>448</v>
      </c>
      <c r="N39" s="197" t="s">
        <v>470</v>
      </c>
      <c r="O39" s="198">
        <v>41419</v>
      </c>
      <c r="P39" s="197" t="s">
        <v>531</v>
      </c>
      <c r="Q39" s="199">
        <v>100</v>
      </c>
      <c r="R39" s="197" t="s">
        <v>445</v>
      </c>
      <c r="S39" s="197" t="s">
        <v>532</v>
      </c>
      <c r="T39" s="197" t="s">
        <v>445</v>
      </c>
      <c r="U39" s="197" t="s">
        <v>446</v>
      </c>
      <c r="V39" s="199" t="b">
        <v>1</v>
      </c>
      <c r="W39" s="199">
        <v>1989</v>
      </c>
      <c r="X39" s="199">
        <v>5</v>
      </c>
      <c r="Y39" s="199">
        <v>2</v>
      </c>
      <c r="Z39" s="199">
        <v>4</v>
      </c>
      <c r="AA39" s="197" t="s">
        <v>447</v>
      </c>
      <c r="AB39" s="197" t="s">
        <v>531</v>
      </c>
      <c r="AC39" s="197" t="s">
        <v>533</v>
      </c>
      <c r="AD39" s="199">
        <v>1.8588359999999999</v>
      </c>
      <c r="AE39" s="199">
        <v>551</v>
      </c>
      <c r="AF39" s="199">
        <v>1.7243999999999999</v>
      </c>
      <c r="AG39" s="199">
        <v>-99</v>
      </c>
      <c r="AH39" s="197" t="s">
        <v>224</v>
      </c>
      <c r="AI39" s="197" t="s">
        <v>449</v>
      </c>
      <c r="AJ39" s="197" t="s">
        <v>351</v>
      </c>
      <c r="AK39" s="197" t="s">
        <v>531</v>
      </c>
      <c r="AL39" s="197" t="s">
        <v>397</v>
      </c>
      <c r="AM39" s="199" t="b">
        <v>1</v>
      </c>
      <c r="AN39" s="199" t="b">
        <v>0</v>
      </c>
      <c r="AO39" s="197" t="s">
        <v>352</v>
      </c>
      <c r="AP39" s="197" t="s">
        <v>353</v>
      </c>
      <c r="AQ39" s="199">
        <v>84.159480000000002</v>
      </c>
      <c r="AR39" s="199" t="b">
        <v>0</v>
      </c>
      <c r="AS39" s="197" t="s">
        <v>534</v>
      </c>
    </row>
    <row r="40" spans="1:45" s="219" customFormat="1" ht="15" customHeight="1" x14ac:dyDescent="0.25">
      <c r="A40" s="245">
        <f t="shared" si="7"/>
        <v>40</v>
      </c>
      <c r="B40" s="246" t="str">
        <f t="shared" si="0"/>
        <v>Oil Field - Separator</v>
      </c>
      <c r="C40" s="246" t="str">
        <f ca="1">IF(B40="","",VLOOKUP(D40,'Species Data'!B:E,4,FALSE))</f>
        <v>N_but</v>
      </c>
      <c r="D40" s="246">
        <f t="shared" ca="1" si="1"/>
        <v>592</v>
      </c>
      <c r="E40" s="246">
        <f t="shared" ca="1" si="2"/>
        <v>10.8072</v>
      </c>
      <c r="F40" s="246" t="str">
        <f t="shared" ca="1" si="3"/>
        <v>N-butane</v>
      </c>
      <c r="G40" s="246">
        <f t="shared" ca="1" si="4"/>
        <v>58.122199999999992</v>
      </c>
      <c r="H40" s="204">
        <f ca="1">IF(G40="","",IF(VLOOKUP(Separator!F40,'Species Data'!D:F,3,FALSE)=0,"X",IF(G40&lt;44.1,2,1)))</f>
        <v>1</v>
      </c>
      <c r="I40" s="204">
        <f t="shared" ca="1" si="5"/>
        <v>11.815882421176561</v>
      </c>
      <c r="J40" s="247">
        <f ca="1">IF(I40="","",IF(COUNTIF($D$12:D40,D40)=1,IF(H40=1,I40*H40,IF(H40="X","X",0)),0))</f>
        <v>11.815882421176561</v>
      </c>
      <c r="K40" s="248">
        <f t="shared" ca="1" si="6"/>
        <v>28.845781395205023</v>
      </c>
      <c r="L40" s="197" t="s">
        <v>678</v>
      </c>
      <c r="M40" s="197" t="s">
        <v>448</v>
      </c>
      <c r="N40" s="197" t="s">
        <v>470</v>
      </c>
      <c r="O40" s="198">
        <v>41419</v>
      </c>
      <c r="P40" s="197" t="s">
        <v>531</v>
      </c>
      <c r="Q40" s="199">
        <v>100</v>
      </c>
      <c r="R40" s="197" t="s">
        <v>445</v>
      </c>
      <c r="S40" s="197" t="s">
        <v>532</v>
      </c>
      <c r="T40" s="197" t="s">
        <v>445</v>
      </c>
      <c r="U40" s="197" t="s">
        <v>446</v>
      </c>
      <c r="V40" s="199" t="b">
        <v>1</v>
      </c>
      <c r="W40" s="199">
        <v>1989</v>
      </c>
      <c r="X40" s="199">
        <v>5</v>
      </c>
      <c r="Y40" s="199">
        <v>2</v>
      </c>
      <c r="Z40" s="199">
        <v>4</v>
      </c>
      <c r="AA40" s="197" t="s">
        <v>447</v>
      </c>
      <c r="AB40" s="197" t="s">
        <v>531</v>
      </c>
      <c r="AC40" s="197" t="s">
        <v>533</v>
      </c>
      <c r="AD40" s="199">
        <v>1.8588359999999999</v>
      </c>
      <c r="AE40" s="199">
        <v>592</v>
      </c>
      <c r="AF40" s="199">
        <v>10.8072</v>
      </c>
      <c r="AG40" s="199">
        <v>-99</v>
      </c>
      <c r="AH40" s="197" t="s">
        <v>224</v>
      </c>
      <c r="AI40" s="197" t="s">
        <v>449</v>
      </c>
      <c r="AJ40" s="197" t="s">
        <v>273</v>
      </c>
      <c r="AK40" s="197" t="s">
        <v>531</v>
      </c>
      <c r="AL40" s="197" t="s">
        <v>377</v>
      </c>
      <c r="AM40" s="199" t="b">
        <v>1</v>
      </c>
      <c r="AN40" s="199" t="b">
        <v>0</v>
      </c>
      <c r="AO40" s="197" t="s">
        <v>274</v>
      </c>
      <c r="AP40" s="197" t="s">
        <v>275</v>
      </c>
      <c r="AQ40" s="199">
        <v>58.122199999999992</v>
      </c>
      <c r="AR40" s="199" t="b">
        <v>0</v>
      </c>
      <c r="AS40" s="197" t="s">
        <v>534</v>
      </c>
    </row>
    <row r="41" spans="1:45" s="219" customFormat="1" x14ac:dyDescent="0.25">
      <c r="A41" s="245">
        <f t="shared" si="7"/>
        <v>41</v>
      </c>
      <c r="B41" s="246" t="str">
        <f t="shared" si="0"/>
        <v>Oil Field - Separator</v>
      </c>
      <c r="C41" s="246" t="str">
        <f ca="1">IF(B41="","",VLOOKUP(D41,'Species Data'!B:E,4,FALSE))</f>
        <v>N_dec</v>
      </c>
      <c r="D41" s="246">
        <f t="shared" ca="1" si="1"/>
        <v>598</v>
      </c>
      <c r="E41" s="246">
        <f t="shared" ca="1" si="2"/>
        <v>6.4000000000000003E-3</v>
      </c>
      <c r="F41" s="246" t="str">
        <f t="shared" ca="1" si="3"/>
        <v>N-decane</v>
      </c>
      <c r="G41" s="246">
        <f t="shared" ca="1" si="4"/>
        <v>142.28167999999999</v>
      </c>
      <c r="H41" s="204">
        <f ca="1">IF(G41="","",IF(VLOOKUP(Separator!F41,'Species Data'!D:F,3,FALSE)=0,"X",IF(G41&lt;44.1,2,1)))</f>
        <v>1</v>
      </c>
      <c r="I41" s="204">
        <f t="shared" ca="1" si="5"/>
        <v>3.5000046666728889E-3</v>
      </c>
      <c r="J41" s="247">
        <f ca="1">IF(I41="","",IF(COUNTIF($D$12:D41,D41)=1,IF(H41=1,I41*H41,IF(H41="X","X",0)),0))</f>
        <v>3.5000046666728889E-3</v>
      </c>
      <c r="K41" s="248">
        <f t="shared" ca="1" si="6"/>
        <v>8.5444629438848549E-3</v>
      </c>
      <c r="L41" s="197" t="s">
        <v>678</v>
      </c>
      <c r="M41" s="197" t="s">
        <v>448</v>
      </c>
      <c r="N41" s="197" t="s">
        <v>470</v>
      </c>
      <c r="O41" s="198">
        <v>41419</v>
      </c>
      <c r="P41" s="197" t="s">
        <v>531</v>
      </c>
      <c r="Q41" s="199">
        <v>100</v>
      </c>
      <c r="R41" s="197" t="s">
        <v>445</v>
      </c>
      <c r="S41" s="197" t="s">
        <v>532</v>
      </c>
      <c r="T41" s="197" t="s">
        <v>445</v>
      </c>
      <c r="U41" s="197" t="s">
        <v>446</v>
      </c>
      <c r="V41" s="199" t="b">
        <v>1</v>
      </c>
      <c r="W41" s="199">
        <v>1989</v>
      </c>
      <c r="X41" s="199">
        <v>5</v>
      </c>
      <c r="Y41" s="199">
        <v>2</v>
      </c>
      <c r="Z41" s="199">
        <v>4</v>
      </c>
      <c r="AA41" s="197" t="s">
        <v>447</v>
      </c>
      <c r="AB41" s="197" t="s">
        <v>531</v>
      </c>
      <c r="AC41" s="197" t="s">
        <v>533</v>
      </c>
      <c r="AD41" s="199">
        <v>1.8588359999999999</v>
      </c>
      <c r="AE41" s="199">
        <v>598</v>
      </c>
      <c r="AF41" s="199">
        <v>6.4000000000000003E-3</v>
      </c>
      <c r="AG41" s="199">
        <v>-99</v>
      </c>
      <c r="AH41" s="197" t="s">
        <v>224</v>
      </c>
      <c r="AI41" s="197" t="s">
        <v>449</v>
      </c>
      <c r="AJ41" s="197" t="s">
        <v>414</v>
      </c>
      <c r="AK41" s="197" t="s">
        <v>531</v>
      </c>
      <c r="AL41" s="197" t="s">
        <v>452</v>
      </c>
      <c r="AM41" s="199" t="b">
        <v>1</v>
      </c>
      <c r="AN41" s="199" t="b">
        <v>0</v>
      </c>
      <c r="AO41" s="197" t="s">
        <v>415</v>
      </c>
      <c r="AP41" s="197" t="s">
        <v>416</v>
      </c>
      <c r="AQ41" s="199">
        <v>142.28167999999999</v>
      </c>
      <c r="AR41" s="199" t="b">
        <v>0</v>
      </c>
      <c r="AS41" s="197" t="s">
        <v>534</v>
      </c>
    </row>
    <row r="42" spans="1:45" s="219" customFormat="1" x14ac:dyDescent="0.25">
      <c r="A42" s="245">
        <f t="shared" si="7"/>
        <v>42</v>
      </c>
      <c r="B42" s="246" t="str">
        <f t="shared" si="0"/>
        <v>Oil Field - Separator</v>
      </c>
      <c r="C42" s="246" t="str">
        <f ca="1">IF(B42="","",VLOOKUP(D42,'Species Data'!B:E,4,FALSE))</f>
        <v>N_hep</v>
      </c>
      <c r="D42" s="246">
        <f t="shared" ca="1" si="1"/>
        <v>600</v>
      </c>
      <c r="E42" s="246">
        <f t="shared" ca="1" si="2"/>
        <v>0.3039</v>
      </c>
      <c r="F42" s="246" t="str">
        <f t="shared" ca="1" si="3"/>
        <v>N-heptane</v>
      </c>
      <c r="G42" s="246">
        <f t="shared" ca="1" si="4"/>
        <v>100.20194000000001</v>
      </c>
      <c r="H42" s="204">
        <f ca="1">IF(G42="","",IF(VLOOKUP(Separator!F42,'Species Data'!D:F,3,FALSE)=0,"X",IF(G42&lt;44.1,2,1)))</f>
        <v>1</v>
      </c>
      <c r="I42" s="204">
        <f t="shared" ca="1" si="5"/>
        <v>0.43486724648966191</v>
      </c>
      <c r="J42" s="247">
        <f ca="1">IF(I42="","",IF(COUNTIF($D$12:D42,D42)=1,IF(H42=1,I42*H42,IF(H42="X","X",0)),0))</f>
        <v>0.43486724648966191</v>
      </c>
      <c r="K42" s="248">
        <f t="shared" ca="1" si="6"/>
        <v>1.0616291768183028</v>
      </c>
      <c r="L42" s="197" t="s">
        <v>678</v>
      </c>
      <c r="M42" s="197" t="s">
        <v>448</v>
      </c>
      <c r="N42" s="197" t="s">
        <v>470</v>
      </c>
      <c r="O42" s="198">
        <v>41419</v>
      </c>
      <c r="P42" s="197" t="s">
        <v>531</v>
      </c>
      <c r="Q42" s="199">
        <v>100</v>
      </c>
      <c r="R42" s="197" t="s">
        <v>445</v>
      </c>
      <c r="S42" s="197" t="s">
        <v>532</v>
      </c>
      <c r="T42" s="197" t="s">
        <v>445</v>
      </c>
      <c r="U42" s="197" t="s">
        <v>446</v>
      </c>
      <c r="V42" s="199" t="b">
        <v>1</v>
      </c>
      <c r="W42" s="199">
        <v>1989</v>
      </c>
      <c r="X42" s="199">
        <v>5</v>
      </c>
      <c r="Y42" s="199">
        <v>2</v>
      </c>
      <c r="Z42" s="199">
        <v>4</v>
      </c>
      <c r="AA42" s="197" t="s">
        <v>447</v>
      </c>
      <c r="AB42" s="197" t="s">
        <v>531</v>
      </c>
      <c r="AC42" s="197" t="s">
        <v>533</v>
      </c>
      <c r="AD42" s="199">
        <v>1.8588359999999999</v>
      </c>
      <c r="AE42" s="199">
        <v>600</v>
      </c>
      <c r="AF42" s="199">
        <v>0.3039</v>
      </c>
      <c r="AG42" s="199">
        <v>-99</v>
      </c>
      <c r="AH42" s="197" t="s">
        <v>224</v>
      </c>
      <c r="AI42" s="197" t="s">
        <v>449</v>
      </c>
      <c r="AJ42" s="197" t="s">
        <v>276</v>
      </c>
      <c r="AK42" s="197" t="s">
        <v>531</v>
      </c>
      <c r="AL42" s="197" t="s">
        <v>378</v>
      </c>
      <c r="AM42" s="199" t="b">
        <v>1</v>
      </c>
      <c r="AN42" s="199" t="b">
        <v>0</v>
      </c>
      <c r="AO42" s="197" t="s">
        <v>277</v>
      </c>
      <c r="AP42" s="197" t="s">
        <v>278</v>
      </c>
      <c r="AQ42" s="199">
        <v>100.20194000000001</v>
      </c>
      <c r="AR42" s="199" t="b">
        <v>0</v>
      </c>
      <c r="AS42" s="197" t="s">
        <v>534</v>
      </c>
    </row>
    <row r="43" spans="1:45" s="219" customFormat="1" x14ac:dyDescent="0.25">
      <c r="A43" s="245">
        <f t="shared" si="7"/>
        <v>43</v>
      </c>
      <c r="B43" s="246" t="str">
        <f t="shared" si="0"/>
        <v>Oil Field - Separator</v>
      </c>
      <c r="C43" s="246" t="str">
        <f ca="1">IF(B43="","",VLOOKUP(D43,'Species Data'!B:E,4,FALSE))</f>
        <v>N_hex</v>
      </c>
      <c r="D43" s="246">
        <f t="shared" ca="1" si="1"/>
        <v>601</v>
      </c>
      <c r="E43" s="246">
        <f t="shared" ca="1" si="2"/>
        <v>1.0329999999999999</v>
      </c>
      <c r="F43" s="246" t="str">
        <f t="shared" ca="1" si="3"/>
        <v>N-hexane</v>
      </c>
      <c r="G43" s="246">
        <f t="shared" ca="1" si="4"/>
        <v>86.175359999999998</v>
      </c>
      <c r="H43" s="204">
        <f ca="1">IF(G43="","",IF(VLOOKUP(Separator!F43,'Species Data'!D:F,3,FALSE)=0,"X",IF(G43&lt;44.1,2,1)))</f>
        <v>1</v>
      </c>
      <c r="I43" s="204">
        <f t="shared" ca="1" si="5"/>
        <v>1.452235269647026</v>
      </c>
      <c r="J43" s="247">
        <f ca="1">IF(I43="","",IF(COUNTIF($D$12:D43,D43)=1,IF(H43=1,I43*H43,IF(H43="X","X",0)),0))</f>
        <v>1.452235269647026</v>
      </c>
      <c r="K43" s="248">
        <f t="shared" ca="1" si="6"/>
        <v>3.545301115011728</v>
      </c>
      <c r="L43" s="197" t="s">
        <v>678</v>
      </c>
      <c r="M43" s="197" t="s">
        <v>448</v>
      </c>
      <c r="N43" s="197" t="s">
        <v>470</v>
      </c>
      <c r="O43" s="198">
        <v>41419</v>
      </c>
      <c r="P43" s="197" t="s">
        <v>531</v>
      </c>
      <c r="Q43" s="199">
        <v>100</v>
      </c>
      <c r="R43" s="197" t="s">
        <v>445</v>
      </c>
      <c r="S43" s="197" t="s">
        <v>532</v>
      </c>
      <c r="T43" s="197" t="s">
        <v>445</v>
      </c>
      <c r="U43" s="197" t="s">
        <v>446</v>
      </c>
      <c r="V43" s="199" t="b">
        <v>1</v>
      </c>
      <c r="W43" s="199">
        <v>1989</v>
      </c>
      <c r="X43" s="199">
        <v>5</v>
      </c>
      <c r="Y43" s="199">
        <v>2</v>
      </c>
      <c r="Z43" s="199">
        <v>4</v>
      </c>
      <c r="AA43" s="197" t="s">
        <v>447</v>
      </c>
      <c r="AB43" s="197" t="s">
        <v>531</v>
      </c>
      <c r="AC43" s="197" t="s">
        <v>533</v>
      </c>
      <c r="AD43" s="199">
        <v>1.8588359999999999</v>
      </c>
      <c r="AE43" s="199">
        <v>601</v>
      </c>
      <c r="AF43" s="199">
        <v>1.0329999999999999</v>
      </c>
      <c r="AG43" s="199">
        <v>-99</v>
      </c>
      <c r="AH43" s="197" t="s">
        <v>224</v>
      </c>
      <c r="AI43" s="197" t="s">
        <v>449</v>
      </c>
      <c r="AJ43" s="197" t="s">
        <v>279</v>
      </c>
      <c r="AK43" s="197" t="s">
        <v>531</v>
      </c>
      <c r="AL43" s="197" t="s">
        <v>379</v>
      </c>
      <c r="AM43" s="199" t="b">
        <v>1</v>
      </c>
      <c r="AN43" s="199" t="b">
        <v>1</v>
      </c>
      <c r="AO43" s="197" t="s">
        <v>280</v>
      </c>
      <c r="AP43" s="197" t="s">
        <v>281</v>
      </c>
      <c r="AQ43" s="199">
        <v>86.175359999999998</v>
      </c>
      <c r="AR43" s="199" t="b">
        <v>0</v>
      </c>
      <c r="AS43" s="197" t="s">
        <v>534</v>
      </c>
    </row>
    <row r="44" spans="1:45" s="219" customFormat="1" x14ac:dyDescent="0.25">
      <c r="A44" s="245">
        <f t="shared" si="7"/>
        <v>44</v>
      </c>
      <c r="B44" s="246" t="str">
        <f t="shared" si="0"/>
        <v>Oil Field - Separator</v>
      </c>
      <c r="C44" s="246" t="str">
        <f ca="1">IF(B44="","",VLOOKUP(D44,'Species Data'!B:E,4,FALSE))</f>
        <v>N_nonane</v>
      </c>
      <c r="D44" s="246">
        <f t="shared" ca="1" si="1"/>
        <v>603</v>
      </c>
      <c r="E44" s="246">
        <f t="shared" ca="1" si="2"/>
        <v>1.8599999999999998E-2</v>
      </c>
      <c r="F44" s="246" t="str">
        <f t="shared" ca="1" si="3"/>
        <v>N-nonane</v>
      </c>
      <c r="G44" s="246">
        <f t="shared" ca="1" si="4"/>
        <v>128.2551</v>
      </c>
      <c r="H44" s="204">
        <f ca="1">IF(G44="","",IF(VLOOKUP(Separator!F44,'Species Data'!D:F,3,FALSE)=0,"X",IF(G44&lt;44.1,2,1)))</f>
        <v>1</v>
      </c>
      <c r="I44" s="204">
        <f t="shared" ca="1" si="5"/>
        <v>2.256669675559567E-2</v>
      </c>
      <c r="J44" s="247">
        <f ca="1">IF(I44="","",IF(COUNTIF($D$12:D44,D44)=1,IF(H44=1,I44*H44,IF(H44="X","X",0)),0))</f>
        <v>2.256669675559567E-2</v>
      </c>
      <c r="K44" s="248">
        <f t="shared" ca="1" si="6"/>
        <v>5.5091442028667101E-2</v>
      </c>
      <c r="L44" s="197" t="s">
        <v>678</v>
      </c>
      <c r="M44" s="197" t="s">
        <v>448</v>
      </c>
      <c r="N44" s="197" t="s">
        <v>470</v>
      </c>
      <c r="O44" s="198">
        <v>41419</v>
      </c>
      <c r="P44" s="197" t="s">
        <v>531</v>
      </c>
      <c r="Q44" s="199">
        <v>100</v>
      </c>
      <c r="R44" s="197" t="s">
        <v>445</v>
      </c>
      <c r="S44" s="197" t="s">
        <v>532</v>
      </c>
      <c r="T44" s="197" t="s">
        <v>445</v>
      </c>
      <c r="U44" s="197" t="s">
        <v>446</v>
      </c>
      <c r="V44" s="199" t="b">
        <v>1</v>
      </c>
      <c r="W44" s="199">
        <v>1989</v>
      </c>
      <c r="X44" s="199">
        <v>5</v>
      </c>
      <c r="Y44" s="199">
        <v>2</v>
      </c>
      <c r="Z44" s="199">
        <v>4</v>
      </c>
      <c r="AA44" s="197" t="s">
        <v>447</v>
      </c>
      <c r="AB44" s="197" t="s">
        <v>531</v>
      </c>
      <c r="AC44" s="197" t="s">
        <v>533</v>
      </c>
      <c r="AD44" s="199">
        <v>1.8588359999999999</v>
      </c>
      <c r="AE44" s="199">
        <v>603</v>
      </c>
      <c r="AF44" s="199">
        <v>1.8599999999999998E-2</v>
      </c>
      <c r="AG44" s="199">
        <v>-99</v>
      </c>
      <c r="AH44" s="197" t="s">
        <v>224</v>
      </c>
      <c r="AI44" s="197" t="s">
        <v>449</v>
      </c>
      <c r="AJ44" s="197" t="s">
        <v>417</v>
      </c>
      <c r="AK44" s="197" t="s">
        <v>531</v>
      </c>
      <c r="AL44" s="197" t="s">
        <v>453</v>
      </c>
      <c r="AM44" s="199" t="b">
        <v>1</v>
      </c>
      <c r="AN44" s="199" t="b">
        <v>0</v>
      </c>
      <c r="AO44" s="197" t="s">
        <v>418</v>
      </c>
      <c r="AP44" s="197" t="s">
        <v>419</v>
      </c>
      <c r="AQ44" s="199">
        <v>128.2551</v>
      </c>
      <c r="AR44" s="199" t="b">
        <v>0</v>
      </c>
      <c r="AS44" s="197" t="s">
        <v>534</v>
      </c>
    </row>
    <row r="45" spans="1:45" s="219" customFormat="1" x14ac:dyDescent="0.25">
      <c r="A45" s="245">
        <f t="shared" si="7"/>
        <v>45</v>
      </c>
      <c r="B45" s="246" t="str">
        <f t="shared" si="0"/>
        <v>Oil Field - Separator</v>
      </c>
      <c r="C45" s="246" t="str">
        <f ca="1">IF(B45="","",VLOOKUP(D45,'Species Data'!B:E,4,FALSE))</f>
        <v>N_octane</v>
      </c>
      <c r="D45" s="246">
        <f t="shared" ca="1" si="1"/>
        <v>604</v>
      </c>
      <c r="E45" s="246">
        <f t="shared" ca="1" si="2"/>
        <v>0.23050000000000001</v>
      </c>
      <c r="F45" s="246" t="str">
        <f t="shared" ca="1" si="3"/>
        <v>N-octane</v>
      </c>
      <c r="G45" s="246">
        <f t="shared" ca="1" si="4"/>
        <v>114.22852</v>
      </c>
      <c r="H45" s="204">
        <f ca="1">IF(G45="","",IF(VLOOKUP(Separator!F45,'Species Data'!D:F,3,FALSE)=0,"X",IF(G45&lt;44.1,2,1)))</f>
        <v>1</v>
      </c>
      <c r="I45" s="204">
        <f t="shared" ca="1" si="5"/>
        <v>0.17603356804475737</v>
      </c>
      <c r="J45" s="247">
        <f ca="1">IF(I45="","",IF(COUNTIF($D$12:D45,D45)=1,IF(H45=1,I45*H45,IF(H45="X","X",0)),0))</f>
        <v>0.17603356804475737</v>
      </c>
      <c r="K45" s="248">
        <f t="shared" ca="1" si="6"/>
        <v>0.42974579815862779</v>
      </c>
      <c r="L45" s="197" t="s">
        <v>678</v>
      </c>
      <c r="M45" s="197" t="s">
        <v>448</v>
      </c>
      <c r="N45" s="197" t="s">
        <v>470</v>
      </c>
      <c r="O45" s="198">
        <v>41419</v>
      </c>
      <c r="P45" s="197" t="s">
        <v>531</v>
      </c>
      <c r="Q45" s="199">
        <v>100</v>
      </c>
      <c r="R45" s="197" t="s">
        <v>445</v>
      </c>
      <c r="S45" s="197" t="s">
        <v>532</v>
      </c>
      <c r="T45" s="197" t="s">
        <v>445</v>
      </c>
      <c r="U45" s="197" t="s">
        <v>446</v>
      </c>
      <c r="V45" s="199" t="b">
        <v>1</v>
      </c>
      <c r="W45" s="199">
        <v>1989</v>
      </c>
      <c r="X45" s="199">
        <v>5</v>
      </c>
      <c r="Y45" s="199">
        <v>2</v>
      </c>
      <c r="Z45" s="199">
        <v>4</v>
      </c>
      <c r="AA45" s="197" t="s">
        <v>447</v>
      </c>
      <c r="AB45" s="197" t="s">
        <v>531</v>
      </c>
      <c r="AC45" s="197" t="s">
        <v>533</v>
      </c>
      <c r="AD45" s="199">
        <v>1.8588359999999999</v>
      </c>
      <c r="AE45" s="199">
        <v>604</v>
      </c>
      <c r="AF45" s="199">
        <v>0.23050000000000001</v>
      </c>
      <c r="AG45" s="199">
        <v>-99</v>
      </c>
      <c r="AH45" s="197" t="s">
        <v>224</v>
      </c>
      <c r="AI45" s="197" t="s">
        <v>449</v>
      </c>
      <c r="AJ45" s="197" t="s">
        <v>282</v>
      </c>
      <c r="AK45" s="197" t="s">
        <v>531</v>
      </c>
      <c r="AL45" s="197" t="s">
        <v>380</v>
      </c>
      <c r="AM45" s="199" t="b">
        <v>1</v>
      </c>
      <c r="AN45" s="199" t="b">
        <v>0</v>
      </c>
      <c r="AO45" s="197" t="s">
        <v>283</v>
      </c>
      <c r="AP45" s="197" t="s">
        <v>284</v>
      </c>
      <c r="AQ45" s="199">
        <v>114.22852</v>
      </c>
      <c r="AR45" s="199" t="b">
        <v>0</v>
      </c>
      <c r="AS45" s="197" t="s">
        <v>534</v>
      </c>
    </row>
    <row r="46" spans="1:45" s="219" customFormat="1" x14ac:dyDescent="0.25">
      <c r="A46" s="245">
        <f t="shared" si="7"/>
        <v>46</v>
      </c>
      <c r="B46" s="246" t="str">
        <f t="shared" si="0"/>
        <v>Oil Field - Separator</v>
      </c>
      <c r="C46" s="246" t="str">
        <f ca="1">IF(B46="","",VLOOKUP(D46,'Species Data'!B:E,4,FALSE))</f>
        <v>N_pentane</v>
      </c>
      <c r="D46" s="246">
        <f t="shared" ca="1" si="1"/>
        <v>605</v>
      </c>
      <c r="E46" s="246">
        <f t="shared" ca="1" si="2"/>
        <v>3.3990999999999998</v>
      </c>
      <c r="F46" s="246" t="str">
        <f t="shared" ca="1" si="3"/>
        <v>N-pentane</v>
      </c>
      <c r="G46" s="246">
        <f t="shared" ca="1" si="4"/>
        <v>72.148780000000002</v>
      </c>
      <c r="H46" s="204">
        <f ca="1">IF(G46="","",IF(VLOOKUP(Separator!F46,'Species Data'!D:F,3,FALSE)=0,"X",IF(G46&lt;44.1,2,1)))</f>
        <v>1</v>
      </c>
      <c r="I46" s="204">
        <f t="shared" ca="1" si="5"/>
        <v>3.3001044001391997</v>
      </c>
      <c r="J46" s="247">
        <f ca="1">IF(I46="","",IF(COUNTIF($D$12:D46,D46)=1,IF(H46=1,I46*H46,IF(H46="X","X",0)),0))</f>
        <v>3.3001044001391997</v>
      </c>
      <c r="K46" s="248">
        <f t="shared" ca="1" si="6"/>
        <v>8.0564520460326872</v>
      </c>
      <c r="L46" s="197" t="s">
        <v>678</v>
      </c>
      <c r="M46" s="197" t="s">
        <v>448</v>
      </c>
      <c r="N46" s="197" t="s">
        <v>470</v>
      </c>
      <c r="O46" s="198">
        <v>41419</v>
      </c>
      <c r="P46" s="197" t="s">
        <v>531</v>
      </c>
      <c r="Q46" s="199">
        <v>100</v>
      </c>
      <c r="R46" s="197" t="s">
        <v>445</v>
      </c>
      <c r="S46" s="197" t="s">
        <v>532</v>
      </c>
      <c r="T46" s="197" t="s">
        <v>445</v>
      </c>
      <c r="U46" s="197" t="s">
        <v>446</v>
      </c>
      <c r="V46" s="199" t="b">
        <v>1</v>
      </c>
      <c r="W46" s="199">
        <v>1989</v>
      </c>
      <c r="X46" s="199">
        <v>5</v>
      </c>
      <c r="Y46" s="199">
        <v>2</v>
      </c>
      <c r="Z46" s="199">
        <v>4</v>
      </c>
      <c r="AA46" s="197" t="s">
        <v>447</v>
      </c>
      <c r="AB46" s="197" t="s">
        <v>531</v>
      </c>
      <c r="AC46" s="197" t="s">
        <v>533</v>
      </c>
      <c r="AD46" s="199">
        <v>1.8588359999999999</v>
      </c>
      <c r="AE46" s="199">
        <v>605</v>
      </c>
      <c r="AF46" s="199">
        <v>3.3990999999999998</v>
      </c>
      <c r="AG46" s="199">
        <v>-99</v>
      </c>
      <c r="AH46" s="197" t="s">
        <v>224</v>
      </c>
      <c r="AI46" s="197" t="s">
        <v>449</v>
      </c>
      <c r="AJ46" s="197" t="s">
        <v>285</v>
      </c>
      <c r="AK46" s="197" t="s">
        <v>531</v>
      </c>
      <c r="AL46" s="197" t="s">
        <v>381</v>
      </c>
      <c r="AM46" s="199" t="b">
        <v>1</v>
      </c>
      <c r="AN46" s="199" t="b">
        <v>0</v>
      </c>
      <c r="AO46" s="197" t="s">
        <v>286</v>
      </c>
      <c r="AP46" s="197" t="s">
        <v>287</v>
      </c>
      <c r="AQ46" s="199">
        <v>72.148780000000002</v>
      </c>
      <c r="AR46" s="199" t="b">
        <v>0</v>
      </c>
      <c r="AS46" s="197" t="s">
        <v>534</v>
      </c>
    </row>
    <row r="47" spans="1:45" s="219" customFormat="1" x14ac:dyDescent="0.25">
      <c r="A47" s="245">
        <f t="shared" si="7"/>
        <v>47</v>
      </c>
      <c r="B47" s="246" t="str">
        <f t="shared" si="0"/>
        <v>Oil Field - Separator</v>
      </c>
      <c r="C47" s="246" t="str">
        <f ca="1">IF(B47="","",VLOOKUP(D47,'Species Data'!B:E,4,FALSE))</f>
        <v>N_proben</v>
      </c>
      <c r="D47" s="246">
        <f t="shared" ca="1" si="1"/>
        <v>608</v>
      </c>
      <c r="E47" s="246">
        <f t="shared" ca="1" si="2"/>
        <v>1.0999999999999999E-2</v>
      </c>
      <c r="F47" s="246" t="str">
        <f t="shared" ca="1" si="3"/>
        <v>N-propylbenzene</v>
      </c>
      <c r="G47" s="246">
        <f t="shared" ca="1" si="4"/>
        <v>120.19158</v>
      </c>
      <c r="H47" s="204">
        <f ca="1">IF(G47="","",IF(VLOOKUP(Separator!F47,'Species Data'!D:F,3,FALSE)=0,"X",IF(G47&lt;44.1,2,1)))</f>
        <v>1</v>
      </c>
      <c r="I47" s="204">
        <f t="shared" ca="1" si="5"/>
        <v>7.8333437777917021E-3</v>
      </c>
      <c r="J47" s="247">
        <f ca="1">IF(I47="","",IF(COUNTIF($D$12:D47,D47)=1,IF(H47=1,I47*H47,IF(H47="X","X",0)),0))</f>
        <v>7.8333437777917021E-3</v>
      </c>
      <c r="K47" s="248">
        <f t="shared" ca="1" si="6"/>
        <v>1.912332182678991E-2</v>
      </c>
      <c r="L47" s="197" t="s">
        <v>678</v>
      </c>
      <c r="M47" s="197" t="s">
        <v>448</v>
      </c>
      <c r="N47" s="197" t="s">
        <v>470</v>
      </c>
      <c r="O47" s="198">
        <v>41419</v>
      </c>
      <c r="P47" s="197" t="s">
        <v>531</v>
      </c>
      <c r="Q47" s="199">
        <v>100</v>
      </c>
      <c r="R47" s="197" t="s">
        <v>445</v>
      </c>
      <c r="S47" s="197" t="s">
        <v>532</v>
      </c>
      <c r="T47" s="197" t="s">
        <v>445</v>
      </c>
      <c r="U47" s="197" t="s">
        <v>446</v>
      </c>
      <c r="V47" s="199" t="b">
        <v>1</v>
      </c>
      <c r="W47" s="199">
        <v>1989</v>
      </c>
      <c r="X47" s="199">
        <v>5</v>
      </c>
      <c r="Y47" s="199">
        <v>2</v>
      </c>
      <c r="Z47" s="199">
        <v>4</v>
      </c>
      <c r="AA47" s="197" t="s">
        <v>447</v>
      </c>
      <c r="AB47" s="197" t="s">
        <v>531</v>
      </c>
      <c r="AC47" s="197" t="s">
        <v>533</v>
      </c>
      <c r="AD47" s="199">
        <v>1.8588359999999999</v>
      </c>
      <c r="AE47" s="199">
        <v>608</v>
      </c>
      <c r="AF47" s="199">
        <v>1.0999999999999999E-2</v>
      </c>
      <c r="AG47" s="199">
        <v>-99</v>
      </c>
      <c r="AH47" s="197" t="s">
        <v>224</v>
      </c>
      <c r="AI47" s="197" t="s">
        <v>449</v>
      </c>
      <c r="AJ47" s="197" t="s">
        <v>420</v>
      </c>
      <c r="AK47" s="197" t="s">
        <v>531</v>
      </c>
      <c r="AL47" s="197" t="s">
        <v>454</v>
      </c>
      <c r="AM47" s="199" t="b">
        <v>1</v>
      </c>
      <c r="AN47" s="199" t="b">
        <v>0</v>
      </c>
      <c r="AO47" s="197" t="s">
        <v>421</v>
      </c>
      <c r="AP47" s="197" t="s">
        <v>422</v>
      </c>
      <c r="AQ47" s="199">
        <v>120.19158</v>
      </c>
      <c r="AR47" s="199" t="b">
        <v>0</v>
      </c>
      <c r="AS47" s="197" t="s">
        <v>534</v>
      </c>
    </row>
    <row r="48" spans="1:45" s="219" customFormat="1" x14ac:dyDescent="0.25">
      <c r="A48" s="245">
        <f t="shared" si="7"/>
        <v>48</v>
      </c>
      <c r="B48" s="246" t="str">
        <f t="shared" si="0"/>
        <v>Oil Field - Separator</v>
      </c>
      <c r="C48" s="246" t="str">
        <f ca="1">IF(B48="","",VLOOKUP(D48,'Species Data'!B:E,4,FALSE))</f>
        <v>O_xylene</v>
      </c>
      <c r="D48" s="246">
        <f t="shared" ca="1" si="1"/>
        <v>620</v>
      </c>
      <c r="E48" s="246">
        <f t="shared" ca="1" si="2"/>
        <v>2.58E-2</v>
      </c>
      <c r="F48" s="246" t="str">
        <f t="shared" ca="1" si="3"/>
        <v>O-xylene</v>
      </c>
      <c r="G48" s="246">
        <f t="shared" ca="1" si="4"/>
        <v>106.16500000000001</v>
      </c>
      <c r="H48" s="204">
        <f ca="1">IF(G48="","",IF(VLOOKUP(Separator!F48,'Species Data'!D:F,3,FALSE)=0,"X",IF(G48&lt;44.1,2,1)))</f>
        <v>1</v>
      </c>
      <c r="I48" s="204">
        <f t="shared" ca="1" si="5"/>
        <v>2.0033360044480059E-2</v>
      </c>
      <c r="J48" s="247">
        <f ca="1">IF(I48="","",IF(COUNTIF($D$12:D48,D48)=1,IF(H48=1,I48*H48,IF(H48="X","X",0)),0))</f>
        <v>2.0033360044480059E-2</v>
      </c>
      <c r="K48" s="248">
        <f t="shared" ca="1" si="6"/>
        <v>4.8906878374045691E-2</v>
      </c>
      <c r="L48" s="197" t="s">
        <v>678</v>
      </c>
      <c r="M48" s="197" t="s">
        <v>448</v>
      </c>
      <c r="N48" s="197" t="s">
        <v>470</v>
      </c>
      <c r="O48" s="198">
        <v>41419</v>
      </c>
      <c r="P48" s="197" t="s">
        <v>531</v>
      </c>
      <c r="Q48" s="199">
        <v>100</v>
      </c>
      <c r="R48" s="197" t="s">
        <v>445</v>
      </c>
      <c r="S48" s="197" t="s">
        <v>532</v>
      </c>
      <c r="T48" s="197" t="s">
        <v>445</v>
      </c>
      <c r="U48" s="197" t="s">
        <v>446</v>
      </c>
      <c r="V48" s="199" t="b">
        <v>1</v>
      </c>
      <c r="W48" s="199">
        <v>1989</v>
      </c>
      <c r="X48" s="199">
        <v>5</v>
      </c>
      <c r="Y48" s="199">
        <v>2</v>
      </c>
      <c r="Z48" s="199">
        <v>4</v>
      </c>
      <c r="AA48" s="197" t="s">
        <v>447</v>
      </c>
      <c r="AB48" s="197" t="s">
        <v>531</v>
      </c>
      <c r="AC48" s="197" t="s">
        <v>533</v>
      </c>
      <c r="AD48" s="199">
        <v>1.8588359999999999</v>
      </c>
      <c r="AE48" s="199">
        <v>620</v>
      </c>
      <c r="AF48" s="199">
        <v>2.58E-2</v>
      </c>
      <c r="AG48" s="199">
        <v>-99</v>
      </c>
      <c r="AH48" s="197" t="s">
        <v>224</v>
      </c>
      <c r="AI48" s="197" t="s">
        <v>449</v>
      </c>
      <c r="AJ48" s="197" t="s">
        <v>354</v>
      </c>
      <c r="AK48" s="197" t="s">
        <v>531</v>
      </c>
      <c r="AL48" s="197" t="s">
        <v>398</v>
      </c>
      <c r="AM48" s="199" t="b">
        <v>1</v>
      </c>
      <c r="AN48" s="199" t="b">
        <v>1</v>
      </c>
      <c r="AO48" s="197" t="s">
        <v>355</v>
      </c>
      <c r="AP48" s="197" t="s">
        <v>356</v>
      </c>
      <c r="AQ48" s="199">
        <v>106.16500000000001</v>
      </c>
      <c r="AR48" s="199" t="b">
        <v>0</v>
      </c>
      <c r="AS48" s="197" t="s">
        <v>534</v>
      </c>
    </row>
    <row r="49" spans="1:45" s="219" customFormat="1" x14ac:dyDescent="0.25">
      <c r="A49" s="245">
        <f t="shared" si="7"/>
        <v>49</v>
      </c>
      <c r="B49" s="246" t="str">
        <f t="shared" si="0"/>
        <v>Oil Field - Separator</v>
      </c>
      <c r="C49" s="246" t="str">
        <f ca="1">IF(B49="","",VLOOKUP(D49,'Species Data'!B:E,4,FALSE))</f>
        <v>P_xylene</v>
      </c>
      <c r="D49" s="246">
        <f t="shared" ca="1" si="1"/>
        <v>648</v>
      </c>
      <c r="E49" s="246">
        <f t="shared" ca="1" si="2"/>
        <v>3.1E-2</v>
      </c>
      <c r="F49" s="246" t="str">
        <f t="shared" ca="1" si="3"/>
        <v>P-xylene</v>
      </c>
      <c r="G49" s="246">
        <f t="shared" ca="1" si="4"/>
        <v>106.16500000000001</v>
      </c>
      <c r="H49" s="204">
        <f ca="1">IF(G49="","",IF(VLOOKUP(Separator!F49,'Species Data'!D:F,3,FALSE)=0,"X",IF(G49&lt;44.1,2,1)))</f>
        <v>1</v>
      </c>
      <c r="I49" s="204">
        <f t="shared" ca="1" si="5"/>
        <v>2.4166698888931849E-2</v>
      </c>
      <c r="J49" s="247">
        <f ca="1">IF(I49="","",IF(COUNTIF($D$12:D49,D49)=1,IF(H49=1,I49*H49,IF(H49="X","X",0)),0))</f>
        <v>2.4166698888931849E-2</v>
      </c>
      <c r="K49" s="248">
        <f t="shared" ca="1" si="6"/>
        <v>5.8997482231585893E-2</v>
      </c>
      <c r="L49" s="197" t="s">
        <v>678</v>
      </c>
      <c r="M49" s="197" t="s">
        <v>448</v>
      </c>
      <c r="N49" s="197" t="s">
        <v>470</v>
      </c>
      <c r="O49" s="198">
        <v>41419</v>
      </c>
      <c r="P49" s="197" t="s">
        <v>531</v>
      </c>
      <c r="Q49" s="199">
        <v>100</v>
      </c>
      <c r="R49" s="197" t="s">
        <v>445</v>
      </c>
      <c r="S49" s="197" t="s">
        <v>532</v>
      </c>
      <c r="T49" s="197" t="s">
        <v>445</v>
      </c>
      <c r="U49" s="197" t="s">
        <v>446</v>
      </c>
      <c r="V49" s="199" t="b">
        <v>1</v>
      </c>
      <c r="W49" s="199">
        <v>1989</v>
      </c>
      <c r="X49" s="199">
        <v>5</v>
      </c>
      <c r="Y49" s="199">
        <v>2</v>
      </c>
      <c r="Z49" s="199">
        <v>4</v>
      </c>
      <c r="AA49" s="197" t="s">
        <v>447</v>
      </c>
      <c r="AB49" s="197" t="s">
        <v>531</v>
      </c>
      <c r="AC49" s="197" t="s">
        <v>533</v>
      </c>
      <c r="AD49" s="199">
        <v>1.8588359999999999</v>
      </c>
      <c r="AE49" s="199">
        <v>648</v>
      </c>
      <c r="AF49" s="199">
        <v>3.1E-2</v>
      </c>
      <c r="AG49" s="199">
        <v>-99</v>
      </c>
      <c r="AH49" s="197" t="s">
        <v>224</v>
      </c>
      <c r="AI49" s="197" t="s">
        <v>449</v>
      </c>
      <c r="AJ49" s="197" t="s">
        <v>433</v>
      </c>
      <c r="AK49" s="197" t="s">
        <v>531</v>
      </c>
      <c r="AL49" s="197" t="s">
        <v>459</v>
      </c>
      <c r="AM49" s="199" t="b">
        <v>0</v>
      </c>
      <c r="AN49" s="199" t="b">
        <v>1</v>
      </c>
      <c r="AO49" s="197" t="s">
        <v>434</v>
      </c>
      <c r="AP49" s="197" t="s">
        <v>435</v>
      </c>
      <c r="AQ49" s="199">
        <v>106.16500000000001</v>
      </c>
      <c r="AR49" s="199" t="b">
        <v>0</v>
      </c>
      <c r="AS49" s="197" t="s">
        <v>534</v>
      </c>
    </row>
    <row r="50" spans="1:45" s="219" customFormat="1" x14ac:dyDescent="0.25">
      <c r="A50" s="245">
        <f t="shared" si="7"/>
        <v>50</v>
      </c>
      <c r="B50" s="246" t="str">
        <f t="shared" si="0"/>
        <v>Oil Field - Separator</v>
      </c>
      <c r="C50" s="246" t="str">
        <f ca="1">IF(B50="","",VLOOKUP(D50,'Species Data'!B:E,4,FALSE))</f>
        <v>propane</v>
      </c>
      <c r="D50" s="246">
        <f t="shared" ca="1" si="1"/>
        <v>671</v>
      </c>
      <c r="E50" s="246">
        <f t="shared" ca="1" si="2"/>
        <v>17.266300000000001</v>
      </c>
      <c r="F50" s="246" t="str">
        <f t="shared" ca="1" si="3"/>
        <v>Propane</v>
      </c>
      <c r="G50" s="246">
        <f t="shared" ca="1" si="4"/>
        <v>44.095619999999997</v>
      </c>
      <c r="H50" s="204">
        <f ca="1">IF(G50="","",IF(VLOOKUP(Separator!F50,'Species Data'!D:F,3,FALSE)=0,"X",IF(G50&lt;44.1,2,1)))</f>
        <v>2</v>
      </c>
      <c r="I50" s="204">
        <f t="shared" ca="1" si="5"/>
        <v>16.398655198206928</v>
      </c>
      <c r="J50" s="247">
        <f ca="1">IF(I50="","",IF(COUNTIF($D$12:D50,D50)=1,IF(H50=1,I50*H50,IF(H50="X","X",0)),0))</f>
        <v>0</v>
      </c>
      <c r="K50" s="248">
        <f t="shared" ca="1" si="6"/>
        <v>0</v>
      </c>
      <c r="L50" s="197" t="s">
        <v>678</v>
      </c>
      <c r="M50" s="197" t="s">
        <v>448</v>
      </c>
      <c r="N50" s="197" t="s">
        <v>470</v>
      </c>
      <c r="O50" s="198">
        <v>41419</v>
      </c>
      <c r="P50" s="197" t="s">
        <v>531</v>
      </c>
      <c r="Q50" s="199">
        <v>100</v>
      </c>
      <c r="R50" s="197" t="s">
        <v>445</v>
      </c>
      <c r="S50" s="197" t="s">
        <v>532</v>
      </c>
      <c r="T50" s="197" t="s">
        <v>445</v>
      </c>
      <c r="U50" s="197" t="s">
        <v>446</v>
      </c>
      <c r="V50" s="199" t="b">
        <v>1</v>
      </c>
      <c r="W50" s="199">
        <v>1989</v>
      </c>
      <c r="X50" s="199">
        <v>5</v>
      </c>
      <c r="Y50" s="199">
        <v>2</v>
      </c>
      <c r="Z50" s="199">
        <v>4</v>
      </c>
      <c r="AA50" s="197" t="s">
        <v>447</v>
      </c>
      <c r="AB50" s="197" t="s">
        <v>531</v>
      </c>
      <c r="AC50" s="197" t="s">
        <v>533</v>
      </c>
      <c r="AD50" s="199">
        <v>1.8588359999999999</v>
      </c>
      <c r="AE50" s="199">
        <v>671</v>
      </c>
      <c r="AF50" s="199">
        <v>17.266300000000001</v>
      </c>
      <c r="AG50" s="199">
        <v>-99</v>
      </c>
      <c r="AH50" s="197" t="s">
        <v>224</v>
      </c>
      <c r="AI50" s="197" t="s">
        <v>449</v>
      </c>
      <c r="AJ50" s="197" t="s">
        <v>288</v>
      </c>
      <c r="AK50" s="197" t="s">
        <v>531</v>
      </c>
      <c r="AL50" s="197" t="s">
        <v>382</v>
      </c>
      <c r="AM50" s="199" t="b">
        <v>1</v>
      </c>
      <c r="AN50" s="199" t="b">
        <v>0</v>
      </c>
      <c r="AO50" s="197" t="s">
        <v>289</v>
      </c>
      <c r="AP50" s="197" t="s">
        <v>290</v>
      </c>
      <c r="AQ50" s="199">
        <v>44.095619999999997</v>
      </c>
      <c r="AR50" s="199" t="b">
        <v>0</v>
      </c>
      <c r="AS50" s="197" t="s">
        <v>534</v>
      </c>
    </row>
    <row r="51" spans="1:45" s="219" customFormat="1" x14ac:dyDescent="0.25">
      <c r="A51" s="245">
        <f t="shared" si="7"/>
        <v>51</v>
      </c>
      <c r="B51" s="246" t="str">
        <f t="shared" si="0"/>
        <v>Oil Field - Separator</v>
      </c>
      <c r="C51" s="246" t="str">
        <f ca="1">IF(B51="","",VLOOKUP(D51,'Species Data'!B:E,4,FALSE))</f>
        <v>T_butben</v>
      </c>
      <c r="D51" s="246">
        <f t="shared" ca="1" si="1"/>
        <v>703</v>
      </c>
      <c r="E51" s="246">
        <f t="shared" ca="1" si="2"/>
        <v>1.01E-2</v>
      </c>
      <c r="F51" s="246" t="str">
        <f t="shared" ca="1" si="3"/>
        <v>T-butylbenzene</v>
      </c>
      <c r="G51" s="246">
        <f t="shared" ca="1" si="4"/>
        <v>134.21816000000001</v>
      </c>
      <c r="H51" s="204" t="str">
        <f ca="1">IF(G51="","",IF(VLOOKUP(Separator!F51,'Species Data'!D:F,3,FALSE)=0,"X",IF(G51&lt;44.1,2,1)))</f>
        <v>X</v>
      </c>
      <c r="I51" s="204">
        <f t="shared" ca="1" si="5"/>
        <v>3.3666711555615401E-3</v>
      </c>
      <c r="J51" s="247" t="str">
        <f ca="1">IF(I51="","",IF(COUNTIF($D$12:D51,D51)=1,IF(H51=1,I51*H51,IF(H51="X","X",0)),0))</f>
        <v>X</v>
      </c>
      <c r="K51" s="248">
        <f t="shared" ca="1" si="6"/>
        <v>0</v>
      </c>
      <c r="L51" s="197" t="s">
        <v>678</v>
      </c>
      <c r="M51" s="197" t="s">
        <v>448</v>
      </c>
      <c r="N51" s="197" t="s">
        <v>470</v>
      </c>
      <c r="O51" s="198">
        <v>41419</v>
      </c>
      <c r="P51" s="197" t="s">
        <v>531</v>
      </c>
      <c r="Q51" s="199">
        <v>100</v>
      </c>
      <c r="R51" s="197" t="s">
        <v>445</v>
      </c>
      <c r="S51" s="197" t="s">
        <v>532</v>
      </c>
      <c r="T51" s="197" t="s">
        <v>445</v>
      </c>
      <c r="U51" s="197" t="s">
        <v>446</v>
      </c>
      <c r="V51" s="199" t="b">
        <v>1</v>
      </c>
      <c r="W51" s="199">
        <v>1989</v>
      </c>
      <c r="X51" s="199">
        <v>5</v>
      </c>
      <c r="Y51" s="199">
        <v>2</v>
      </c>
      <c r="Z51" s="199">
        <v>4</v>
      </c>
      <c r="AA51" s="197" t="s">
        <v>447</v>
      </c>
      <c r="AB51" s="197" t="s">
        <v>531</v>
      </c>
      <c r="AC51" s="197" t="s">
        <v>533</v>
      </c>
      <c r="AD51" s="199">
        <v>1.8588359999999999</v>
      </c>
      <c r="AE51" s="199">
        <v>703</v>
      </c>
      <c r="AF51" s="199">
        <v>1.01E-2</v>
      </c>
      <c r="AG51" s="199">
        <v>-99</v>
      </c>
      <c r="AH51" s="197" t="s">
        <v>224</v>
      </c>
      <c r="AI51" s="197" t="s">
        <v>449</v>
      </c>
      <c r="AJ51" s="197" t="s">
        <v>423</v>
      </c>
      <c r="AK51" s="197" t="s">
        <v>531</v>
      </c>
      <c r="AL51" s="197" t="s">
        <v>455</v>
      </c>
      <c r="AM51" s="199" t="b">
        <v>0</v>
      </c>
      <c r="AN51" s="199" t="b">
        <v>0</v>
      </c>
      <c r="AO51" s="197" t="s">
        <v>424</v>
      </c>
      <c r="AP51" s="197" t="s">
        <v>531</v>
      </c>
      <c r="AQ51" s="199">
        <v>134.21816000000001</v>
      </c>
      <c r="AR51" s="199" t="b">
        <v>0</v>
      </c>
      <c r="AS51" s="197" t="s">
        <v>534</v>
      </c>
    </row>
    <row r="52" spans="1:45" s="219" customFormat="1" x14ac:dyDescent="0.25">
      <c r="A52" s="245">
        <f t="shared" si="7"/>
        <v>52</v>
      </c>
      <c r="B52" s="246" t="str">
        <f t="shared" si="0"/>
        <v>Oil Field - Separator</v>
      </c>
      <c r="C52" s="246" t="str">
        <f ca="1">IF(B52="","",VLOOKUP(D52,'Species Data'!B:E,4,FALSE))</f>
        <v>toluene</v>
      </c>
      <c r="D52" s="246">
        <f t="shared" ca="1" si="1"/>
        <v>717</v>
      </c>
      <c r="E52" s="246">
        <f t="shared" ca="1" si="2"/>
        <v>8.6400000000000005E-2</v>
      </c>
      <c r="F52" s="246" t="str">
        <f t="shared" ca="1" si="3"/>
        <v>Toluene</v>
      </c>
      <c r="G52" s="246">
        <f t="shared" ca="1" si="4"/>
        <v>92.138419999999996</v>
      </c>
      <c r="H52" s="204">
        <f ca="1">IF(G52="","",IF(VLOOKUP(Separator!F52,'Species Data'!D:F,3,FALSE)=0,"X",IF(G52&lt;44.1,2,1)))</f>
        <v>1</v>
      </c>
      <c r="I52" s="204">
        <f t="shared" ca="1" si="5"/>
        <v>0.1362668483557978</v>
      </c>
      <c r="J52" s="247">
        <f ca="1">IF(I52="","",IF(COUNTIF($D$12:D52,D52)=1,IF(H52=1,I52*H52,IF(H52="X","X",0)),0))</f>
        <v>0.1362668483557978</v>
      </c>
      <c r="K52" s="248">
        <f t="shared" ca="1" si="6"/>
        <v>0.33266442394858364</v>
      </c>
      <c r="L52" s="197" t="s">
        <v>678</v>
      </c>
      <c r="M52" s="197" t="s">
        <v>448</v>
      </c>
      <c r="N52" s="197" t="s">
        <v>470</v>
      </c>
      <c r="O52" s="198">
        <v>41419</v>
      </c>
      <c r="P52" s="197" t="s">
        <v>531</v>
      </c>
      <c r="Q52" s="199">
        <v>100</v>
      </c>
      <c r="R52" s="197" t="s">
        <v>445</v>
      </c>
      <c r="S52" s="197" t="s">
        <v>532</v>
      </c>
      <c r="T52" s="197" t="s">
        <v>445</v>
      </c>
      <c r="U52" s="197" t="s">
        <v>446</v>
      </c>
      <c r="V52" s="199" t="b">
        <v>1</v>
      </c>
      <c r="W52" s="199">
        <v>1989</v>
      </c>
      <c r="X52" s="199">
        <v>5</v>
      </c>
      <c r="Y52" s="199">
        <v>2</v>
      </c>
      <c r="Z52" s="199">
        <v>4</v>
      </c>
      <c r="AA52" s="197" t="s">
        <v>447</v>
      </c>
      <c r="AB52" s="197" t="s">
        <v>531</v>
      </c>
      <c r="AC52" s="197" t="s">
        <v>533</v>
      </c>
      <c r="AD52" s="199">
        <v>1.8588359999999999</v>
      </c>
      <c r="AE52" s="199">
        <v>717</v>
      </c>
      <c r="AF52" s="199">
        <v>8.6400000000000005E-2</v>
      </c>
      <c r="AG52" s="199">
        <v>-99</v>
      </c>
      <c r="AH52" s="197" t="s">
        <v>224</v>
      </c>
      <c r="AI52" s="197" t="s">
        <v>449</v>
      </c>
      <c r="AJ52" s="197" t="s">
        <v>294</v>
      </c>
      <c r="AK52" s="197" t="s">
        <v>531</v>
      </c>
      <c r="AL52" s="197" t="s">
        <v>383</v>
      </c>
      <c r="AM52" s="199" t="b">
        <v>1</v>
      </c>
      <c r="AN52" s="199" t="b">
        <v>1</v>
      </c>
      <c r="AO52" s="197" t="s">
        <v>295</v>
      </c>
      <c r="AP52" s="197" t="s">
        <v>296</v>
      </c>
      <c r="AQ52" s="199">
        <v>92.138419999999996</v>
      </c>
      <c r="AR52" s="199" t="b">
        <v>0</v>
      </c>
      <c r="AS52" s="197" t="s">
        <v>534</v>
      </c>
    </row>
    <row r="53" spans="1:45" s="219" customFormat="1" x14ac:dyDescent="0.25">
      <c r="A53" s="245">
        <f t="shared" si="7"/>
        <v>53</v>
      </c>
      <c r="B53" s="246" t="str">
        <f t="shared" si="0"/>
        <v>Oil Field - Separator</v>
      </c>
      <c r="C53" s="246" t="str">
        <f ca="1">IF(B53="","",VLOOKUP(D53,'Species Data'!B:E,4,FALSE))</f>
        <v>c10_comp</v>
      </c>
      <c r="D53" s="246">
        <f t="shared" ca="1" si="1"/>
        <v>1924</v>
      </c>
      <c r="E53" s="246">
        <f t="shared" ca="1" si="2"/>
        <v>8.5099999999999995E-2</v>
      </c>
      <c r="F53" s="246" t="str">
        <f t="shared" ca="1" si="3"/>
        <v>C-10 Compounds</v>
      </c>
      <c r="G53" s="246">
        <f t="shared" ca="1" si="4"/>
        <v>142.28167999999999</v>
      </c>
      <c r="H53" s="204" t="str">
        <f ca="1">IF(G53="","",IF(VLOOKUP(Separator!F53,'Species Data'!D:F,3,FALSE)=0,"X",IF(G53&lt;44.1,2,1)))</f>
        <v>X</v>
      </c>
      <c r="I53" s="204">
        <f t="shared" ca="1" si="5"/>
        <v>6.0866747822330418E-2</v>
      </c>
      <c r="J53" s="247" t="str">
        <f ca="1">IF(I53="","",IF(COUNTIF($D$12:D53,D53)=1,IF(H53=1,I53*H53,IF(H53="X","X",0)),0))</f>
        <v>X</v>
      </c>
      <c r="K53" s="248">
        <f t="shared" ca="1" si="6"/>
        <v>0</v>
      </c>
      <c r="L53" s="197" t="s">
        <v>678</v>
      </c>
      <c r="M53" s="197" t="s">
        <v>448</v>
      </c>
      <c r="N53" s="197" t="s">
        <v>470</v>
      </c>
      <c r="O53" s="198">
        <v>41419</v>
      </c>
      <c r="P53" s="197" t="s">
        <v>531</v>
      </c>
      <c r="Q53" s="199">
        <v>100</v>
      </c>
      <c r="R53" s="197" t="s">
        <v>445</v>
      </c>
      <c r="S53" s="197" t="s">
        <v>532</v>
      </c>
      <c r="T53" s="197" t="s">
        <v>445</v>
      </c>
      <c r="U53" s="197" t="s">
        <v>446</v>
      </c>
      <c r="V53" s="199" t="b">
        <v>1</v>
      </c>
      <c r="W53" s="199">
        <v>1989</v>
      </c>
      <c r="X53" s="199">
        <v>5</v>
      </c>
      <c r="Y53" s="199">
        <v>2</v>
      </c>
      <c r="Z53" s="199">
        <v>4</v>
      </c>
      <c r="AA53" s="197" t="s">
        <v>447</v>
      </c>
      <c r="AB53" s="197" t="s">
        <v>531</v>
      </c>
      <c r="AC53" s="197" t="s">
        <v>533</v>
      </c>
      <c r="AD53" s="199">
        <v>1.8588359999999999</v>
      </c>
      <c r="AE53" s="199">
        <v>1924</v>
      </c>
      <c r="AF53" s="199">
        <v>8.5099999999999995E-2</v>
      </c>
      <c r="AG53" s="199">
        <v>-99</v>
      </c>
      <c r="AH53" s="197" t="s">
        <v>224</v>
      </c>
      <c r="AI53" s="197" t="s">
        <v>449</v>
      </c>
      <c r="AJ53" s="197" t="s">
        <v>224</v>
      </c>
      <c r="AK53" s="197" t="s">
        <v>531</v>
      </c>
      <c r="AL53" s="197" t="s">
        <v>466</v>
      </c>
      <c r="AM53" s="199" t="b">
        <v>0</v>
      </c>
      <c r="AN53" s="199" t="b">
        <v>0</v>
      </c>
      <c r="AO53" s="197" t="s">
        <v>535</v>
      </c>
      <c r="AP53" s="197" t="s">
        <v>536</v>
      </c>
      <c r="AQ53" s="199">
        <v>142.28167999999999</v>
      </c>
      <c r="AR53" s="199" t="b">
        <v>0</v>
      </c>
      <c r="AS53" s="197" t="s">
        <v>534</v>
      </c>
    </row>
    <row r="54" spans="1:45" s="219" customFormat="1" ht="15" customHeight="1" x14ac:dyDescent="0.25">
      <c r="A54" s="245">
        <f t="shared" si="7"/>
        <v>54</v>
      </c>
      <c r="B54" s="246" t="str">
        <f t="shared" si="0"/>
        <v>Oil Field - Separator</v>
      </c>
      <c r="C54" s="246" t="str">
        <f ca="1">IF(B54="","",VLOOKUP(D54,'Species Data'!B:E,4,FALSE))</f>
        <v>c11_comp</v>
      </c>
      <c r="D54" s="246">
        <f t="shared" ca="1" si="1"/>
        <v>1929</v>
      </c>
      <c r="E54" s="246">
        <f t="shared" ca="1" si="2"/>
        <v>4.0000000000000001E-3</v>
      </c>
      <c r="F54" s="246" t="str">
        <f t="shared" ca="1" si="3"/>
        <v>C-11 Compounds</v>
      </c>
      <c r="G54" s="246">
        <f t="shared" ca="1" si="4"/>
        <v>156.30826000000002</v>
      </c>
      <c r="H54" s="204" t="str">
        <f ca="1">IF(G54="","",IF(VLOOKUP(Separator!F54,'Species Data'!D:F,3,FALSE)=0,"X",IF(G54&lt;44.1,2,1)))</f>
        <v>X</v>
      </c>
      <c r="I54" s="204">
        <f t="shared" ca="1" si="5"/>
        <v>4.6000061333415108E-3</v>
      </c>
      <c r="J54" s="247" t="str">
        <f ca="1">IF(I54="","",IF(COUNTIF($D$12:D54,D54)=1,IF(H54=1,I54*H54,IF(H54="X","X",0)),0))</f>
        <v>X</v>
      </c>
      <c r="K54" s="248">
        <f t="shared" ca="1" si="6"/>
        <v>0</v>
      </c>
      <c r="L54" s="197" t="s">
        <v>678</v>
      </c>
      <c r="M54" s="197" t="s">
        <v>448</v>
      </c>
      <c r="N54" s="197" t="s">
        <v>470</v>
      </c>
      <c r="O54" s="198">
        <v>41419</v>
      </c>
      <c r="P54" s="197" t="s">
        <v>531</v>
      </c>
      <c r="Q54" s="199">
        <v>100</v>
      </c>
      <c r="R54" s="197" t="s">
        <v>445</v>
      </c>
      <c r="S54" s="197" t="s">
        <v>532</v>
      </c>
      <c r="T54" s="197" t="s">
        <v>445</v>
      </c>
      <c r="U54" s="197" t="s">
        <v>446</v>
      </c>
      <c r="V54" s="199" t="b">
        <v>1</v>
      </c>
      <c r="W54" s="199">
        <v>1989</v>
      </c>
      <c r="X54" s="199">
        <v>5</v>
      </c>
      <c r="Y54" s="199">
        <v>2</v>
      </c>
      <c r="Z54" s="199">
        <v>4</v>
      </c>
      <c r="AA54" s="197" t="s">
        <v>447</v>
      </c>
      <c r="AB54" s="197" t="s">
        <v>531</v>
      </c>
      <c r="AC54" s="197" t="s">
        <v>533</v>
      </c>
      <c r="AD54" s="199">
        <v>1.8588359999999999</v>
      </c>
      <c r="AE54" s="199">
        <v>1929</v>
      </c>
      <c r="AF54" s="199">
        <v>4.0000000000000001E-3</v>
      </c>
      <c r="AG54" s="199">
        <v>-99</v>
      </c>
      <c r="AH54" s="197" t="s">
        <v>224</v>
      </c>
      <c r="AI54" s="197" t="s">
        <v>449</v>
      </c>
      <c r="AJ54" s="197" t="s">
        <v>224</v>
      </c>
      <c r="AK54" s="197" t="s">
        <v>531</v>
      </c>
      <c r="AL54" s="197" t="s">
        <v>467</v>
      </c>
      <c r="AM54" s="199" t="b">
        <v>0</v>
      </c>
      <c r="AN54" s="199" t="b">
        <v>0</v>
      </c>
      <c r="AO54" s="197" t="s">
        <v>468</v>
      </c>
      <c r="AP54" s="197" t="s">
        <v>469</v>
      </c>
      <c r="AQ54" s="199">
        <v>156.30826000000002</v>
      </c>
      <c r="AR54" s="199" t="b">
        <v>0</v>
      </c>
      <c r="AS54" s="197" t="s">
        <v>534</v>
      </c>
    </row>
    <row r="55" spans="1:45" s="219" customFormat="1" x14ac:dyDescent="0.25">
      <c r="A55" s="245">
        <f t="shared" si="7"/>
        <v>55</v>
      </c>
      <c r="B55" s="246" t="str">
        <f t="shared" si="0"/>
        <v>Oil Field - Separator</v>
      </c>
      <c r="C55" s="246" t="str">
        <f ca="1">IF(B55="","",VLOOKUP(D55,'Species Data'!B:E,4,FALSE))</f>
        <v>c5_comp</v>
      </c>
      <c r="D55" s="246">
        <f t="shared" ca="1" si="1"/>
        <v>1986</v>
      </c>
      <c r="E55" s="246">
        <f t="shared" ca="1" si="2"/>
        <v>0.7107</v>
      </c>
      <c r="F55" s="246" t="str">
        <f t="shared" ca="1" si="3"/>
        <v>C-5 Compounds</v>
      </c>
      <c r="G55" s="246">
        <f t="shared" ca="1" si="4"/>
        <v>72.148780000000002</v>
      </c>
      <c r="H55" s="204" t="str">
        <f ca="1">IF(G55="","",IF(VLOOKUP(Separator!F55,'Species Data'!D:F,3,FALSE)=0,"X",IF(G55&lt;44.1,2,1)))</f>
        <v>X</v>
      </c>
      <c r="I55" s="204">
        <f t="shared" ca="1" si="5"/>
        <v>2.7757370343160455</v>
      </c>
      <c r="J55" s="247" t="str">
        <f ca="1">IF(I55="","",IF(COUNTIF($D$12:D55,D55)=1,IF(H55=1,I55*H55,IF(H55="X","X",0)),0))</f>
        <v>X</v>
      </c>
      <c r="K55" s="248">
        <f t="shared" ca="1" si="6"/>
        <v>0</v>
      </c>
      <c r="L55" s="197" t="s">
        <v>678</v>
      </c>
      <c r="M55" s="197" t="s">
        <v>448</v>
      </c>
      <c r="N55" s="197" t="s">
        <v>470</v>
      </c>
      <c r="O55" s="198">
        <v>41419</v>
      </c>
      <c r="P55" s="197" t="s">
        <v>531</v>
      </c>
      <c r="Q55" s="199">
        <v>100</v>
      </c>
      <c r="R55" s="197" t="s">
        <v>445</v>
      </c>
      <c r="S55" s="197" t="s">
        <v>532</v>
      </c>
      <c r="T55" s="197" t="s">
        <v>445</v>
      </c>
      <c r="U55" s="197" t="s">
        <v>446</v>
      </c>
      <c r="V55" s="199" t="b">
        <v>1</v>
      </c>
      <c r="W55" s="199">
        <v>1989</v>
      </c>
      <c r="X55" s="199">
        <v>5</v>
      </c>
      <c r="Y55" s="199">
        <v>2</v>
      </c>
      <c r="Z55" s="199">
        <v>4</v>
      </c>
      <c r="AA55" s="197" t="s">
        <v>447</v>
      </c>
      <c r="AB55" s="197" t="s">
        <v>531</v>
      </c>
      <c r="AC55" s="197" t="s">
        <v>533</v>
      </c>
      <c r="AD55" s="199">
        <v>1.8588359999999999</v>
      </c>
      <c r="AE55" s="199">
        <v>1986</v>
      </c>
      <c r="AF55" s="199">
        <v>0.7107</v>
      </c>
      <c r="AG55" s="199">
        <v>-99</v>
      </c>
      <c r="AH55" s="197" t="s">
        <v>224</v>
      </c>
      <c r="AI55" s="197" t="s">
        <v>449</v>
      </c>
      <c r="AJ55" s="197" t="s">
        <v>224</v>
      </c>
      <c r="AK55" s="197" t="s">
        <v>531</v>
      </c>
      <c r="AL55" s="197" t="s">
        <v>537</v>
      </c>
      <c r="AM55" s="199" t="b">
        <v>0</v>
      </c>
      <c r="AN55" s="199" t="b">
        <v>0</v>
      </c>
      <c r="AO55" s="197" t="s">
        <v>538</v>
      </c>
      <c r="AP55" s="197" t="s">
        <v>539</v>
      </c>
      <c r="AQ55" s="199">
        <v>72.148780000000002</v>
      </c>
      <c r="AR55" s="199" t="b">
        <v>0</v>
      </c>
      <c r="AS55" s="197" t="s">
        <v>534</v>
      </c>
    </row>
    <row r="56" spans="1:45" s="219" customFormat="1" x14ac:dyDescent="0.25">
      <c r="A56" s="245">
        <f t="shared" si="7"/>
        <v>56</v>
      </c>
      <c r="B56" s="246" t="str">
        <f t="shared" si="0"/>
        <v>Oil Field - Separator</v>
      </c>
      <c r="C56" s="246" t="str">
        <f ca="1">IF(B56="","",VLOOKUP(D56,'Species Data'!B:E,4,FALSE))</f>
        <v>c6_comp</v>
      </c>
      <c r="D56" s="246">
        <f t="shared" ca="1" si="1"/>
        <v>1999</v>
      </c>
      <c r="E56" s="246">
        <f t="shared" ca="1" si="2"/>
        <v>3.1</v>
      </c>
      <c r="F56" s="246" t="str">
        <f t="shared" ca="1" si="3"/>
        <v>C-6 Compounds</v>
      </c>
      <c r="G56" s="246">
        <f t="shared" ca="1" si="4"/>
        <v>86.175359999999998</v>
      </c>
      <c r="H56" s="204" t="str">
        <f ca="1">IF(G56="","",IF(VLOOKUP(Separator!F56,'Species Data'!D:F,3,FALSE)=0,"X",IF(G56&lt;44.1,2,1)))</f>
        <v>X</v>
      </c>
      <c r="I56" s="204">
        <f t="shared" ca="1" si="5"/>
        <v>2.6818369091158787</v>
      </c>
      <c r="J56" s="247" t="str">
        <f ca="1">IF(I56="","",IF(COUNTIF($D$12:D56,D56)=1,IF(H56=1,I56*H56,IF(H56="X","X",0)),0))</f>
        <v>X</v>
      </c>
      <c r="K56" s="248">
        <f t="shared" ca="1" si="6"/>
        <v>0</v>
      </c>
      <c r="L56" s="197" t="s">
        <v>678</v>
      </c>
      <c r="M56" s="197" t="s">
        <v>448</v>
      </c>
      <c r="N56" s="197" t="s">
        <v>470</v>
      </c>
      <c r="O56" s="198">
        <v>41419</v>
      </c>
      <c r="P56" s="197" t="s">
        <v>531</v>
      </c>
      <c r="Q56" s="199">
        <v>100</v>
      </c>
      <c r="R56" s="197" t="s">
        <v>445</v>
      </c>
      <c r="S56" s="197" t="s">
        <v>532</v>
      </c>
      <c r="T56" s="197" t="s">
        <v>445</v>
      </c>
      <c r="U56" s="197" t="s">
        <v>446</v>
      </c>
      <c r="V56" s="199" t="b">
        <v>1</v>
      </c>
      <c r="W56" s="199">
        <v>1989</v>
      </c>
      <c r="X56" s="199">
        <v>5</v>
      </c>
      <c r="Y56" s="199">
        <v>2</v>
      </c>
      <c r="Z56" s="199">
        <v>4</v>
      </c>
      <c r="AA56" s="197" t="s">
        <v>447</v>
      </c>
      <c r="AB56" s="197" t="s">
        <v>531</v>
      </c>
      <c r="AC56" s="197" t="s">
        <v>533</v>
      </c>
      <c r="AD56" s="199">
        <v>1.8588359999999999</v>
      </c>
      <c r="AE56" s="199">
        <v>1999</v>
      </c>
      <c r="AF56" s="199">
        <v>3.1</v>
      </c>
      <c r="AG56" s="199">
        <v>-99</v>
      </c>
      <c r="AH56" s="197" t="s">
        <v>224</v>
      </c>
      <c r="AI56" s="197" t="s">
        <v>449</v>
      </c>
      <c r="AJ56" s="197" t="s">
        <v>224</v>
      </c>
      <c r="AK56" s="197" t="s">
        <v>531</v>
      </c>
      <c r="AL56" s="197" t="s">
        <v>540</v>
      </c>
      <c r="AM56" s="199" t="b">
        <v>0</v>
      </c>
      <c r="AN56" s="199" t="b">
        <v>0</v>
      </c>
      <c r="AO56" s="197" t="s">
        <v>541</v>
      </c>
      <c r="AP56" s="197" t="s">
        <v>542</v>
      </c>
      <c r="AQ56" s="199">
        <v>86.175359999999998</v>
      </c>
      <c r="AR56" s="199" t="b">
        <v>0</v>
      </c>
      <c r="AS56" s="197" t="s">
        <v>534</v>
      </c>
    </row>
    <row r="57" spans="1:45" s="219" customFormat="1" x14ac:dyDescent="0.25">
      <c r="A57" s="245">
        <f t="shared" si="7"/>
        <v>57</v>
      </c>
      <c r="B57" s="246" t="str">
        <f t="shared" si="0"/>
        <v>Oil Field - Separator</v>
      </c>
      <c r="C57" s="246" t="str">
        <f ca="1">IF(B57="","",VLOOKUP(D57,'Species Data'!B:E,4,FALSE))</f>
        <v>c7_comp</v>
      </c>
      <c r="D57" s="246">
        <f t="shared" ca="1" si="1"/>
        <v>2005</v>
      </c>
      <c r="E57" s="246">
        <f t="shared" ca="1" si="2"/>
        <v>1.5895999999999999</v>
      </c>
      <c r="F57" s="246" t="str">
        <f t="shared" ca="1" si="3"/>
        <v>C-7 Compounds</v>
      </c>
      <c r="G57" s="246">
        <f t="shared" ca="1" si="4"/>
        <v>100.20194000000001</v>
      </c>
      <c r="H57" s="204" t="str">
        <f ca="1">IF(G57="","",IF(VLOOKUP(Separator!F57,'Species Data'!D:F,3,FALSE)=0,"X",IF(G57&lt;44.1,2,1)))</f>
        <v>X</v>
      </c>
      <c r="I57" s="204">
        <f t="shared" ca="1" si="5"/>
        <v>1.4050685400913865</v>
      </c>
      <c r="J57" s="247" t="str">
        <f ca="1">IF(I57="","",IF(COUNTIF($D$12:D57,D57)=1,IF(H57=1,I57*H57,IF(H57="X","X",0)),0))</f>
        <v>X</v>
      </c>
      <c r="K57" s="248">
        <f t="shared" ca="1" si="6"/>
        <v>0</v>
      </c>
      <c r="L57" s="197" t="s">
        <v>678</v>
      </c>
      <c r="M57" s="197" t="s">
        <v>448</v>
      </c>
      <c r="N57" s="197" t="s">
        <v>470</v>
      </c>
      <c r="O57" s="198">
        <v>41419</v>
      </c>
      <c r="P57" s="197" t="s">
        <v>531</v>
      </c>
      <c r="Q57" s="199">
        <v>100</v>
      </c>
      <c r="R57" s="197" t="s">
        <v>445</v>
      </c>
      <c r="S57" s="197" t="s">
        <v>532</v>
      </c>
      <c r="T57" s="197" t="s">
        <v>445</v>
      </c>
      <c r="U57" s="197" t="s">
        <v>446</v>
      </c>
      <c r="V57" s="199" t="b">
        <v>1</v>
      </c>
      <c r="W57" s="199">
        <v>1989</v>
      </c>
      <c r="X57" s="199">
        <v>5</v>
      </c>
      <c r="Y57" s="199">
        <v>2</v>
      </c>
      <c r="Z57" s="199">
        <v>4</v>
      </c>
      <c r="AA57" s="197" t="s">
        <v>447</v>
      </c>
      <c r="AB57" s="197" t="s">
        <v>531</v>
      </c>
      <c r="AC57" s="197" t="s">
        <v>533</v>
      </c>
      <c r="AD57" s="199">
        <v>1.8588359999999999</v>
      </c>
      <c r="AE57" s="199">
        <v>2005</v>
      </c>
      <c r="AF57" s="199">
        <v>1.5895999999999999</v>
      </c>
      <c r="AG57" s="199">
        <v>-99</v>
      </c>
      <c r="AH57" s="197" t="s">
        <v>224</v>
      </c>
      <c r="AI57" s="197" t="s">
        <v>449</v>
      </c>
      <c r="AJ57" s="197" t="s">
        <v>224</v>
      </c>
      <c r="AK57" s="197" t="s">
        <v>531</v>
      </c>
      <c r="AL57" s="197" t="s">
        <v>543</v>
      </c>
      <c r="AM57" s="199" t="b">
        <v>0</v>
      </c>
      <c r="AN57" s="199" t="b">
        <v>0</v>
      </c>
      <c r="AO57" s="197" t="s">
        <v>544</v>
      </c>
      <c r="AP57" s="197" t="s">
        <v>545</v>
      </c>
      <c r="AQ57" s="199">
        <v>100.20194000000001</v>
      </c>
      <c r="AR57" s="199" t="b">
        <v>0</v>
      </c>
      <c r="AS57" s="197" t="s">
        <v>534</v>
      </c>
    </row>
    <row r="58" spans="1:45" s="219" customFormat="1" x14ac:dyDescent="0.25">
      <c r="A58" s="245">
        <f t="shared" si="7"/>
        <v>58</v>
      </c>
      <c r="B58" s="246" t="str">
        <f t="shared" si="0"/>
        <v>Oil Field - Separator</v>
      </c>
      <c r="C58" s="246" t="str">
        <f ca="1">IF(B58="","",VLOOKUP(D58,'Species Data'!B:E,4,FALSE))</f>
        <v>c8_comp</v>
      </c>
      <c r="D58" s="246">
        <f t="shared" ca="1" si="1"/>
        <v>2011</v>
      </c>
      <c r="E58" s="246">
        <f t="shared" ca="1" si="2"/>
        <v>1.0459000000000001</v>
      </c>
      <c r="F58" s="246" t="str">
        <f t="shared" ca="1" si="3"/>
        <v>C-8 Compounds</v>
      </c>
      <c r="G58" s="246">
        <f t="shared" ca="1" si="4"/>
        <v>113.21160686946486</v>
      </c>
      <c r="H58" s="204" t="str">
        <f ca="1">IF(G58="","",IF(VLOOKUP(Separator!F58,'Species Data'!D:F,3,FALSE)=0,"X",IF(G58&lt;44.1,2,1)))</f>
        <v>X</v>
      </c>
      <c r="I58" s="204">
        <f t="shared" ca="1" si="5"/>
        <v>0.70320093760125013</v>
      </c>
      <c r="J58" s="247" t="str">
        <f ca="1">IF(I58="","",IF(COUNTIF($D$12:D58,D58)=1,IF(H58=1,I58*H58,IF(H58="X","X",0)),0))</f>
        <v>X</v>
      </c>
      <c r="K58" s="248">
        <f t="shared" ca="1" si="6"/>
        <v>0</v>
      </c>
      <c r="L58" s="197" t="s">
        <v>678</v>
      </c>
      <c r="M58" s="197" t="s">
        <v>448</v>
      </c>
      <c r="N58" s="197" t="s">
        <v>470</v>
      </c>
      <c r="O58" s="198">
        <v>41419</v>
      </c>
      <c r="P58" s="197" t="s">
        <v>531</v>
      </c>
      <c r="Q58" s="199">
        <v>100</v>
      </c>
      <c r="R58" s="197" t="s">
        <v>445</v>
      </c>
      <c r="S58" s="197" t="s">
        <v>532</v>
      </c>
      <c r="T58" s="197" t="s">
        <v>445</v>
      </c>
      <c r="U58" s="197" t="s">
        <v>446</v>
      </c>
      <c r="V58" s="199" t="b">
        <v>1</v>
      </c>
      <c r="W58" s="199">
        <v>1989</v>
      </c>
      <c r="X58" s="199">
        <v>5</v>
      </c>
      <c r="Y58" s="199">
        <v>2</v>
      </c>
      <c r="Z58" s="199">
        <v>4</v>
      </c>
      <c r="AA58" s="197" t="s">
        <v>447</v>
      </c>
      <c r="AB58" s="197" t="s">
        <v>531</v>
      </c>
      <c r="AC58" s="197" t="s">
        <v>533</v>
      </c>
      <c r="AD58" s="199">
        <v>1.8588359999999999</v>
      </c>
      <c r="AE58" s="199">
        <v>2011</v>
      </c>
      <c r="AF58" s="199">
        <v>1.0459000000000001</v>
      </c>
      <c r="AG58" s="199">
        <v>-99</v>
      </c>
      <c r="AH58" s="197" t="s">
        <v>224</v>
      </c>
      <c r="AI58" s="197" t="s">
        <v>449</v>
      </c>
      <c r="AJ58" s="197" t="s">
        <v>224</v>
      </c>
      <c r="AK58" s="197" t="s">
        <v>531</v>
      </c>
      <c r="AL58" s="197" t="s">
        <v>546</v>
      </c>
      <c r="AM58" s="199" t="b">
        <v>0</v>
      </c>
      <c r="AN58" s="199" t="b">
        <v>0</v>
      </c>
      <c r="AO58" s="197" t="s">
        <v>547</v>
      </c>
      <c r="AP58" s="197" t="s">
        <v>548</v>
      </c>
      <c r="AQ58" s="199">
        <v>113.21160686946486</v>
      </c>
      <c r="AR58" s="199" t="b">
        <v>0</v>
      </c>
      <c r="AS58" s="197" t="s">
        <v>534</v>
      </c>
    </row>
    <row r="59" spans="1:45" s="219" customFormat="1" x14ac:dyDescent="0.25">
      <c r="A59" s="245">
        <f t="shared" si="7"/>
        <v>59</v>
      </c>
      <c r="B59" s="246" t="str">
        <f t="shared" si="0"/>
        <v>Oil Field - Separator</v>
      </c>
      <c r="C59" s="246" t="str">
        <f ca="1">IF(B59="","",VLOOKUP(D59,'Species Data'!B:E,4,FALSE))</f>
        <v>c9_comp</v>
      </c>
      <c r="D59" s="246">
        <f t="shared" ca="1" si="1"/>
        <v>2018</v>
      </c>
      <c r="E59" s="246">
        <f t="shared" ca="1" si="2"/>
        <v>0.44619999999999999</v>
      </c>
      <c r="F59" s="246" t="str">
        <f t="shared" ca="1" si="3"/>
        <v>C-9 Compounds</v>
      </c>
      <c r="G59" s="246">
        <f t="shared" ca="1" si="4"/>
        <v>127.23917598649743</v>
      </c>
      <c r="H59" s="204" t="str">
        <f ca="1">IF(G59="","",IF(VLOOKUP(Separator!F59,'Species Data'!D:F,3,FALSE)=0,"X",IF(G59&lt;44.1,2,1)))</f>
        <v>X</v>
      </c>
      <c r="I59" s="204">
        <f t="shared" ca="1" si="5"/>
        <v>0.26796702395603189</v>
      </c>
      <c r="J59" s="247" t="str">
        <f ca="1">IF(I59="","",IF(COUNTIF($D$12:D59,D59)=1,IF(H59=1,I59*H59,IF(H59="X","X",0)),0))</f>
        <v>X</v>
      </c>
      <c r="K59" s="248">
        <f t="shared" ca="1" si="6"/>
        <v>0</v>
      </c>
      <c r="L59" s="197" t="s">
        <v>678</v>
      </c>
      <c r="M59" s="197" t="s">
        <v>448</v>
      </c>
      <c r="N59" s="197" t="s">
        <v>470</v>
      </c>
      <c r="O59" s="198">
        <v>41419</v>
      </c>
      <c r="P59" s="197" t="s">
        <v>531</v>
      </c>
      <c r="Q59" s="199">
        <v>100</v>
      </c>
      <c r="R59" s="197" t="s">
        <v>445</v>
      </c>
      <c r="S59" s="197" t="s">
        <v>532</v>
      </c>
      <c r="T59" s="197" t="s">
        <v>445</v>
      </c>
      <c r="U59" s="197" t="s">
        <v>446</v>
      </c>
      <c r="V59" s="199" t="b">
        <v>1</v>
      </c>
      <c r="W59" s="199">
        <v>1989</v>
      </c>
      <c r="X59" s="199">
        <v>5</v>
      </c>
      <c r="Y59" s="199">
        <v>2</v>
      </c>
      <c r="Z59" s="199">
        <v>4</v>
      </c>
      <c r="AA59" s="197" t="s">
        <v>447</v>
      </c>
      <c r="AB59" s="197" t="s">
        <v>531</v>
      </c>
      <c r="AC59" s="197" t="s">
        <v>533</v>
      </c>
      <c r="AD59" s="199">
        <v>1.8588359999999999</v>
      </c>
      <c r="AE59" s="199">
        <v>2018</v>
      </c>
      <c r="AF59" s="199">
        <v>0.44619999999999999</v>
      </c>
      <c r="AG59" s="199">
        <v>-99</v>
      </c>
      <c r="AH59" s="197" t="s">
        <v>224</v>
      </c>
      <c r="AI59" s="197" t="s">
        <v>449</v>
      </c>
      <c r="AJ59" s="197" t="s">
        <v>224</v>
      </c>
      <c r="AK59" s="197" t="s">
        <v>531</v>
      </c>
      <c r="AL59" s="197" t="s">
        <v>464</v>
      </c>
      <c r="AM59" s="199" t="b">
        <v>0</v>
      </c>
      <c r="AN59" s="199" t="b">
        <v>0</v>
      </c>
      <c r="AO59" s="197" t="s">
        <v>549</v>
      </c>
      <c r="AP59" s="197" t="s">
        <v>550</v>
      </c>
      <c r="AQ59" s="199">
        <v>127.23917598649743</v>
      </c>
      <c r="AR59" s="199" t="b">
        <v>0</v>
      </c>
      <c r="AS59" s="197" t="s">
        <v>534</v>
      </c>
    </row>
    <row r="60" spans="1:45" s="219" customFormat="1" x14ac:dyDescent="0.25">
      <c r="A60" s="245">
        <f t="shared" si="7"/>
        <v>60</v>
      </c>
      <c r="B60" s="246" t="str">
        <f t="shared" si="0"/>
        <v>Oil Field - Separator</v>
      </c>
      <c r="C60" s="246" t="str">
        <f ca="1">IF(B60="","",VLOOKUP(D60,'Species Data'!B:E,4,FALSE))</f>
        <v>trimethben135</v>
      </c>
      <c r="D60" s="246">
        <f t="shared" ca="1" si="1"/>
        <v>44</v>
      </c>
      <c r="E60" s="246">
        <f t="shared" ca="1" si="2"/>
        <v>9.1999999999999998E-3</v>
      </c>
      <c r="F60" s="246" t="str">
        <f t="shared" ca="1" si="3"/>
        <v>1,3,5-trimethylbenzene</v>
      </c>
      <c r="G60" s="246">
        <f t="shared" ca="1" si="4"/>
        <v>120.19158</v>
      </c>
      <c r="H60" s="204">
        <f ca="1">IF(G60="","",IF(VLOOKUP(Separator!F60,'Species Data'!D:F,3,FALSE)=0,"X",IF(G60&lt;44.1,2,1)))</f>
        <v>1</v>
      </c>
      <c r="I60" s="204">
        <f t="shared" ca="1" si="5"/>
        <v>3.0666707555610071E-3</v>
      </c>
      <c r="J60" s="247">
        <f ca="1">IF(I60="","",IF(COUNTIF($D$12:D60,D60)=1,IF(H60=1,I60*H60,IF(H60="X","X",0)),0))</f>
        <v>3.0666707555610071E-3</v>
      </c>
      <c r="K60" s="248">
        <f t="shared" ca="1" si="6"/>
        <v>7.486577055594348E-3</v>
      </c>
      <c r="L60" s="197" t="s">
        <v>678</v>
      </c>
      <c r="M60" s="197" t="s">
        <v>448</v>
      </c>
      <c r="N60" s="197" t="s">
        <v>470</v>
      </c>
      <c r="O60" s="198">
        <v>41419</v>
      </c>
      <c r="P60" s="197" t="s">
        <v>531</v>
      </c>
      <c r="Q60" s="199">
        <v>100</v>
      </c>
      <c r="R60" s="197" t="s">
        <v>445</v>
      </c>
      <c r="S60" s="197" t="s">
        <v>532</v>
      </c>
      <c r="T60" s="197" t="s">
        <v>445</v>
      </c>
      <c r="U60" s="197" t="s">
        <v>446</v>
      </c>
      <c r="V60" s="199" t="b">
        <v>1</v>
      </c>
      <c r="W60" s="199">
        <v>1989</v>
      </c>
      <c r="X60" s="199">
        <v>5</v>
      </c>
      <c r="Y60" s="199">
        <v>2</v>
      </c>
      <c r="Z60" s="199">
        <v>4</v>
      </c>
      <c r="AA60" s="197" t="s">
        <v>447</v>
      </c>
      <c r="AB60" s="197" t="s">
        <v>531</v>
      </c>
      <c r="AC60" s="197" t="s">
        <v>533</v>
      </c>
      <c r="AD60" s="199">
        <v>1.9008879999999999</v>
      </c>
      <c r="AE60" s="199">
        <v>44</v>
      </c>
      <c r="AF60" s="199">
        <v>9.1999999999999998E-3</v>
      </c>
      <c r="AG60" s="199">
        <v>-99</v>
      </c>
      <c r="AH60" s="197" t="s">
        <v>224</v>
      </c>
      <c r="AI60" s="197" t="s">
        <v>449</v>
      </c>
      <c r="AJ60" s="197" t="s">
        <v>400</v>
      </c>
      <c r="AK60" s="197" t="s">
        <v>531</v>
      </c>
      <c r="AL60" s="197" t="s">
        <v>401</v>
      </c>
      <c r="AM60" s="199" t="b">
        <v>1</v>
      </c>
      <c r="AN60" s="199" t="b">
        <v>0</v>
      </c>
      <c r="AO60" s="197" t="s">
        <v>402</v>
      </c>
      <c r="AP60" s="197" t="s">
        <v>403</v>
      </c>
      <c r="AQ60" s="199">
        <v>120.19158</v>
      </c>
      <c r="AR60" s="199" t="b">
        <v>0</v>
      </c>
      <c r="AS60" s="197" t="s">
        <v>534</v>
      </c>
    </row>
    <row r="61" spans="1:45" s="219" customFormat="1" x14ac:dyDescent="0.25">
      <c r="A61" s="245">
        <f t="shared" si="7"/>
        <v>61</v>
      </c>
      <c r="B61" s="246" t="str">
        <f t="shared" si="0"/>
        <v>Oil Field - Separator</v>
      </c>
      <c r="C61" s="246" t="str">
        <f ca="1">IF(B61="","",VLOOKUP(D61,'Species Data'!B:E,4,FALSE))</f>
        <v>ethben12</v>
      </c>
      <c r="D61" s="246">
        <f t="shared" ca="1" si="1"/>
        <v>80</v>
      </c>
      <c r="E61" s="246">
        <f t="shared" ca="1" si="2"/>
        <v>6.6E-3</v>
      </c>
      <c r="F61" s="246" t="str">
        <f t="shared" ca="1" si="3"/>
        <v>1-Methyl-2-ethylbenzene</v>
      </c>
      <c r="G61" s="246">
        <f t="shared" ca="1" si="4"/>
        <v>120.19158</v>
      </c>
      <c r="H61" s="204">
        <f ca="1">IF(G61="","",IF(VLOOKUP(Separator!F61,'Species Data'!D:F,3,FALSE)=0,"X",IF(G61&lt;44.1,2,1)))</f>
        <v>1</v>
      </c>
      <c r="I61" s="204">
        <f t="shared" ca="1" si="5"/>
        <v>5.1000068000090657E-3</v>
      </c>
      <c r="J61" s="247">
        <f ca="1">IF(I61="","",IF(COUNTIF($D$12:D61,D61)=1,IF(H61=1,I61*H61,IF(H61="X","X",0)),0))</f>
        <v>0</v>
      </c>
      <c r="K61" s="248">
        <f t="shared" ca="1" si="6"/>
        <v>0</v>
      </c>
      <c r="L61" s="197" t="s">
        <v>678</v>
      </c>
      <c r="M61" s="197" t="s">
        <v>448</v>
      </c>
      <c r="N61" s="197" t="s">
        <v>470</v>
      </c>
      <c r="O61" s="198">
        <v>41419</v>
      </c>
      <c r="P61" s="197" t="s">
        <v>531</v>
      </c>
      <c r="Q61" s="199">
        <v>100</v>
      </c>
      <c r="R61" s="197" t="s">
        <v>445</v>
      </c>
      <c r="S61" s="197" t="s">
        <v>532</v>
      </c>
      <c r="T61" s="197" t="s">
        <v>445</v>
      </c>
      <c r="U61" s="197" t="s">
        <v>446</v>
      </c>
      <c r="V61" s="199" t="b">
        <v>1</v>
      </c>
      <c r="W61" s="199">
        <v>1989</v>
      </c>
      <c r="X61" s="199">
        <v>5</v>
      </c>
      <c r="Y61" s="199">
        <v>2</v>
      </c>
      <c r="Z61" s="199">
        <v>4</v>
      </c>
      <c r="AA61" s="197" t="s">
        <v>447</v>
      </c>
      <c r="AB61" s="197" t="s">
        <v>531</v>
      </c>
      <c r="AC61" s="197" t="s">
        <v>533</v>
      </c>
      <c r="AD61" s="199">
        <v>1.9008879999999999</v>
      </c>
      <c r="AE61" s="199">
        <v>80</v>
      </c>
      <c r="AF61" s="199">
        <v>6.6E-3</v>
      </c>
      <c r="AG61" s="199">
        <v>-99</v>
      </c>
      <c r="AH61" s="197" t="s">
        <v>224</v>
      </c>
      <c r="AI61" s="197" t="s">
        <v>449</v>
      </c>
      <c r="AJ61" s="197" t="s">
        <v>408</v>
      </c>
      <c r="AK61" s="197" t="s">
        <v>531</v>
      </c>
      <c r="AL61" s="197" t="s">
        <v>450</v>
      </c>
      <c r="AM61" s="199" t="b">
        <v>1</v>
      </c>
      <c r="AN61" s="199" t="b">
        <v>0</v>
      </c>
      <c r="AO61" s="197" t="s">
        <v>409</v>
      </c>
      <c r="AP61" s="197" t="s">
        <v>410</v>
      </c>
      <c r="AQ61" s="199">
        <v>120.19158</v>
      </c>
      <c r="AR61" s="199" t="b">
        <v>0</v>
      </c>
      <c r="AS61" s="197" t="s">
        <v>534</v>
      </c>
    </row>
    <row r="62" spans="1:45" s="219" customFormat="1" x14ac:dyDescent="0.25">
      <c r="A62" s="245">
        <f t="shared" si="7"/>
        <v>62</v>
      </c>
      <c r="B62" s="246" t="str">
        <f t="shared" si="0"/>
        <v>Oil Field - Separator</v>
      </c>
      <c r="C62" s="246" t="str">
        <f ca="1">IF(B62="","",VLOOKUP(D62,'Species Data'!B:E,4,FALSE))</f>
        <v>ethben13</v>
      </c>
      <c r="D62" s="246">
        <f t="shared" ca="1" si="1"/>
        <v>89</v>
      </c>
      <c r="E62" s="246">
        <f t="shared" ca="1" si="2"/>
        <v>5.0000000000000001E-3</v>
      </c>
      <c r="F62" s="246" t="str">
        <f t="shared" ca="1" si="3"/>
        <v>1-Methyl-3-ethylbenzene (3-Ethyltoluene)</v>
      </c>
      <c r="G62" s="246">
        <f t="shared" ca="1" si="4"/>
        <v>120.19158</v>
      </c>
      <c r="H62" s="204">
        <f ca="1">IF(G62="","",IF(VLOOKUP(Separator!F62,'Species Data'!D:F,3,FALSE)=0,"X",IF(G62&lt;44.1,2,1)))</f>
        <v>1</v>
      </c>
      <c r="I62" s="204">
        <f t="shared" ca="1" si="5"/>
        <v>4.7666730222306955E-3</v>
      </c>
      <c r="J62" s="247">
        <f ca="1">IF(I62="","",IF(COUNTIF($D$12:D62,D62)=1,IF(H62=1,I62*H62,IF(H62="X","X",0)),0))</f>
        <v>0</v>
      </c>
      <c r="K62" s="248">
        <f t="shared" ca="1" si="6"/>
        <v>0</v>
      </c>
      <c r="L62" s="197" t="s">
        <v>678</v>
      </c>
      <c r="M62" s="197" t="s">
        <v>448</v>
      </c>
      <c r="N62" s="197" t="s">
        <v>470</v>
      </c>
      <c r="O62" s="198">
        <v>41419</v>
      </c>
      <c r="P62" s="197" t="s">
        <v>531</v>
      </c>
      <c r="Q62" s="199">
        <v>100</v>
      </c>
      <c r="R62" s="197" t="s">
        <v>445</v>
      </c>
      <c r="S62" s="197" t="s">
        <v>532</v>
      </c>
      <c r="T62" s="197" t="s">
        <v>445</v>
      </c>
      <c r="U62" s="197" t="s">
        <v>446</v>
      </c>
      <c r="V62" s="199" t="b">
        <v>1</v>
      </c>
      <c r="W62" s="199">
        <v>1989</v>
      </c>
      <c r="X62" s="199">
        <v>5</v>
      </c>
      <c r="Y62" s="199">
        <v>2</v>
      </c>
      <c r="Z62" s="199">
        <v>4</v>
      </c>
      <c r="AA62" s="197" t="s">
        <v>447</v>
      </c>
      <c r="AB62" s="197" t="s">
        <v>531</v>
      </c>
      <c r="AC62" s="197" t="s">
        <v>533</v>
      </c>
      <c r="AD62" s="199">
        <v>1.9008879999999999</v>
      </c>
      <c r="AE62" s="199">
        <v>89</v>
      </c>
      <c r="AF62" s="199">
        <v>5.0000000000000001E-3</v>
      </c>
      <c r="AG62" s="199">
        <v>-99</v>
      </c>
      <c r="AH62" s="197" t="s">
        <v>224</v>
      </c>
      <c r="AI62" s="197" t="s">
        <v>449</v>
      </c>
      <c r="AJ62" s="197" t="s">
        <v>411</v>
      </c>
      <c r="AK62" s="197" t="s">
        <v>531</v>
      </c>
      <c r="AL62" s="197" t="s">
        <v>451</v>
      </c>
      <c r="AM62" s="199" t="b">
        <v>1</v>
      </c>
      <c r="AN62" s="199" t="b">
        <v>0</v>
      </c>
      <c r="AO62" s="197" t="s">
        <v>412</v>
      </c>
      <c r="AP62" s="197" t="s">
        <v>413</v>
      </c>
      <c r="AQ62" s="199">
        <v>120.19158</v>
      </c>
      <c r="AR62" s="199" t="b">
        <v>0</v>
      </c>
      <c r="AS62" s="197" t="s">
        <v>534</v>
      </c>
    </row>
    <row r="63" spans="1:45" s="219" customFormat="1" ht="15" customHeight="1" x14ac:dyDescent="0.25">
      <c r="A63" s="245">
        <f t="shared" si="7"/>
        <v>63</v>
      </c>
      <c r="B63" s="246" t="str">
        <f t="shared" si="0"/>
        <v>Oil Field - Separator</v>
      </c>
      <c r="C63" s="246" t="str">
        <f ca="1">IF(B63="","",VLOOKUP(D63,'Species Data'!B:E,4,FALSE))</f>
        <v>dimetbut22</v>
      </c>
      <c r="D63" s="246">
        <f t="shared" ca="1" si="1"/>
        <v>122</v>
      </c>
      <c r="E63" s="246">
        <f t="shared" ca="1" si="2"/>
        <v>0.17899999999999999</v>
      </c>
      <c r="F63" s="246" t="str">
        <f t="shared" ca="1" si="3"/>
        <v>2,2-dimethylbutane</v>
      </c>
      <c r="G63" s="246">
        <f t="shared" ca="1" si="4"/>
        <v>86.175359999999998</v>
      </c>
      <c r="H63" s="204">
        <f ca="1">IF(G63="","",IF(VLOOKUP(Separator!F63,'Species Data'!D:F,3,FALSE)=0,"X",IF(G63&lt;44.1,2,1)))</f>
        <v>1</v>
      </c>
      <c r="I63" s="204">
        <f t="shared" ca="1" si="5"/>
        <v>0.15476687302249734</v>
      </c>
      <c r="J63" s="247">
        <f ca="1">IF(I63="","",IF(COUNTIF($D$12:D63,D63)=1,IF(H63=1,I63*H63,IF(H63="X","X",0)),0))</f>
        <v>0</v>
      </c>
      <c r="K63" s="248">
        <f t="shared" ca="1" si="6"/>
        <v>0</v>
      </c>
      <c r="L63" s="197" t="s">
        <v>678</v>
      </c>
      <c r="M63" s="197" t="s">
        <v>448</v>
      </c>
      <c r="N63" s="197" t="s">
        <v>470</v>
      </c>
      <c r="O63" s="198">
        <v>41419</v>
      </c>
      <c r="P63" s="197" t="s">
        <v>531</v>
      </c>
      <c r="Q63" s="199">
        <v>100</v>
      </c>
      <c r="R63" s="197" t="s">
        <v>445</v>
      </c>
      <c r="S63" s="197" t="s">
        <v>532</v>
      </c>
      <c r="T63" s="197" t="s">
        <v>445</v>
      </c>
      <c r="U63" s="197" t="s">
        <v>446</v>
      </c>
      <c r="V63" s="199" t="b">
        <v>1</v>
      </c>
      <c r="W63" s="199">
        <v>1989</v>
      </c>
      <c r="X63" s="199">
        <v>5</v>
      </c>
      <c r="Y63" s="199">
        <v>2</v>
      </c>
      <c r="Z63" s="199">
        <v>4</v>
      </c>
      <c r="AA63" s="197" t="s">
        <v>447</v>
      </c>
      <c r="AB63" s="197" t="s">
        <v>531</v>
      </c>
      <c r="AC63" s="197" t="s">
        <v>533</v>
      </c>
      <c r="AD63" s="199">
        <v>1.9008879999999999</v>
      </c>
      <c r="AE63" s="199">
        <v>122</v>
      </c>
      <c r="AF63" s="199">
        <v>0.17899999999999999</v>
      </c>
      <c r="AG63" s="199">
        <v>-99</v>
      </c>
      <c r="AH63" s="197" t="s">
        <v>224</v>
      </c>
      <c r="AI63" s="197" t="s">
        <v>449</v>
      </c>
      <c r="AJ63" s="197" t="s">
        <v>301</v>
      </c>
      <c r="AK63" s="197" t="s">
        <v>531</v>
      </c>
      <c r="AL63" s="197" t="s">
        <v>384</v>
      </c>
      <c r="AM63" s="199" t="b">
        <v>1</v>
      </c>
      <c r="AN63" s="199" t="b">
        <v>0</v>
      </c>
      <c r="AO63" s="197" t="s">
        <v>302</v>
      </c>
      <c r="AP63" s="197" t="s">
        <v>303</v>
      </c>
      <c r="AQ63" s="199">
        <v>86.175359999999998</v>
      </c>
      <c r="AR63" s="199" t="b">
        <v>0</v>
      </c>
      <c r="AS63" s="197" t="s">
        <v>534</v>
      </c>
    </row>
    <row r="64" spans="1:45" s="219" customFormat="1" x14ac:dyDescent="0.25">
      <c r="A64" s="245">
        <f t="shared" si="7"/>
        <v>64</v>
      </c>
      <c r="B64" s="246" t="str">
        <f t="shared" si="0"/>
        <v>Oil Field - Separator</v>
      </c>
      <c r="C64" s="246" t="str">
        <f ca="1">IF(B64="","",VLOOKUP(D64,'Species Data'!B:E,4,FALSE))</f>
        <v>dimethpro</v>
      </c>
      <c r="D64" s="246">
        <f t="shared" ca="1" si="1"/>
        <v>127</v>
      </c>
      <c r="E64" s="246">
        <f t="shared" ca="1" si="2"/>
        <v>0.1169</v>
      </c>
      <c r="F64" s="246" t="str">
        <f t="shared" ca="1" si="3"/>
        <v>2,2-dimethylpropane</v>
      </c>
      <c r="G64" s="246">
        <f t="shared" ca="1" si="4"/>
        <v>72.148780000000002</v>
      </c>
      <c r="H64" s="204">
        <f ca="1">IF(G64="","",IF(VLOOKUP(Separator!F64,'Species Data'!D:F,3,FALSE)=0,"X",IF(G64&lt;44.1,2,1)))</f>
        <v>1</v>
      </c>
      <c r="I64" s="204">
        <f t="shared" ca="1" si="5"/>
        <v>9.2800123733498288E-2</v>
      </c>
      <c r="J64" s="247">
        <f ca="1">IF(I64="","",IF(COUNTIF($D$12:D64,D64)=1,IF(H64=1,I64*H64,IF(H64="X","X",0)),0))</f>
        <v>0</v>
      </c>
      <c r="K64" s="248">
        <f t="shared" ca="1" si="6"/>
        <v>0</v>
      </c>
      <c r="L64" s="197" t="s">
        <v>678</v>
      </c>
      <c r="M64" s="197" t="s">
        <v>448</v>
      </c>
      <c r="N64" s="197" t="s">
        <v>470</v>
      </c>
      <c r="O64" s="198">
        <v>41419</v>
      </c>
      <c r="P64" s="197" t="s">
        <v>531</v>
      </c>
      <c r="Q64" s="199">
        <v>100</v>
      </c>
      <c r="R64" s="197" t="s">
        <v>445</v>
      </c>
      <c r="S64" s="197" t="s">
        <v>532</v>
      </c>
      <c r="T64" s="197" t="s">
        <v>445</v>
      </c>
      <c r="U64" s="197" t="s">
        <v>446</v>
      </c>
      <c r="V64" s="199" t="b">
        <v>1</v>
      </c>
      <c r="W64" s="199">
        <v>1989</v>
      </c>
      <c r="X64" s="199">
        <v>5</v>
      </c>
      <c r="Y64" s="199">
        <v>2</v>
      </c>
      <c r="Z64" s="199">
        <v>4</v>
      </c>
      <c r="AA64" s="197" t="s">
        <v>447</v>
      </c>
      <c r="AB64" s="197" t="s">
        <v>531</v>
      </c>
      <c r="AC64" s="197" t="s">
        <v>533</v>
      </c>
      <c r="AD64" s="199">
        <v>1.9008879999999999</v>
      </c>
      <c r="AE64" s="199">
        <v>127</v>
      </c>
      <c r="AF64" s="199">
        <v>0.1169</v>
      </c>
      <c r="AG64" s="199">
        <v>-99</v>
      </c>
      <c r="AH64" s="197" t="s">
        <v>224</v>
      </c>
      <c r="AI64" s="197" t="s">
        <v>449</v>
      </c>
      <c r="AJ64" s="197" t="s">
        <v>441</v>
      </c>
      <c r="AK64" s="197" t="s">
        <v>531</v>
      </c>
      <c r="AL64" s="197" t="s">
        <v>462</v>
      </c>
      <c r="AM64" s="199" t="b">
        <v>0</v>
      </c>
      <c r="AN64" s="199" t="b">
        <v>0</v>
      </c>
      <c r="AO64" s="197" t="s">
        <v>442</v>
      </c>
      <c r="AP64" s="197" t="s">
        <v>531</v>
      </c>
      <c r="AQ64" s="199">
        <v>72.148780000000002</v>
      </c>
      <c r="AR64" s="199" t="b">
        <v>0</v>
      </c>
      <c r="AS64" s="197" t="s">
        <v>534</v>
      </c>
    </row>
    <row r="65" spans="1:45" s="219" customFormat="1" x14ac:dyDescent="0.25">
      <c r="A65" s="245">
        <f t="shared" si="7"/>
        <v>65</v>
      </c>
      <c r="B65" s="246" t="str">
        <f t="shared" si="0"/>
        <v>Oil Field - Separator</v>
      </c>
      <c r="C65" s="246" t="str">
        <f ca="1">IF(B65="","",VLOOKUP(D65,'Species Data'!B:E,4,FALSE))</f>
        <v>trimentpen3</v>
      </c>
      <c r="D65" s="246">
        <f t="shared" ca="1" si="1"/>
        <v>130</v>
      </c>
      <c r="E65" s="246">
        <f t="shared" ca="1" si="2"/>
        <v>3.4299999999999997E-2</v>
      </c>
      <c r="F65" s="246" t="str">
        <f t="shared" ca="1" si="3"/>
        <v>2,3,4-trimethylpentane</v>
      </c>
      <c r="G65" s="246">
        <f t="shared" ca="1" si="4"/>
        <v>114.22852</v>
      </c>
      <c r="H65" s="204">
        <f ca="1">IF(G65="","",IF(VLOOKUP(Separator!F65,'Species Data'!D:F,3,FALSE)=0,"X",IF(G65&lt;44.1,2,1)))</f>
        <v>1</v>
      </c>
      <c r="I65" s="204">
        <f t="shared" ca="1" si="5"/>
        <v>0.1436668582224776</v>
      </c>
      <c r="J65" s="247">
        <f ca="1">IF(I65="","",IF(COUNTIF($D$12:D65,D65)=1,IF(H65=1,I65*H65,IF(H65="X","X",0)),0))</f>
        <v>0</v>
      </c>
      <c r="K65" s="248">
        <f t="shared" ca="1" si="6"/>
        <v>0</v>
      </c>
      <c r="L65" s="197" t="s">
        <v>678</v>
      </c>
      <c r="M65" s="197" t="s">
        <v>448</v>
      </c>
      <c r="N65" s="197" t="s">
        <v>470</v>
      </c>
      <c r="O65" s="198">
        <v>41419</v>
      </c>
      <c r="P65" s="197" t="s">
        <v>531</v>
      </c>
      <c r="Q65" s="199">
        <v>100</v>
      </c>
      <c r="R65" s="197" t="s">
        <v>445</v>
      </c>
      <c r="S65" s="197" t="s">
        <v>532</v>
      </c>
      <c r="T65" s="197" t="s">
        <v>445</v>
      </c>
      <c r="U65" s="197" t="s">
        <v>446</v>
      </c>
      <c r="V65" s="199" t="b">
        <v>1</v>
      </c>
      <c r="W65" s="199">
        <v>1989</v>
      </c>
      <c r="X65" s="199">
        <v>5</v>
      </c>
      <c r="Y65" s="199">
        <v>2</v>
      </c>
      <c r="Z65" s="199">
        <v>4</v>
      </c>
      <c r="AA65" s="197" t="s">
        <v>447</v>
      </c>
      <c r="AB65" s="197" t="s">
        <v>531</v>
      </c>
      <c r="AC65" s="197" t="s">
        <v>533</v>
      </c>
      <c r="AD65" s="199">
        <v>1.9008879999999999</v>
      </c>
      <c r="AE65" s="199">
        <v>130</v>
      </c>
      <c r="AF65" s="199">
        <v>3.4299999999999997E-2</v>
      </c>
      <c r="AG65" s="199">
        <v>-99</v>
      </c>
      <c r="AH65" s="197" t="s">
        <v>224</v>
      </c>
      <c r="AI65" s="197" t="s">
        <v>449</v>
      </c>
      <c r="AJ65" s="197" t="s">
        <v>404</v>
      </c>
      <c r="AK65" s="197" t="s">
        <v>531</v>
      </c>
      <c r="AL65" s="197" t="s">
        <v>405</v>
      </c>
      <c r="AM65" s="199" t="b">
        <v>1</v>
      </c>
      <c r="AN65" s="199" t="b">
        <v>0</v>
      </c>
      <c r="AO65" s="197" t="s">
        <v>406</v>
      </c>
      <c r="AP65" s="197" t="s">
        <v>407</v>
      </c>
      <c r="AQ65" s="199">
        <v>114.22852</v>
      </c>
      <c r="AR65" s="199" t="b">
        <v>0</v>
      </c>
      <c r="AS65" s="197" t="s">
        <v>534</v>
      </c>
    </row>
    <row r="66" spans="1:45" s="219" customFormat="1" x14ac:dyDescent="0.25">
      <c r="A66" s="245">
        <f t="shared" si="7"/>
        <v>66</v>
      </c>
      <c r="B66" s="246" t="str">
        <f t="shared" si="0"/>
        <v>Oil Field - Separator</v>
      </c>
      <c r="C66" s="246" t="str">
        <f ca="1">IF(B66="","",VLOOKUP(D66,'Species Data'!B:E,4,FALSE))</f>
        <v>dimetpen3</v>
      </c>
      <c r="D66" s="246">
        <f t="shared" ca="1" si="1"/>
        <v>140</v>
      </c>
      <c r="E66" s="246">
        <f t="shared" ca="1" si="2"/>
        <v>0.1905</v>
      </c>
      <c r="F66" s="246" t="str">
        <f t="shared" ca="1" si="3"/>
        <v>2,3-dimethylpentane</v>
      </c>
      <c r="G66" s="246">
        <f t="shared" ca="1" si="4"/>
        <v>100.20194000000001</v>
      </c>
      <c r="H66" s="204">
        <f ca="1">IF(G66="","",IF(VLOOKUP(Separator!F66,'Species Data'!D:F,3,FALSE)=0,"X",IF(G66&lt;44.1,2,1)))</f>
        <v>1</v>
      </c>
      <c r="I66" s="204">
        <f t="shared" ca="1" si="5"/>
        <v>0.20590027453369936</v>
      </c>
      <c r="J66" s="247">
        <f ca="1">IF(I66="","",IF(COUNTIF($D$12:D66,D66)=1,IF(H66=1,I66*H66,IF(H66="X","X",0)),0))</f>
        <v>0</v>
      </c>
      <c r="K66" s="248">
        <f t="shared" ca="1" si="6"/>
        <v>0</v>
      </c>
      <c r="L66" s="197" t="s">
        <v>678</v>
      </c>
      <c r="M66" s="197" t="s">
        <v>448</v>
      </c>
      <c r="N66" s="197" t="s">
        <v>470</v>
      </c>
      <c r="O66" s="198">
        <v>41419</v>
      </c>
      <c r="P66" s="197" t="s">
        <v>531</v>
      </c>
      <c r="Q66" s="199">
        <v>100</v>
      </c>
      <c r="R66" s="197" t="s">
        <v>445</v>
      </c>
      <c r="S66" s="197" t="s">
        <v>532</v>
      </c>
      <c r="T66" s="197" t="s">
        <v>445</v>
      </c>
      <c r="U66" s="197" t="s">
        <v>446</v>
      </c>
      <c r="V66" s="199" t="b">
        <v>1</v>
      </c>
      <c r="W66" s="199">
        <v>1989</v>
      </c>
      <c r="X66" s="199">
        <v>5</v>
      </c>
      <c r="Y66" s="199">
        <v>2</v>
      </c>
      <c r="Z66" s="199">
        <v>4</v>
      </c>
      <c r="AA66" s="197" t="s">
        <v>447</v>
      </c>
      <c r="AB66" s="197" t="s">
        <v>531</v>
      </c>
      <c r="AC66" s="197" t="s">
        <v>533</v>
      </c>
      <c r="AD66" s="199">
        <v>1.9008879999999999</v>
      </c>
      <c r="AE66" s="199">
        <v>140</v>
      </c>
      <c r="AF66" s="199">
        <v>0.1905</v>
      </c>
      <c r="AG66" s="199">
        <v>-99</v>
      </c>
      <c r="AH66" s="197" t="s">
        <v>224</v>
      </c>
      <c r="AI66" s="197" t="s">
        <v>449</v>
      </c>
      <c r="AJ66" s="197" t="s">
        <v>307</v>
      </c>
      <c r="AK66" s="197" t="s">
        <v>531</v>
      </c>
      <c r="AL66" s="197" t="s">
        <v>385</v>
      </c>
      <c r="AM66" s="199" t="b">
        <v>1</v>
      </c>
      <c r="AN66" s="199" t="b">
        <v>0</v>
      </c>
      <c r="AO66" s="197" t="s">
        <v>308</v>
      </c>
      <c r="AP66" s="197" t="s">
        <v>309</v>
      </c>
      <c r="AQ66" s="199">
        <v>100.20194000000001</v>
      </c>
      <c r="AR66" s="199" t="b">
        <v>0</v>
      </c>
      <c r="AS66" s="197" t="s">
        <v>534</v>
      </c>
    </row>
    <row r="67" spans="1:45" s="219" customFormat="1" ht="15" customHeight="1" x14ac:dyDescent="0.25">
      <c r="A67" s="245">
        <f t="shared" si="7"/>
        <v>67</v>
      </c>
      <c r="B67" s="246" t="str">
        <f t="shared" si="0"/>
        <v>Oil Field - Separator</v>
      </c>
      <c r="C67" s="246" t="str">
        <f ca="1">IF(B67="","",VLOOKUP(D67,'Species Data'!B:E,4,FALSE))</f>
        <v>dimetpen4</v>
      </c>
      <c r="D67" s="246">
        <f t="shared" ca="1" si="1"/>
        <v>152</v>
      </c>
      <c r="E67" s="246">
        <f t="shared" ca="1" si="2"/>
        <v>9.2799999999999994E-2</v>
      </c>
      <c r="F67" s="246" t="str">
        <f t="shared" ca="1" si="3"/>
        <v>2,4-dimethylpentane</v>
      </c>
      <c r="G67" s="246">
        <f t="shared" ca="1" si="4"/>
        <v>100.20194000000001</v>
      </c>
      <c r="H67" s="204">
        <f ca="1">IF(G67="","",IF(VLOOKUP(Separator!F67,'Species Data'!D:F,3,FALSE)=0,"X",IF(G67&lt;44.1,2,1)))</f>
        <v>1</v>
      </c>
      <c r="I67" s="204">
        <f t="shared" ca="1" si="5"/>
        <v>9.4800126400168522E-2</v>
      </c>
      <c r="J67" s="247">
        <f ca="1">IF(I67="","",IF(COUNTIF($D$12:D67,D67)=1,IF(H67=1,I67*H67,IF(H67="X","X",0)),0))</f>
        <v>0</v>
      </c>
      <c r="K67" s="248">
        <f t="shared" ca="1" si="6"/>
        <v>0</v>
      </c>
      <c r="L67" s="197" t="s">
        <v>678</v>
      </c>
      <c r="M67" s="197" t="s">
        <v>448</v>
      </c>
      <c r="N67" s="197" t="s">
        <v>470</v>
      </c>
      <c r="O67" s="198">
        <v>41419</v>
      </c>
      <c r="P67" s="197" t="s">
        <v>531</v>
      </c>
      <c r="Q67" s="199">
        <v>100</v>
      </c>
      <c r="R67" s="197" t="s">
        <v>445</v>
      </c>
      <c r="S67" s="197" t="s">
        <v>532</v>
      </c>
      <c r="T67" s="197" t="s">
        <v>445</v>
      </c>
      <c r="U67" s="197" t="s">
        <v>446</v>
      </c>
      <c r="V67" s="199" t="b">
        <v>1</v>
      </c>
      <c r="W67" s="199">
        <v>1989</v>
      </c>
      <c r="X67" s="199">
        <v>5</v>
      </c>
      <c r="Y67" s="199">
        <v>2</v>
      </c>
      <c r="Z67" s="199">
        <v>4</v>
      </c>
      <c r="AA67" s="197" t="s">
        <v>447</v>
      </c>
      <c r="AB67" s="197" t="s">
        <v>531</v>
      </c>
      <c r="AC67" s="197" t="s">
        <v>533</v>
      </c>
      <c r="AD67" s="199">
        <v>1.9008879999999999</v>
      </c>
      <c r="AE67" s="199">
        <v>152</v>
      </c>
      <c r="AF67" s="199">
        <v>9.2799999999999994E-2</v>
      </c>
      <c r="AG67" s="199">
        <v>-99</v>
      </c>
      <c r="AH67" s="197" t="s">
        <v>224</v>
      </c>
      <c r="AI67" s="197" t="s">
        <v>449</v>
      </c>
      <c r="AJ67" s="197" t="s">
        <v>310</v>
      </c>
      <c r="AK67" s="197" t="s">
        <v>531</v>
      </c>
      <c r="AL67" s="197" t="s">
        <v>386</v>
      </c>
      <c r="AM67" s="199" t="b">
        <v>1</v>
      </c>
      <c r="AN67" s="199" t="b">
        <v>0</v>
      </c>
      <c r="AO67" s="197" t="s">
        <v>311</v>
      </c>
      <c r="AP67" s="197" t="s">
        <v>312</v>
      </c>
      <c r="AQ67" s="199">
        <v>100.20194000000001</v>
      </c>
      <c r="AR67" s="199" t="b">
        <v>0</v>
      </c>
      <c r="AS67" s="197" t="s">
        <v>534</v>
      </c>
    </row>
    <row r="68" spans="1:45" s="219" customFormat="1" ht="15" customHeight="1" x14ac:dyDescent="0.25">
      <c r="A68" s="245">
        <f t="shared" si="7"/>
        <v>68</v>
      </c>
      <c r="B68" s="246" t="str">
        <f t="shared" si="0"/>
        <v>Oil Field - Separator</v>
      </c>
      <c r="C68" s="246" t="str">
        <f ca="1">IF(B68="","",VLOOKUP(D68,'Species Data'!B:E,4,FALSE))</f>
        <v>methep2</v>
      </c>
      <c r="D68" s="246">
        <f t="shared" ca="1" si="1"/>
        <v>193</v>
      </c>
      <c r="E68" s="246">
        <f t="shared" ca="1" si="2"/>
        <v>1.8499999999999999E-2</v>
      </c>
      <c r="F68" s="246" t="str">
        <f t="shared" ca="1" si="3"/>
        <v>2-methylheptane</v>
      </c>
      <c r="G68" s="246">
        <f t="shared" ca="1" si="4"/>
        <v>114.22852</v>
      </c>
      <c r="H68" s="204">
        <f ca="1">IF(G68="","",IF(VLOOKUP(Separator!F68,'Species Data'!D:F,3,FALSE)=0,"X",IF(G68&lt;44.1,2,1)))</f>
        <v>1</v>
      </c>
      <c r="I68" s="204">
        <f t="shared" ca="1" si="5"/>
        <v>0.10063346751129</v>
      </c>
      <c r="J68" s="247">
        <f ca="1">IF(I68="","",IF(COUNTIF($D$12:D68,D68)=1,IF(H68=1,I68*H68,IF(H68="X","X",0)),0))</f>
        <v>0</v>
      </c>
      <c r="K68" s="248">
        <f t="shared" ca="1" si="6"/>
        <v>0</v>
      </c>
      <c r="L68" s="197" t="s">
        <v>678</v>
      </c>
      <c r="M68" s="197" t="s">
        <v>448</v>
      </c>
      <c r="N68" s="197" t="s">
        <v>470</v>
      </c>
      <c r="O68" s="198">
        <v>41419</v>
      </c>
      <c r="P68" s="197" t="s">
        <v>531</v>
      </c>
      <c r="Q68" s="199">
        <v>100</v>
      </c>
      <c r="R68" s="197" t="s">
        <v>445</v>
      </c>
      <c r="S68" s="197" t="s">
        <v>532</v>
      </c>
      <c r="T68" s="197" t="s">
        <v>445</v>
      </c>
      <c r="U68" s="197" t="s">
        <v>446</v>
      </c>
      <c r="V68" s="199" t="b">
        <v>1</v>
      </c>
      <c r="W68" s="199">
        <v>1989</v>
      </c>
      <c r="X68" s="199">
        <v>5</v>
      </c>
      <c r="Y68" s="199">
        <v>2</v>
      </c>
      <c r="Z68" s="199">
        <v>4</v>
      </c>
      <c r="AA68" s="197" t="s">
        <v>447</v>
      </c>
      <c r="AB68" s="197" t="s">
        <v>531</v>
      </c>
      <c r="AC68" s="197" t="s">
        <v>533</v>
      </c>
      <c r="AD68" s="199">
        <v>1.9008879999999999</v>
      </c>
      <c r="AE68" s="199">
        <v>193</v>
      </c>
      <c r="AF68" s="199">
        <v>1.8499999999999999E-2</v>
      </c>
      <c r="AG68" s="199">
        <v>-99</v>
      </c>
      <c r="AH68" s="197" t="s">
        <v>224</v>
      </c>
      <c r="AI68" s="197" t="s">
        <v>449</v>
      </c>
      <c r="AJ68" s="197" t="s">
        <v>313</v>
      </c>
      <c r="AK68" s="197" t="s">
        <v>531</v>
      </c>
      <c r="AL68" s="197" t="s">
        <v>387</v>
      </c>
      <c r="AM68" s="199" t="b">
        <v>1</v>
      </c>
      <c r="AN68" s="199" t="b">
        <v>0</v>
      </c>
      <c r="AO68" s="197" t="s">
        <v>314</v>
      </c>
      <c r="AP68" s="197" t="s">
        <v>315</v>
      </c>
      <c r="AQ68" s="199">
        <v>114.22852</v>
      </c>
      <c r="AR68" s="199" t="b">
        <v>0</v>
      </c>
      <c r="AS68" s="197" t="s">
        <v>534</v>
      </c>
    </row>
    <row r="69" spans="1:45" s="219" customFormat="1" ht="15" customHeight="1" x14ac:dyDescent="0.25">
      <c r="A69" s="245">
        <f t="shared" si="7"/>
        <v>69</v>
      </c>
      <c r="B69" s="246" t="str">
        <f t="shared" si="0"/>
        <v>Oil Field - Separator</v>
      </c>
      <c r="C69" s="246" t="str">
        <f ca="1">IF(B69="","",VLOOKUP(D69,'Species Data'!B:E,4,FALSE))</f>
        <v>twomethex</v>
      </c>
      <c r="D69" s="246">
        <f t="shared" ca="1" si="1"/>
        <v>194</v>
      </c>
      <c r="E69" s="246">
        <f t="shared" ca="1" si="2"/>
        <v>0.18379999999999999</v>
      </c>
      <c r="F69" s="246" t="str">
        <f t="shared" ca="1" si="3"/>
        <v>2-methylhexane</v>
      </c>
      <c r="G69" s="246">
        <f t="shared" ca="1" si="4"/>
        <v>100.20194000000001</v>
      </c>
      <c r="H69" s="204">
        <f ca="1">IF(G69="","",IF(VLOOKUP(Separator!F69,'Species Data'!D:F,3,FALSE)=0,"X",IF(G69&lt;44.1,2,1)))</f>
        <v>1</v>
      </c>
      <c r="I69" s="204">
        <f t="shared" ca="1" si="5"/>
        <v>0.27013369351159133</v>
      </c>
      <c r="J69" s="247">
        <f ca="1">IF(I69="","",IF(COUNTIF($D$12:D69,D69)=1,IF(H69=1,I69*H69,IF(H69="X","X",0)),0))</f>
        <v>0</v>
      </c>
      <c r="K69" s="248">
        <f t="shared" ca="1" si="6"/>
        <v>0</v>
      </c>
      <c r="L69" s="197" t="s">
        <v>678</v>
      </c>
      <c r="M69" s="197" t="s">
        <v>448</v>
      </c>
      <c r="N69" s="197" t="s">
        <v>470</v>
      </c>
      <c r="O69" s="198">
        <v>41419</v>
      </c>
      <c r="P69" s="197" t="s">
        <v>531</v>
      </c>
      <c r="Q69" s="199">
        <v>100</v>
      </c>
      <c r="R69" s="197" t="s">
        <v>445</v>
      </c>
      <c r="S69" s="197" t="s">
        <v>532</v>
      </c>
      <c r="T69" s="197" t="s">
        <v>445</v>
      </c>
      <c r="U69" s="197" t="s">
        <v>446</v>
      </c>
      <c r="V69" s="199" t="b">
        <v>1</v>
      </c>
      <c r="W69" s="199">
        <v>1989</v>
      </c>
      <c r="X69" s="199">
        <v>5</v>
      </c>
      <c r="Y69" s="199">
        <v>2</v>
      </c>
      <c r="Z69" s="199">
        <v>4</v>
      </c>
      <c r="AA69" s="197" t="s">
        <v>447</v>
      </c>
      <c r="AB69" s="197" t="s">
        <v>531</v>
      </c>
      <c r="AC69" s="197" t="s">
        <v>533</v>
      </c>
      <c r="AD69" s="199">
        <v>1.9008879999999999</v>
      </c>
      <c r="AE69" s="199">
        <v>194</v>
      </c>
      <c r="AF69" s="199">
        <v>0.18379999999999999</v>
      </c>
      <c r="AG69" s="199">
        <v>-99</v>
      </c>
      <c r="AH69" s="197" t="s">
        <v>224</v>
      </c>
      <c r="AI69" s="197" t="s">
        <v>449</v>
      </c>
      <c r="AJ69" s="197" t="s">
        <v>316</v>
      </c>
      <c r="AK69" s="197" t="s">
        <v>531</v>
      </c>
      <c r="AL69" s="197" t="s">
        <v>388</v>
      </c>
      <c r="AM69" s="199" t="b">
        <v>1</v>
      </c>
      <c r="AN69" s="199" t="b">
        <v>0</v>
      </c>
      <c r="AO69" s="197" t="s">
        <v>317</v>
      </c>
      <c r="AP69" s="197" t="s">
        <v>318</v>
      </c>
      <c r="AQ69" s="199">
        <v>100.20194000000001</v>
      </c>
      <c r="AR69" s="199" t="b">
        <v>0</v>
      </c>
      <c r="AS69" s="197" t="s">
        <v>534</v>
      </c>
    </row>
    <row r="70" spans="1:45" s="219" customFormat="1" ht="15" customHeight="1" x14ac:dyDescent="0.25">
      <c r="A70" s="245">
        <f t="shared" si="7"/>
        <v>70</v>
      </c>
      <c r="B70" s="246" t="str">
        <f t="shared" si="0"/>
        <v>Oil Field - Separator</v>
      </c>
      <c r="C70" s="246" t="str">
        <f ca="1">IF(B70="","",VLOOKUP(D70,'Species Data'!B:E,4,FALSE))</f>
        <v>twometpen</v>
      </c>
      <c r="D70" s="246">
        <f t="shared" ca="1" si="1"/>
        <v>199</v>
      </c>
      <c r="E70" s="246">
        <f t="shared" ca="1" si="2"/>
        <v>0.99060000000000004</v>
      </c>
      <c r="F70" s="246" t="str">
        <f t="shared" ca="1" si="3"/>
        <v>2-methylpentane (isohexane)</v>
      </c>
      <c r="G70" s="246">
        <f t="shared" ca="1" si="4"/>
        <v>86.175359999999998</v>
      </c>
      <c r="H70" s="204">
        <f ca="1">IF(G70="","",IF(VLOOKUP(Separator!F70,'Species Data'!D:F,3,FALSE)=0,"X",IF(G70&lt;44.1,2,1)))</f>
        <v>1</v>
      </c>
      <c r="I70" s="204">
        <f t="shared" ca="1" si="5"/>
        <v>1.0612014149352198</v>
      </c>
      <c r="J70" s="247">
        <f ca="1">IF(I70="","",IF(COUNTIF($D$12:D70,D70)=1,IF(H70=1,I70*H70,IF(H70="X","X",0)),0))</f>
        <v>0</v>
      </c>
      <c r="K70" s="248">
        <f t="shared" ca="1" si="6"/>
        <v>0</v>
      </c>
      <c r="L70" s="197" t="s">
        <v>678</v>
      </c>
      <c r="M70" s="197" t="s">
        <v>448</v>
      </c>
      <c r="N70" s="197" t="s">
        <v>470</v>
      </c>
      <c r="O70" s="198">
        <v>41419</v>
      </c>
      <c r="P70" s="197" t="s">
        <v>531</v>
      </c>
      <c r="Q70" s="199">
        <v>100</v>
      </c>
      <c r="R70" s="197" t="s">
        <v>445</v>
      </c>
      <c r="S70" s="197" t="s">
        <v>532</v>
      </c>
      <c r="T70" s="197" t="s">
        <v>445</v>
      </c>
      <c r="U70" s="197" t="s">
        <v>446</v>
      </c>
      <c r="V70" s="199" t="b">
        <v>1</v>
      </c>
      <c r="W70" s="199">
        <v>1989</v>
      </c>
      <c r="X70" s="199">
        <v>5</v>
      </c>
      <c r="Y70" s="199">
        <v>2</v>
      </c>
      <c r="Z70" s="199">
        <v>4</v>
      </c>
      <c r="AA70" s="197" t="s">
        <v>447</v>
      </c>
      <c r="AB70" s="197" t="s">
        <v>531</v>
      </c>
      <c r="AC70" s="197" t="s">
        <v>533</v>
      </c>
      <c r="AD70" s="199">
        <v>1.9008879999999999</v>
      </c>
      <c r="AE70" s="199">
        <v>199</v>
      </c>
      <c r="AF70" s="199">
        <v>0.99060000000000004</v>
      </c>
      <c r="AG70" s="199">
        <v>-99</v>
      </c>
      <c r="AH70" s="197" t="s">
        <v>224</v>
      </c>
      <c r="AI70" s="197" t="s">
        <v>449</v>
      </c>
      <c r="AJ70" s="197" t="s">
        <v>319</v>
      </c>
      <c r="AK70" s="197" t="s">
        <v>531</v>
      </c>
      <c r="AL70" s="197" t="s">
        <v>389</v>
      </c>
      <c r="AM70" s="199" t="b">
        <v>1</v>
      </c>
      <c r="AN70" s="199" t="b">
        <v>0</v>
      </c>
      <c r="AO70" s="197" t="s">
        <v>320</v>
      </c>
      <c r="AP70" s="197" t="s">
        <v>321</v>
      </c>
      <c r="AQ70" s="199">
        <v>86.175359999999998</v>
      </c>
      <c r="AR70" s="199" t="b">
        <v>0</v>
      </c>
      <c r="AS70" s="197" t="s">
        <v>534</v>
      </c>
    </row>
    <row r="71" spans="1:45" s="219" customFormat="1" x14ac:dyDescent="0.25">
      <c r="A71" s="245">
        <f t="shared" si="7"/>
        <v>71</v>
      </c>
      <c r="B71" s="246" t="str">
        <f t="shared" si="0"/>
        <v>Oil Field - Separator</v>
      </c>
      <c r="C71" s="246" t="str">
        <f ca="1">IF(B71="","",VLOOKUP(D71,'Species Data'!B:E,4,FALSE))</f>
        <v>ethylhexane</v>
      </c>
      <c r="D71" s="246">
        <f t="shared" ca="1" si="1"/>
        <v>226</v>
      </c>
      <c r="E71" s="246">
        <f t="shared" ca="1" si="2"/>
        <v>4.3799999999999999E-2</v>
      </c>
      <c r="F71" s="246" t="str">
        <f t="shared" ca="1" si="3"/>
        <v>3-ethylhexane</v>
      </c>
      <c r="G71" s="246">
        <f t="shared" ca="1" si="4"/>
        <v>114.22852</v>
      </c>
      <c r="H71" s="204" t="str">
        <f ca="1">IF(G71="","",IF(VLOOKUP(Separator!F71,'Species Data'!D:F,3,FALSE)=0,"X",IF(G71&lt;44.1,2,1)))</f>
        <v>X</v>
      </c>
      <c r="I71" s="204">
        <f t="shared" ca="1" si="5"/>
        <v>2.5700034266712354E-2</v>
      </c>
      <c r="J71" s="247">
        <f ca="1">IF(I71="","",IF(COUNTIF($D$12:D71,D71)=1,IF(H71=1,I71*H71,IF(H71="X","X",0)),0))</f>
        <v>0</v>
      </c>
      <c r="K71" s="248">
        <f t="shared" ca="1" si="6"/>
        <v>0</v>
      </c>
      <c r="L71" s="197" t="s">
        <v>678</v>
      </c>
      <c r="M71" s="197" t="s">
        <v>448</v>
      </c>
      <c r="N71" s="197" t="s">
        <v>470</v>
      </c>
      <c r="O71" s="198">
        <v>41419</v>
      </c>
      <c r="P71" s="197" t="s">
        <v>531</v>
      </c>
      <c r="Q71" s="199">
        <v>100</v>
      </c>
      <c r="R71" s="197" t="s">
        <v>445</v>
      </c>
      <c r="S71" s="197" t="s">
        <v>532</v>
      </c>
      <c r="T71" s="197" t="s">
        <v>445</v>
      </c>
      <c r="U71" s="197" t="s">
        <v>446</v>
      </c>
      <c r="V71" s="199" t="b">
        <v>1</v>
      </c>
      <c r="W71" s="199">
        <v>1989</v>
      </c>
      <c r="X71" s="199">
        <v>5</v>
      </c>
      <c r="Y71" s="199">
        <v>2</v>
      </c>
      <c r="Z71" s="199">
        <v>4</v>
      </c>
      <c r="AA71" s="197" t="s">
        <v>447</v>
      </c>
      <c r="AB71" s="197" t="s">
        <v>531</v>
      </c>
      <c r="AC71" s="197" t="s">
        <v>533</v>
      </c>
      <c r="AD71" s="199">
        <v>1.9008879999999999</v>
      </c>
      <c r="AE71" s="199">
        <v>226</v>
      </c>
      <c r="AF71" s="199">
        <v>4.3799999999999999E-2</v>
      </c>
      <c r="AG71" s="199">
        <v>-99</v>
      </c>
      <c r="AH71" s="197" t="s">
        <v>224</v>
      </c>
      <c r="AI71" s="197" t="s">
        <v>449</v>
      </c>
      <c r="AJ71" s="197" t="s">
        <v>439</v>
      </c>
      <c r="AK71" s="197" t="s">
        <v>531</v>
      </c>
      <c r="AL71" s="197" t="s">
        <v>461</v>
      </c>
      <c r="AM71" s="199" t="b">
        <v>0</v>
      </c>
      <c r="AN71" s="199" t="b">
        <v>0</v>
      </c>
      <c r="AO71" s="197" t="s">
        <v>440</v>
      </c>
      <c r="AP71" s="197" t="s">
        <v>531</v>
      </c>
      <c r="AQ71" s="199">
        <v>114.22852</v>
      </c>
      <c r="AR71" s="199" t="b">
        <v>0</v>
      </c>
      <c r="AS71" s="197" t="s">
        <v>534</v>
      </c>
    </row>
    <row r="72" spans="1:45" s="219" customFormat="1" ht="15" customHeight="1" x14ac:dyDescent="0.25">
      <c r="A72" s="245">
        <f t="shared" si="7"/>
        <v>72</v>
      </c>
      <c r="B72" s="246" t="str">
        <f t="shared" si="0"/>
        <v>Oil Field - Separator</v>
      </c>
      <c r="C72" s="246" t="str">
        <f ca="1">IF(B72="","",VLOOKUP(D72,'Species Data'!B:E,4,FALSE))</f>
        <v>threemethex</v>
      </c>
      <c r="D72" s="246">
        <f t="shared" ca="1" si="1"/>
        <v>245</v>
      </c>
      <c r="E72" s="246">
        <f t="shared" ca="1" si="2"/>
        <v>0.25219999999999998</v>
      </c>
      <c r="F72" s="246" t="str">
        <f t="shared" ca="1" si="3"/>
        <v>3-methylhexane</v>
      </c>
      <c r="G72" s="246">
        <f t="shared" ca="1" si="4"/>
        <v>100.20194000000001</v>
      </c>
      <c r="H72" s="204">
        <f ca="1">IF(G72="","",IF(VLOOKUP(Separator!F72,'Species Data'!D:F,3,FALSE)=0,"X",IF(G72&lt;44.1,2,1)))</f>
        <v>1</v>
      </c>
      <c r="I72" s="204">
        <f t="shared" ca="1" si="5"/>
        <v>0.33276711035614709</v>
      </c>
      <c r="J72" s="247">
        <f ca="1">IF(I72="","",IF(COUNTIF($D$12:D72,D72)=1,IF(H72=1,I72*H72,IF(H72="X","X",0)),0))</f>
        <v>0</v>
      </c>
      <c r="K72" s="248">
        <f t="shared" ca="1" si="6"/>
        <v>0</v>
      </c>
      <c r="L72" s="197" t="s">
        <v>678</v>
      </c>
      <c r="M72" s="197" t="s">
        <v>448</v>
      </c>
      <c r="N72" s="197" t="s">
        <v>470</v>
      </c>
      <c r="O72" s="198">
        <v>41419</v>
      </c>
      <c r="P72" s="197" t="s">
        <v>531</v>
      </c>
      <c r="Q72" s="199">
        <v>100</v>
      </c>
      <c r="R72" s="197" t="s">
        <v>445</v>
      </c>
      <c r="S72" s="197" t="s">
        <v>532</v>
      </c>
      <c r="T72" s="197" t="s">
        <v>445</v>
      </c>
      <c r="U72" s="197" t="s">
        <v>446</v>
      </c>
      <c r="V72" s="199" t="b">
        <v>1</v>
      </c>
      <c r="W72" s="199">
        <v>1989</v>
      </c>
      <c r="X72" s="199">
        <v>5</v>
      </c>
      <c r="Y72" s="199">
        <v>2</v>
      </c>
      <c r="Z72" s="199">
        <v>4</v>
      </c>
      <c r="AA72" s="197" t="s">
        <v>447</v>
      </c>
      <c r="AB72" s="197" t="s">
        <v>531</v>
      </c>
      <c r="AC72" s="197" t="s">
        <v>533</v>
      </c>
      <c r="AD72" s="199">
        <v>1.9008879999999999</v>
      </c>
      <c r="AE72" s="199">
        <v>245</v>
      </c>
      <c r="AF72" s="199">
        <v>0.25219999999999998</v>
      </c>
      <c r="AG72" s="199">
        <v>-99</v>
      </c>
      <c r="AH72" s="197" t="s">
        <v>224</v>
      </c>
      <c r="AI72" s="197" t="s">
        <v>449</v>
      </c>
      <c r="AJ72" s="197" t="s">
        <v>325</v>
      </c>
      <c r="AK72" s="197" t="s">
        <v>531</v>
      </c>
      <c r="AL72" s="197" t="s">
        <v>390</v>
      </c>
      <c r="AM72" s="199" t="b">
        <v>1</v>
      </c>
      <c r="AN72" s="199" t="b">
        <v>0</v>
      </c>
      <c r="AO72" s="197" t="s">
        <v>326</v>
      </c>
      <c r="AP72" s="197" t="s">
        <v>327</v>
      </c>
      <c r="AQ72" s="199">
        <v>100.20194000000001</v>
      </c>
      <c r="AR72" s="199" t="b">
        <v>0</v>
      </c>
      <c r="AS72" s="197" t="s">
        <v>534</v>
      </c>
    </row>
    <row r="73" spans="1:45" s="219" customFormat="1" x14ac:dyDescent="0.25">
      <c r="A73" s="245">
        <f t="shared" si="7"/>
        <v>73</v>
      </c>
      <c r="B73" s="246" t="str">
        <f t="shared" si="0"/>
        <v>Oil Field - Separator</v>
      </c>
      <c r="C73" s="246" t="str">
        <f ca="1">IF(B73="","",VLOOKUP(D73,'Species Data'!B:E,4,FALSE))</f>
        <v>threemetpen</v>
      </c>
      <c r="D73" s="246">
        <f t="shared" ca="1" si="1"/>
        <v>248</v>
      </c>
      <c r="E73" s="246">
        <f t="shared" ca="1" si="2"/>
        <v>0.1099</v>
      </c>
      <c r="F73" s="246" t="str">
        <f t="shared" ca="1" si="3"/>
        <v>3-methylpentane</v>
      </c>
      <c r="G73" s="246">
        <f t="shared" ca="1" si="4"/>
        <v>86.175359999999998</v>
      </c>
      <c r="H73" s="204">
        <f ca="1">IF(G73="","",IF(VLOOKUP(Separator!F73,'Species Data'!D:F,3,FALSE)=0,"X",IF(G73&lt;44.1,2,1)))</f>
        <v>1</v>
      </c>
      <c r="I73" s="204">
        <f t="shared" ca="1" si="5"/>
        <v>0.74503432671243552</v>
      </c>
      <c r="J73" s="247">
        <f ca="1">IF(I73="","",IF(COUNTIF($D$12:D73,D73)=1,IF(H73=1,I73*H73,IF(H73="X","X",0)),0))</f>
        <v>0</v>
      </c>
      <c r="K73" s="248">
        <f t="shared" ca="1" si="6"/>
        <v>0</v>
      </c>
      <c r="L73" s="197" t="s">
        <v>678</v>
      </c>
      <c r="M73" s="197" t="s">
        <v>448</v>
      </c>
      <c r="N73" s="197" t="s">
        <v>470</v>
      </c>
      <c r="O73" s="198">
        <v>41419</v>
      </c>
      <c r="P73" s="197" t="s">
        <v>531</v>
      </c>
      <c r="Q73" s="199">
        <v>100</v>
      </c>
      <c r="R73" s="197" t="s">
        <v>445</v>
      </c>
      <c r="S73" s="197" t="s">
        <v>532</v>
      </c>
      <c r="T73" s="197" t="s">
        <v>445</v>
      </c>
      <c r="U73" s="197" t="s">
        <v>446</v>
      </c>
      <c r="V73" s="199" t="b">
        <v>1</v>
      </c>
      <c r="W73" s="199">
        <v>1989</v>
      </c>
      <c r="X73" s="199">
        <v>5</v>
      </c>
      <c r="Y73" s="199">
        <v>2</v>
      </c>
      <c r="Z73" s="199">
        <v>4</v>
      </c>
      <c r="AA73" s="197" t="s">
        <v>447</v>
      </c>
      <c r="AB73" s="197" t="s">
        <v>531</v>
      </c>
      <c r="AC73" s="197" t="s">
        <v>533</v>
      </c>
      <c r="AD73" s="199">
        <v>1.9008879999999999</v>
      </c>
      <c r="AE73" s="199">
        <v>248</v>
      </c>
      <c r="AF73" s="199">
        <v>0.1099</v>
      </c>
      <c r="AG73" s="199">
        <v>-99</v>
      </c>
      <c r="AH73" s="197" t="s">
        <v>224</v>
      </c>
      <c r="AI73" s="197" t="s">
        <v>449</v>
      </c>
      <c r="AJ73" s="197" t="s">
        <v>328</v>
      </c>
      <c r="AK73" s="197" t="s">
        <v>531</v>
      </c>
      <c r="AL73" s="197" t="s">
        <v>391</v>
      </c>
      <c r="AM73" s="199" t="b">
        <v>1</v>
      </c>
      <c r="AN73" s="199" t="b">
        <v>0</v>
      </c>
      <c r="AO73" s="197" t="s">
        <v>329</v>
      </c>
      <c r="AP73" s="197" t="s">
        <v>330</v>
      </c>
      <c r="AQ73" s="199">
        <v>86.175359999999998</v>
      </c>
      <c r="AR73" s="199" t="b">
        <v>0</v>
      </c>
      <c r="AS73" s="197" t="s">
        <v>534</v>
      </c>
    </row>
    <row r="74" spans="1:45" s="219" customFormat="1" x14ac:dyDescent="0.25">
      <c r="A74" s="245">
        <f t="shared" si="7"/>
        <v>74</v>
      </c>
      <c r="B74" s="246" t="str">
        <f t="shared" si="0"/>
        <v>Oil Field - Separator</v>
      </c>
      <c r="C74" s="246" t="str">
        <f ca="1">IF(B74="","",VLOOKUP(D74,'Species Data'!B:E,4,FALSE))</f>
        <v>benzene</v>
      </c>
      <c r="D74" s="246">
        <f t="shared" ca="1" si="1"/>
        <v>302</v>
      </c>
      <c r="E74" s="246">
        <f t="shared" ca="1" si="2"/>
        <v>6.7400000000000002E-2</v>
      </c>
      <c r="F74" s="246" t="str">
        <f t="shared" ca="1" si="3"/>
        <v>Benzene</v>
      </c>
      <c r="G74" s="246">
        <f t="shared" ca="1" si="4"/>
        <v>78.111840000000001</v>
      </c>
      <c r="H74" s="204">
        <f ca="1">IF(G74="","",IF(VLOOKUP(Separator!F74,'Species Data'!D:F,3,FALSE)=0,"X",IF(G74&lt;44.1,2,1)))</f>
        <v>1</v>
      </c>
      <c r="I74" s="204">
        <f t="shared" ca="1" si="5"/>
        <v>0.14523352697803596</v>
      </c>
      <c r="J74" s="247">
        <f ca="1">IF(I74="","",IF(COUNTIF($D$12:D74,D74)=1,IF(H74=1,I74*H74,IF(H74="X","X",0)),0))</f>
        <v>0</v>
      </c>
      <c r="K74" s="248">
        <f t="shared" ca="1" si="6"/>
        <v>0</v>
      </c>
      <c r="L74" s="197" t="s">
        <v>678</v>
      </c>
      <c r="M74" s="197" t="s">
        <v>448</v>
      </c>
      <c r="N74" s="197" t="s">
        <v>470</v>
      </c>
      <c r="O74" s="198">
        <v>41419</v>
      </c>
      <c r="P74" s="197" t="s">
        <v>531</v>
      </c>
      <c r="Q74" s="199">
        <v>100</v>
      </c>
      <c r="R74" s="197" t="s">
        <v>445</v>
      </c>
      <c r="S74" s="197" t="s">
        <v>532</v>
      </c>
      <c r="T74" s="197" t="s">
        <v>445</v>
      </c>
      <c r="U74" s="197" t="s">
        <v>446</v>
      </c>
      <c r="V74" s="199" t="b">
        <v>1</v>
      </c>
      <c r="W74" s="199">
        <v>1989</v>
      </c>
      <c r="X74" s="199">
        <v>5</v>
      </c>
      <c r="Y74" s="199">
        <v>2</v>
      </c>
      <c r="Z74" s="199">
        <v>4</v>
      </c>
      <c r="AA74" s="197" t="s">
        <v>447</v>
      </c>
      <c r="AB74" s="197" t="s">
        <v>531</v>
      </c>
      <c r="AC74" s="197" t="s">
        <v>533</v>
      </c>
      <c r="AD74" s="199">
        <v>1.9008879999999999</v>
      </c>
      <c r="AE74" s="199">
        <v>302</v>
      </c>
      <c r="AF74" s="199">
        <v>6.7400000000000002E-2</v>
      </c>
      <c r="AG74" s="199">
        <v>-99</v>
      </c>
      <c r="AH74" s="197" t="s">
        <v>224</v>
      </c>
      <c r="AI74" s="197" t="s">
        <v>449</v>
      </c>
      <c r="AJ74" s="197" t="s">
        <v>262</v>
      </c>
      <c r="AK74" s="197" t="s">
        <v>531</v>
      </c>
      <c r="AL74" s="197" t="s">
        <v>373</v>
      </c>
      <c r="AM74" s="199" t="b">
        <v>1</v>
      </c>
      <c r="AN74" s="199" t="b">
        <v>1</v>
      </c>
      <c r="AO74" s="197" t="s">
        <v>263</v>
      </c>
      <c r="AP74" s="197" t="s">
        <v>264</v>
      </c>
      <c r="AQ74" s="199">
        <v>78.111840000000001</v>
      </c>
      <c r="AR74" s="199" t="b">
        <v>0</v>
      </c>
      <c r="AS74" s="197" t="s">
        <v>534</v>
      </c>
    </row>
    <row r="75" spans="1:45" s="219" customFormat="1" x14ac:dyDescent="0.25">
      <c r="A75" s="245">
        <f t="shared" si="7"/>
        <v>75</v>
      </c>
      <c r="B75" s="246" t="str">
        <f t="shared" si="0"/>
        <v>Oil Field - Separator</v>
      </c>
      <c r="C75" s="246" t="str">
        <f ca="1">IF(B75="","",VLOOKUP(D75,'Species Data'!B:E,4,FALSE))</f>
        <v>cyclohexane</v>
      </c>
      <c r="D75" s="246">
        <f t="shared" ca="1" si="1"/>
        <v>385</v>
      </c>
      <c r="E75" s="246">
        <f t="shared" ca="1" si="2"/>
        <v>2.3699999999999999E-2</v>
      </c>
      <c r="F75" s="246" t="str">
        <f t="shared" ca="1" si="3"/>
        <v>Cyclohexane</v>
      </c>
      <c r="G75" s="246">
        <f t="shared" ca="1" si="4"/>
        <v>84.159480000000002</v>
      </c>
      <c r="H75" s="204">
        <f ca="1">IF(G75="","",IF(VLOOKUP(Separator!F75,'Species Data'!D:F,3,FALSE)=0,"X",IF(G75&lt;44.1,2,1)))</f>
        <v>1</v>
      </c>
      <c r="I75" s="204">
        <f t="shared" ca="1" si="5"/>
        <v>2.3133364177818902E-2</v>
      </c>
      <c r="J75" s="247">
        <f ca="1">IF(I75="","",IF(COUNTIF($D$12:D75,D75)=1,IF(H75=1,I75*H75,IF(H75="X","X",0)),0))</f>
        <v>0</v>
      </c>
      <c r="K75" s="248">
        <f t="shared" ca="1" si="6"/>
        <v>0</v>
      </c>
      <c r="L75" s="197" t="s">
        <v>678</v>
      </c>
      <c r="M75" s="197" t="s">
        <v>448</v>
      </c>
      <c r="N75" s="197" t="s">
        <v>470</v>
      </c>
      <c r="O75" s="198">
        <v>41419</v>
      </c>
      <c r="P75" s="197" t="s">
        <v>531</v>
      </c>
      <c r="Q75" s="199">
        <v>100</v>
      </c>
      <c r="R75" s="197" t="s">
        <v>445</v>
      </c>
      <c r="S75" s="197" t="s">
        <v>532</v>
      </c>
      <c r="T75" s="197" t="s">
        <v>445</v>
      </c>
      <c r="U75" s="197" t="s">
        <v>446</v>
      </c>
      <c r="V75" s="199" t="b">
        <v>1</v>
      </c>
      <c r="W75" s="199">
        <v>1989</v>
      </c>
      <c r="X75" s="199">
        <v>5</v>
      </c>
      <c r="Y75" s="199">
        <v>2</v>
      </c>
      <c r="Z75" s="199">
        <v>4</v>
      </c>
      <c r="AA75" s="197" t="s">
        <v>447</v>
      </c>
      <c r="AB75" s="197" t="s">
        <v>531</v>
      </c>
      <c r="AC75" s="197" t="s">
        <v>533</v>
      </c>
      <c r="AD75" s="199">
        <v>1.9008879999999999</v>
      </c>
      <c r="AE75" s="199">
        <v>385</v>
      </c>
      <c r="AF75" s="199">
        <v>2.3699999999999999E-2</v>
      </c>
      <c r="AG75" s="199">
        <v>-99</v>
      </c>
      <c r="AH75" s="197" t="s">
        <v>224</v>
      </c>
      <c r="AI75" s="197" t="s">
        <v>449</v>
      </c>
      <c r="AJ75" s="197" t="s">
        <v>331</v>
      </c>
      <c r="AK75" s="197" t="s">
        <v>531</v>
      </c>
      <c r="AL75" s="197" t="s">
        <v>392</v>
      </c>
      <c r="AM75" s="199" t="b">
        <v>1</v>
      </c>
      <c r="AN75" s="199" t="b">
        <v>0</v>
      </c>
      <c r="AO75" s="197" t="s">
        <v>332</v>
      </c>
      <c r="AP75" s="197" t="s">
        <v>333</v>
      </c>
      <c r="AQ75" s="199">
        <v>84.159480000000002</v>
      </c>
      <c r="AR75" s="199" t="b">
        <v>0</v>
      </c>
      <c r="AS75" s="197" t="s">
        <v>534</v>
      </c>
    </row>
    <row r="76" spans="1:45" s="219" customFormat="1" ht="15" customHeight="1" x14ac:dyDescent="0.25">
      <c r="A76" s="245">
        <f t="shared" si="7"/>
        <v>76</v>
      </c>
      <c r="B76" s="246" t="str">
        <f t="shared" ref="B76:B139" si="8">IF(ROW(A76)-(ROW($A$12))&lt;$B$10,$B$9,"")</f>
        <v>Oil Field - Separator</v>
      </c>
      <c r="C76" s="246" t="str">
        <f ca="1">IF(B76="","",VLOOKUP(D76,'Species Data'!B:E,4,FALSE))</f>
        <v>cyclopentane</v>
      </c>
      <c r="D76" s="246">
        <f t="shared" ca="1" si="1"/>
        <v>390</v>
      </c>
      <c r="E76" s="246">
        <f t="shared" ca="1" si="2"/>
        <v>0.4103</v>
      </c>
      <c r="F76" s="246" t="str">
        <f t="shared" ca="1" si="3"/>
        <v>Cyclopentane</v>
      </c>
      <c r="G76" s="246">
        <f t="shared" ca="1" si="4"/>
        <v>70.132900000000006</v>
      </c>
      <c r="H76" s="204">
        <f ca="1">IF(G76="","",IF(VLOOKUP(Separator!F76,'Species Data'!D:F,3,FALSE)=0,"X",IF(G76&lt;44.1,2,1)))</f>
        <v>1</v>
      </c>
      <c r="I76" s="204">
        <f t="shared" ca="1" si="5"/>
        <v>0.38286717715623619</v>
      </c>
      <c r="J76" s="247">
        <f ca="1">IF(I76="","",IF(COUNTIF($D$12:D76,D76)=1,IF(H76=1,I76*H76,IF(H76="X","X",0)),0))</f>
        <v>0</v>
      </c>
      <c r="K76" s="248">
        <f t="shared" ca="1" si="6"/>
        <v>0</v>
      </c>
      <c r="L76" s="197" t="s">
        <v>678</v>
      </c>
      <c r="M76" s="197" t="s">
        <v>448</v>
      </c>
      <c r="N76" s="197" t="s">
        <v>470</v>
      </c>
      <c r="O76" s="198">
        <v>41419</v>
      </c>
      <c r="P76" s="197" t="s">
        <v>531</v>
      </c>
      <c r="Q76" s="199">
        <v>100</v>
      </c>
      <c r="R76" s="197" t="s">
        <v>445</v>
      </c>
      <c r="S76" s="197" t="s">
        <v>532</v>
      </c>
      <c r="T76" s="197" t="s">
        <v>445</v>
      </c>
      <c r="U76" s="197" t="s">
        <v>446</v>
      </c>
      <c r="V76" s="199" t="b">
        <v>1</v>
      </c>
      <c r="W76" s="199">
        <v>1989</v>
      </c>
      <c r="X76" s="199">
        <v>5</v>
      </c>
      <c r="Y76" s="199">
        <v>2</v>
      </c>
      <c r="Z76" s="199">
        <v>4</v>
      </c>
      <c r="AA76" s="197" t="s">
        <v>447</v>
      </c>
      <c r="AB76" s="197" t="s">
        <v>531</v>
      </c>
      <c r="AC76" s="197" t="s">
        <v>533</v>
      </c>
      <c r="AD76" s="199">
        <v>1.9008879999999999</v>
      </c>
      <c r="AE76" s="199">
        <v>390</v>
      </c>
      <c r="AF76" s="199">
        <v>0.4103</v>
      </c>
      <c r="AG76" s="199">
        <v>-99</v>
      </c>
      <c r="AH76" s="197" t="s">
        <v>224</v>
      </c>
      <c r="AI76" s="197" t="s">
        <v>449</v>
      </c>
      <c r="AJ76" s="197" t="s">
        <v>334</v>
      </c>
      <c r="AK76" s="197" t="s">
        <v>531</v>
      </c>
      <c r="AL76" s="197" t="s">
        <v>393</v>
      </c>
      <c r="AM76" s="199" t="b">
        <v>1</v>
      </c>
      <c r="AN76" s="199" t="b">
        <v>0</v>
      </c>
      <c r="AO76" s="197" t="s">
        <v>335</v>
      </c>
      <c r="AP76" s="197" t="s">
        <v>336</v>
      </c>
      <c r="AQ76" s="199">
        <v>70.132900000000006</v>
      </c>
      <c r="AR76" s="199" t="b">
        <v>0</v>
      </c>
      <c r="AS76" s="197" t="s">
        <v>534</v>
      </c>
    </row>
    <row r="77" spans="1:45" s="219" customFormat="1" x14ac:dyDescent="0.25">
      <c r="A77" s="245">
        <f t="shared" si="7"/>
        <v>77</v>
      </c>
      <c r="B77" s="246" t="str">
        <f t="shared" si="8"/>
        <v>Oil Field - Separator</v>
      </c>
      <c r="C77" s="246" t="str">
        <f ca="1">IF(B77="","",VLOOKUP(D77,'Species Data'!B:E,4,FALSE))</f>
        <v>ethane</v>
      </c>
      <c r="D77" s="246">
        <f t="shared" ref="D77:D140" ca="1" si="9">IF(B77="","",INDIRECT("AE"&amp;$A77))</f>
        <v>438</v>
      </c>
      <c r="E77" s="246">
        <f t="shared" ref="E77:E140" ca="1" si="10">IF(D77="","",INDIRECT("AF"&amp;$A77))</f>
        <v>15.425000000000001</v>
      </c>
      <c r="F77" s="246" t="str">
        <f t="shared" ref="F77:F140" ca="1" si="11">IF(E77="","",INDIRECT("AO"&amp;$A77))</f>
        <v>Ethane</v>
      </c>
      <c r="G77" s="246">
        <f t="shared" ref="G77:G140" ca="1" si="12">IF(F77="","",INDIRECT("AQ"&amp;$A77))</f>
        <v>30.069040000000005</v>
      </c>
      <c r="H77" s="204">
        <f ca="1">IF(G77="","",IF(VLOOKUP(Separator!F77,'Species Data'!D:F,3,FALSE)=0,"X",IF(G77&lt;44.1,2,1)))</f>
        <v>2</v>
      </c>
      <c r="I77" s="204">
        <f t="shared" ref="I77:I140" ca="1" si="13">IF(H77="","",SUMIF(D:D,D77,E:E)/($E$9/100))</f>
        <v>11.912315883087842</v>
      </c>
      <c r="J77" s="247">
        <f ca="1">IF(I77="","",IF(COUNTIF($D$12:D77,D77)=1,IF(H77=1,I77*H77,IF(H77="X","X",0)),0))</f>
        <v>0</v>
      </c>
      <c r="K77" s="248">
        <f t="shared" ref="K77:K140" ca="1" si="14">IF(J77="","",IF(J77="X",0,J77/$J$9*100))</f>
        <v>0</v>
      </c>
      <c r="L77" s="197" t="s">
        <v>678</v>
      </c>
      <c r="M77" s="197" t="s">
        <v>448</v>
      </c>
      <c r="N77" s="197" t="s">
        <v>470</v>
      </c>
      <c r="O77" s="198">
        <v>41419</v>
      </c>
      <c r="P77" s="197" t="s">
        <v>531</v>
      </c>
      <c r="Q77" s="199">
        <v>100</v>
      </c>
      <c r="R77" s="197" t="s">
        <v>445</v>
      </c>
      <c r="S77" s="197" t="s">
        <v>532</v>
      </c>
      <c r="T77" s="197" t="s">
        <v>445</v>
      </c>
      <c r="U77" s="197" t="s">
        <v>446</v>
      </c>
      <c r="V77" s="199" t="b">
        <v>1</v>
      </c>
      <c r="W77" s="199">
        <v>1989</v>
      </c>
      <c r="X77" s="199">
        <v>5</v>
      </c>
      <c r="Y77" s="199">
        <v>2</v>
      </c>
      <c r="Z77" s="199">
        <v>4</v>
      </c>
      <c r="AA77" s="197" t="s">
        <v>447</v>
      </c>
      <c r="AB77" s="197" t="s">
        <v>531</v>
      </c>
      <c r="AC77" s="197" t="s">
        <v>533</v>
      </c>
      <c r="AD77" s="199">
        <v>1.9008879999999999</v>
      </c>
      <c r="AE77" s="199">
        <v>438</v>
      </c>
      <c r="AF77" s="199">
        <v>15.425000000000001</v>
      </c>
      <c r="AG77" s="199">
        <v>-99</v>
      </c>
      <c r="AH77" s="197" t="s">
        <v>224</v>
      </c>
      <c r="AI77" s="197" t="s">
        <v>449</v>
      </c>
      <c r="AJ77" s="197" t="s">
        <v>265</v>
      </c>
      <c r="AK77" s="197" t="s">
        <v>531</v>
      </c>
      <c r="AL77" s="197" t="s">
        <v>374</v>
      </c>
      <c r="AM77" s="199" t="b">
        <v>1</v>
      </c>
      <c r="AN77" s="199" t="b">
        <v>0</v>
      </c>
      <c r="AO77" s="197" t="s">
        <v>266</v>
      </c>
      <c r="AP77" s="197" t="s">
        <v>267</v>
      </c>
      <c r="AQ77" s="199">
        <v>30.069040000000005</v>
      </c>
      <c r="AR77" s="199" t="b">
        <v>1</v>
      </c>
      <c r="AS77" s="197" t="s">
        <v>534</v>
      </c>
    </row>
    <row r="78" spans="1:45" s="219" customFormat="1" ht="15" customHeight="1" x14ac:dyDescent="0.25">
      <c r="A78" s="245">
        <f t="shared" ref="A78:A141" si="15">IF(B78="","",A77+1)</f>
        <v>78</v>
      </c>
      <c r="B78" s="246" t="str">
        <f t="shared" si="8"/>
        <v>Oil Field - Separator</v>
      </c>
      <c r="C78" s="246" t="str">
        <f ca="1">IF(B78="","",VLOOKUP(D78,'Species Data'!B:E,4,FALSE))</f>
        <v>ethyl_benz</v>
      </c>
      <c r="D78" s="246">
        <f t="shared" ca="1" si="9"/>
        <v>449</v>
      </c>
      <c r="E78" s="246">
        <f t="shared" ca="1" si="10"/>
        <v>5.0599999999999999E-2</v>
      </c>
      <c r="F78" s="246" t="str">
        <f t="shared" ca="1" si="11"/>
        <v>Ethylbenzene</v>
      </c>
      <c r="G78" s="246">
        <f t="shared" ca="1" si="12"/>
        <v>106.16500000000001</v>
      </c>
      <c r="H78" s="204">
        <f ca="1">IF(G78="","",IF(VLOOKUP(Separator!F78,'Species Data'!D:F,3,FALSE)=0,"X",IF(G78&lt;44.1,2,1)))</f>
        <v>1</v>
      </c>
      <c r="I78" s="204">
        <f t="shared" ca="1" si="13"/>
        <v>6.1000081333441772E-2</v>
      </c>
      <c r="J78" s="247">
        <f ca="1">IF(I78="","",IF(COUNTIF($D$12:D78,D78)=1,IF(H78=1,I78*H78,IF(H78="X","X",0)),0))</f>
        <v>0</v>
      </c>
      <c r="K78" s="248">
        <f t="shared" ca="1" si="14"/>
        <v>0</v>
      </c>
      <c r="L78" s="197" t="s">
        <v>678</v>
      </c>
      <c r="M78" s="197" t="s">
        <v>448</v>
      </c>
      <c r="N78" s="197" t="s">
        <v>470</v>
      </c>
      <c r="O78" s="198">
        <v>41419</v>
      </c>
      <c r="P78" s="197" t="s">
        <v>531</v>
      </c>
      <c r="Q78" s="199">
        <v>100</v>
      </c>
      <c r="R78" s="197" t="s">
        <v>445</v>
      </c>
      <c r="S78" s="197" t="s">
        <v>532</v>
      </c>
      <c r="T78" s="197" t="s">
        <v>445</v>
      </c>
      <c r="U78" s="197" t="s">
        <v>446</v>
      </c>
      <c r="V78" s="199" t="b">
        <v>1</v>
      </c>
      <c r="W78" s="199">
        <v>1989</v>
      </c>
      <c r="X78" s="199">
        <v>5</v>
      </c>
      <c r="Y78" s="199">
        <v>2</v>
      </c>
      <c r="Z78" s="199">
        <v>4</v>
      </c>
      <c r="AA78" s="197" t="s">
        <v>447</v>
      </c>
      <c r="AB78" s="197" t="s">
        <v>531</v>
      </c>
      <c r="AC78" s="197" t="s">
        <v>533</v>
      </c>
      <c r="AD78" s="199">
        <v>1.9008879999999999</v>
      </c>
      <c r="AE78" s="199">
        <v>449</v>
      </c>
      <c r="AF78" s="199">
        <v>5.0599999999999999E-2</v>
      </c>
      <c r="AG78" s="199">
        <v>-99</v>
      </c>
      <c r="AH78" s="197" t="s">
        <v>224</v>
      </c>
      <c r="AI78" s="197" t="s">
        <v>449</v>
      </c>
      <c r="AJ78" s="197" t="s">
        <v>337</v>
      </c>
      <c r="AK78" s="197" t="s">
        <v>531</v>
      </c>
      <c r="AL78" s="197" t="s">
        <v>394</v>
      </c>
      <c r="AM78" s="199" t="b">
        <v>1</v>
      </c>
      <c r="AN78" s="199" t="b">
        <v>1</v>
      </c>
      <c r="AO78" s="197" t="s">
        <v>338</v>
      </c>
      <c r="AP78" s="197" t="s">
        <v>339</v>
      </c>
      <c r="AQ78" s="199">
        <v>106.16500000000001</v>
      </c>
      <c r="AR78" s="199" t="b">
        <v>0</v>
      </c>
      <c r="AS78" s="197" t="s">
        <v>534</v>
      </c>
    </row>
    <row r="79" spans="1:45" s="219" customFormat="1" x14ac:dyDescent="0.25">
      <c r="A79" s="245">
        <f t="shared" si="15"/>
        <v>79</v>
      </c>
      <c r="B79" s="246" t="str">
        <f t="shared" si="8"/>
        <v>Oil Field - Separator</v>
      </c>
      <c r="C79" s="246" t="str">
        <f ca="1">IF(B79="","",VLOOKUP(D79,'Species Data'!B:E,4,FALSE))</f>
        <v>isobut</v>
      </c>
      <c r="D79" s="246">
        <f t="shared" ca="1" si="9"/>
        <v>491</v>
      </c>
      <c r="E79" s="246">
        <f t="shared" ca="1" si="10"/>
        <v>3.8778000000000001</v>
      </c>
      <c r="F79" s="246" t="str">
        <f t="shared" ca="1" si="11"/>
        <v>Isobutane</v>
      </c>
      <c r="G79" s="246">
        <f t="shared" ca="1" si="12"/>
        <v>58.122199999999992</v>
      </c>
      <c r="H79" s="204">
        <f ca="1">IF(G79="","",IF(VLOOKUP(Separator!F79,'Species Data'!D:F,3,FALSE)=0,"X",IF(G79&lt;44.1,2,1)))</f>
        <v>1</v>
      </c>
      <c r="I79" s="204">
        <f t="shared" ca="1" si="13"/>
        <v>4.1096388128517507</v>
      </c>
      <c r="J79" s="247">
        <f ca="1">IF(I79="","",IF(COUNTIF($D$12:D79,D79)=1,IF(H79=1,I79*H79,IF(H79="X","X",0)),0))</f>
        <v>0</v>
      </c>
      <c r="K79" s="248">
        <f t="shared" ca="1" si="14"/>
        <v>0</v>
      </c>
      <c r="L79" s="197" t="s">
        <v>678</v>
      </c>
      <c r="M79" s="197" t="s">
        <v>448</v>
      </c>
      <c r="N79" s="197" t="s">
        <v>470</v>
      </c>
      <c r="O79" s="198">
        <v>41419</v>
      </c>
      <c r="P79" s="197" t="s">
        <v>531</v>
      </c>
      <c r="Q79" s="199">
        <v>100</v>
      </c>
      <c r="R79" s="197" t="s">
        <v>445</v>
      </c>
      <c r="S79" s="197" t="s">
        <v>532</v>
      </c>
      <c r="T79" s="197" t="s">
        <v>445</v>
      </c>
      <c r="U79" s="197" t="s">
        <v>446</v>
      </c>
      <c r="V79" s="199" t="b">
        <v>1</v>
      </c>
      <c r="W79" s="199">
        <v>1989</v>
      </c>
      <c r="X79" s="199">
        <v>5</v>
      </c>
      <c r="Y79" s="199">
        <v>2</v>
      </c>
      <c r="Z79" s="199">
        <v>4</v>
      </c>
      <c r="AA79" s="197" t="s">
        <v>447</v>
      </c>
      <c r="AB79" s="197" t="s">
        <v>531</v>
      </c>
      <c r="AC79" s="197" t="s">
        <v>533</v>
      </c>
      <c r="AD79" s="199">
        <v>1.9008879999999999</v>
      </c>
      <c r="AE79" s="199">
        <v>491</v>
      </c>
      <c r="AF79" s="199">
        <v>3.8778000000000001</v>
      </c>
      <c r="AG79" s="199">
        <v>-99</v>
      </c>
      <c r="AH79" s="197" t="s">
        <v>224</v>
      </c>
      <c r="AI79" s="197" t="s">
        <v>449</v>
      </c>
      <c r="AJ79" s="197" t="s">
        <v>268</v>
      </c>
      <c r="AK79" s="197" t="s">
        <v>531</v>
      </c>
      <c r="AL79" s="197" t="s">
        <v>375</v>
      </c>
      <c r="AM79" s="199" t="b">
        <v>1</v>
      </c>
      <c r="AN79" s="199" t="b">
        <v>0</v>
      </c>
      <c r="AO79" s="197" t="s">
        <v>269</v>
      </c>
      <c r="AP79" s="197" t="s">
        <v>270</v>
      </c>
      <c r="AQ79" s="199">
        <v>58.122199999999992</v>
      </c>
      <c r="AR79" s="199" t="b">
        <v>0</v>
      </c>
      <c r="AS79" s="197" t="s">
        <v>534</v>
      </c>
    </row>
    <row r="80" spans="1:45" s="219" customFormat="1" x14ac:dyDescent="0.25">
      <c r="A80" s="245">
        <f t="shared" si="15"/>
        <v>80</v>
      </c>
      <c r="B80" s="246" t="str">
        <f t="shared" si="8"/>
        <v>Oil Field - Separator</v>
      </c>
      <c r="C80" s="246" t="str">
        <f ca="1">IF(B80="","",VLOOKUP(D80,'Species Data'!B:E,4,FALSE))</f>
        <v>isopentane</v>
      </c>
      <c r="D80" s="246">
        <f t="shared" ca="1" si="9"/>
        <v>508</v>
      </c>
      <c r="E80" s="246">
        <f t="shared" ca="1" si="10"/>
        <v>3.6524000000000001</v>
      </c>
      <c r="F80" s="246" t="str">
        <f t="shared" ca="1" si="11"/>
        <v>Isopentane (2-Methylbutane)</v>
      </c>
      <c r="G80" s="246">
        <f t="shared" ca="1" si="12"/>
        <v>72.148780000000002</v>
      </c>
      <c r="H80" s="204">
        <f ca="1">IF(G80="","",IF(VLOOKUP(Separator!F80,'Species Data'!D:F,3,FALSE)=0,"X",IF(G80&lt;44.1,2,1)))</f>
        <v>1</v>
      </c>
      <c r="I80" s="204">
        <f t="shared" ca="1" si="13"/>
        <v>3.8368384491179319</v>
      </c>
      <c r="J80" s="247">
        <f ca="1">IF(I80="","",IF(COUNTIF($D$12:D80,D80)=1,IF(H80=1,I80*H80,IF(H80="X","X",0)),0))</f>
        <v>0</v>
      </c>
      <c r="K80" s="248">
        <f t="shared" ca="1" si="14"/>
        <v>0</v>
      </c>
      <c r="L80" s="197" t="s">
        <v>678</v>
      </c>
      <c r="M80" s="197" t="s">
        <v>448</v>
      </c>
      <c r="N80" s="197" t="s">
        <v>470</v>
      </c>
      <c r="O80" s="198">
        <v>41419</v>
      </c>
      <c r="P80" s="197" t="s">
        <v>531</v>
      </c>
      <c r="Q80" s="199">
        <v>100</v>
      </c>
      <c r="R80" s="197" t="s">
        <v>445</v>
      </c>
      <c r="S80" s="197" t="s">
        <v>532</v>
      </c>
      <c r="T80" s="197" t="s">
        <v>445</v>
      </c>
      <c r="U80" s="197" t="s">
        <v>446</v>
      </c>
      <c r="V80" s="199" t="b">
        <v>1</v>
      </c>
      <c r="W80" s="199">
        <v>1989</v>
      </c>
      <c r="X80" s="199">
        <v>5</v>
      </c>
      <c r="Y80" s="199">
        <v>2</v>
      </c>
      <c r="Z80" s="199">
        <v>4</v>
      </c>
      <c r="AA80" s="197" t="s">
        <v>447</v>
      </c>
      <c r="AB80" s="197" t="s">
        <v>531</v>
      </c>
      <c r="AC80" s="197" t="s">
        <v>533</v>
      </c>
      <c r="AD80" s="199">
        <v>1.9008879999999999</v>
      </c>
      <c r="AE80" s="199">
        <v>508</v>
      </c>
      <c r="AF80" s="199">
        <v>3.6524000000000001</v>
      </c>
      <c r="AG80" s="199">
        <v>-99</v>
      </c>
      <c r="AH80" s="197" t="s">
        <v>224</v>
      </c>
      <c r="AI80" s="197" t="s">
        <v>449</v>
      </c>
      <c r="AJ80" s="197" t="s">
        <v>342</v>
      </c>
      <c r="AK80" s="197" t="s">
        <v>531</v>
      </c>
      <c r="AL80" s="197" t="s">
        <v>395</v>
      </c>
      <c r="AM80" s="199" t="b">
        <v>1</v>
      </c>
      <c r="AN80" s="199" t="b">
        <v>0</v>
      </c>
      <c r="AO80" s="197" t="s">
        <v>343</v>
      </c>
      <c r="AP80" s="197" t="s">
        <v>344</v>
      </c>
      <c r="AQ80" s="199">
        <v>72.148780000000002</v>
      </c>
      <c r="AR80" s="199" t="b">
        <v>0</v>
      </c>
      <c r="AS80" s="197" t="s">
        <v>534</v>
      </c>
    </row>
    <row r="81" spans="1:45" s="219" customFormat="1" x14ac:dyDescent="0.25">
      <c r="A81" s="245">
        <f t="shared" si="15"/>
        <v>81</v>
      </c>
      <c r="B81" s="246" t="str">
        <f t="shared" si="8"/>
        <v>Oil Field - Separator</v>
      </c>
      <c r="C81" s="246" t="str">
        <f ca="1">IF(B81="","",VLOOKUP(D81,'Species Data'!B:E,4,FALSE))</f>
        <v>isopben</v>
      </c>
      <c r="D81" s="246">
        <f t="shared" ca="1" si="9"/>
        <v>514</v>
      </c>
      <c r="E81" s="246">
        <f t="shared" ca="1" si="10"/>
        <v>4.4999999999999997E-3</v>
      </c>
      <c r="F81" s="246" t="str">
        <f t="shared" ca="1" si="11"/>
        <v>Isopropylbenzene (cumene)</v>
      </c>
      <c r="G81" s="246">
        <f t="shared" ca="1" si="12"/>
        <v>120.19158</v>
      </c>
      <c r="H81" s="204">
        <f ca="1">IF(G81="","",IF(VLOOKUP(Separator!F81,'Species Data'!D:F,3,FALSE)=0,"X",IF(G81&lt;44.1,2,1)))</f>
        <v>1</v>
      </c>
      <c r="I81" s="204">
        <f t="shared" ca="1" si="13"/>
        <v>2.6333368444491252E-3</v>
      </c>
      <c r="J81" s="247">
        <f ca="1">IF(I81="","",IF(COUNTIF($D$12:D81,D81)=1,IF(H81=1,I81*H81,IF(H81="X","X",0)),0))</f>
        <v>0</v>
      </c>
      <c r="K81" s="248">
        <f t="shared" ca="1" si="14"/>
        <v>0</v>
      </c>
      <c r="L81" s="197" t="s">
        <v>678</v>
      </c>
      <c r="M81" s="197" t="s">
        <v>448</v>
      </c>
      <c r="N81" s="197" t="s">
        <v>470</v>
      </c>
      <c r="O81" s="198">
        <v>41419</v>
      </c>
      <c r="P81" s="197" t="s">
        <v>531</v>
      </c>
      <c r="Q81" s="199">
        <v>100</v>
      </c>
      <c r="R81" s="197" t="s">
        <v>445</v>
      </c>
      <c r="S81" s="197" t="s">
        <v>532</v>
      </c>
      <c r="T81" s="197" t="s">
        <v>445</v>
      </c>
      <c r="U81" s="197" t="s">
        <v>446</v>
      </c>
      <c r="V81" s="199" t="b">
        <v>1</v>
      </c>
      <c r="W81" s="199">
        <v>1989</v>
      </c>
      <c r="X81" s="199">
        <v>5</v>
      </c>
      <c r="Y81" s="199">
        <v>2</v>
      </c>
      <c r="Z81" s="199">
        <v>4</v>
      </c>
      <c r="AA81" s="197" t="s">
        <v>447</v>
      </c>
      <c r="AB81" s="197" t="s">
        <v>531</v>
      </c>
      <c r="AC81" s="197" t="s">
        <v>533</v>
      </c>
      <c r="AD81" s="199">
        <v>1.9008879999999999</v>
      </c>
      <c r="AE81" s="199">
        <v>514</v>
      </c>
      <c r="AF81" s="199">
        <v>4.4999999999999997E-3</v>
      </c>
      <c r="AG81" s="199">
        <v>-99</v>
      </c>
      <c r="AH81" s="197" t="s">
        <v>224</v>
      </c>
      <c r="AI81" s="197" t="s">
        <v>449</v>
      </c>
      <c r="AJ81" s="197" t="s">
        <v>362</v>
      </c>
      <c r="AK81" s="197" t="s">
        <v>531</v>
      </c>
      <c r="AL81" s="197" t="s">
        <v>399</v>
      </c>
      <c r="AM81" s="199" t="b">
        <v>1</v>
      </c>
      <c r="AN81" s="199" t="b">
        <v>1</v>
      </c>
      <c r="AO81" s="197" t="s">
        <v>363</v>
      </c>
      <c r="AP81" s="197" t="s">
        <v>364</v>
      </c>
      <c r="AQ81" s="199">
        <v>120.19158</v>
      </c>
      <c r="AR81" s="199" t="b">
        <v>0</v>
      </c>
      <c r="AS81" s="197" t="s">
        <v>534</v>
      </c>
    </row>
    <row r="82" spans="1:45" s="219" customFormat="1" x14ac:dyDescent="0.25">
      <c r="A82" s="245">
        <f t="shared" si="15"/>
        <v>82</v>
      </c>
      <c r="B82" s="246" t="str">
        <f t="shared" si="8"/>
        <v>Oil Field - Separator</v>
      </c>
      <c r="C82" s="246" t="str">
        <f ca="1">IF(B82="","",VLOOKUP(D82,'Species Data'!B:E,4,FALSE))</f>
        <v>M_xylene</v>
      </c>
      <c r="D82" s="246">
        <f t="shared" ca="1" si="9"/>
        <v>524</v>
      </c>
      <c r="E82" s="246">
        <f t="shared" ca="1" si="10"/>
        <v>3.0200000000000001E-2</v>
      </c>
      <c r="F82" s="246" t="str">
        <f t="shared" ca="1" si="11"/>
        <v>M-xylene</v>
      </c>
      <c r="G82" s="246">
        <f t="shared" ca="1" si="12"/>
        <v>106.16500000000001</v>
      </c>
      <c r="H82" s="204">
        <f ca="1">IF(G82="","",IF(VLOOKUP(Separator!F82,'Species Data'!D:F,3,FALSE)=0,"X",IF(G82&lt;44.1,2,1)))</f>
        <v>1</v>
      </c>
      <c r="I82" s="204">
        <f t="shared" ca="1" si="13"/>
        <v>3.2466709955613272E-2</v>
      </c>
      <c r="J82" s="247">
        <f ca="1">IF(I82="","",IF(COUNTIF($D$12:D82,D82)=1,IF(H82=1,I82*H82,IF(H82="X","X",0)),0))</f>
        <v>0</v>
      </c>
      <c r="K82" s="248">
        <f t="shared" ca="1" si="14"/>
        <v>0</v>
      </c>
      <c r="L82" s="197" t="s">
        <v>678</v>
      </c>
      <c r="M82" s="197" t="s">
        <v>448</v>
      </c>
      <c r="N82" s="197" t="s">
        <v>470</v>
      </c>
      <c r="O82" s="198">
        <v>41419</v>
      </c>
      <c r="P82" s="197" t="s">
        <v>531</v>
      </c>
      <c r="Q82" s="199">
        <v>100</v>
      </c>
      <c r="R82" s="197" t="s">
        <v>445</v>
      </c>
      <c r="S82" s="197" t="s">
        <v>532</v>
      </c>
      <c r="T82" s="197" t="s">
        <v>445</v>
      </c>
      <c r="U82" s="197" t="s">
        <v>446</v>
      </c>
      <c r="V82" s="199" t="b">
        <v>1</v>
      </c>
      <c r="W82" s="199">
        <v>1989</v>
      </c>
      <c r="X82" s="199">
        <v>5</v>
      </c>
      <c r="Y82" s="199">
        <v>2</v>
      </c>
      <c r="Z82" s="199">
        <v>4</v>
      </c>
      <c r="AA82" s="197" t="s">
        <v>447</v>
      </c>
      <c r="AB82" s="197" t="s">
        <v>531</v>
      </c>
      <c r="AC82" s="197" t="s">
        <v>533</v>
      </c>
      <c r="AD82" s="199">
        <v>1.9008879999999999</v>
      </c>
      <c r="AE82" s="199">
        <v>524</v>
      </c>
      <c r="AF82" s="199">
        <v>3.0200000000000001E-2</v>
      </c>
      <c r="AG82" s="199">
        <v>-99</v>
      </c>
      <c r="AH82" s="197" t="s">
        <v>224</v>
      </c>
      <c r="AI82" s="197" t="s">
        <v>449</v>
      </c>
      <c r="AJ82" s="197" t="s">
        <v>436</v>
      </c>
      <c r="AK82" s="197" t="s">
        <v>531</v>
      </c>
      <c r="AL82" s="197" t="s">
        <v>460</v>
      </c>
      <c r="AM82" s="199" t="b">
        <v>0</v>
      </c>
      <c r="AN82" s="199" t="b">
        <v>1</v>
      </c>
      <c r="AO82" s="197" t="s">
        <v>437</v>
      </c>
      <c r="AP82" s="197" t="s">
        <v>438</v>
      </c>
      <c r="AQ82" s="199">
        <v>106.16500000000001</v>
      </c>
      <c r="AR82" s="199" t="b">
        <v>0</v>
      </c>
      <c r="AS82" s="197" t="s">
        <v>534</v>
      </c>
    </row>
    <row r="83" spans="1:45" s="219" customFormat="1" x14ac:dyDescent="0.25">
      <c r="A83" s="245">
        <f t="shared" si="15"/>
        <v>83</v>
      </c>
      <c r="B83" s="246" t="str">
        <f t="shared" si="8"/>
        <v>Oil Field - Separator</v>
      </c>
      <c r="C83" s="246" t="str">
        <f ca="1">IF(B83="","",VLOOKUP(D83,'Species Data'!B:E,4,FALSE))</f>
        <v>methane</v>
      </c>
      <c r="D83" s="246">
        <f t="shared" ca="1" si="9"/>
        <v>529</v>
      </c>
      <c r="E83" s="246">
        <f t="shared" ca="1" si="10"/>
        <v>31.968</v>
      </c>
      <c r="F83" s="246" t="str">
        <f t="shared" ca="1" si="11"/>
        <v>Methane</v>
      </c>
      <c r="G83" s="246">
        <f t="shared" ca="1" si="12"/>
        <v>16.042459999999998</v>
      </c>
      <c r="H83" s="204">
        <f ca="1">IF(G83="","",IF(VLOOKUP(Separator!F83,'Species Data'!D:F,3,FALSE)=0,"X",IF(G83&lt;44.1,2,1)))</f>
        <v>2</v>
      </c>
      <c r="I83" s="204">
        <f t="shared" ca="1" si="13"/>
        <v>30.72677430236573</v>
      </c>
      <c r="J83" s="247">
        <f ca="1">IF(I83="","",IF(COUNTIF($D$12:D83,D83)=1,IF(H83=1,I83*H83,IF(H83="X","X",0)),0))</f>
        <v>0</v>
      </c>
      <c r="K83" s="248">
        <f t="shared" ca="1" si="14"/>
        <v>0</v>
      </c>
      <c r="L83" s="197" t="s">
        <v>678</v>
      </c>
      <c r="M83" s="197" t="s">
        <v>448</v>
      </c>
      <c r="N83" s="197" t="s">
        <v>470</v>
      </c>
      <c r="O83" s="198">
        <v>41419</v>
      </c>
      <c r="P83" s="197" t="s">
        <v>531</v>
      </c>
      <c r="Q83" s="199">
        <v>100</v>
      </c>
      <c r="R83" s="197" t="s">
        <v>445</v>
      </c>
      <c r="S83" s="197" t="s">
        <v>532</v>
      </c>
      <c r="T83" s="197" t="s">
        <v>445</v>
      </c>
      <c r="U83" s="197" t="s">
        <v>446</v>
      </c>
      <c r="V83" s="199" t="b">
        <v>1</v>
      </c>
      <c r="W83" s="199">
        <v>1989</v>
      </c>
      <c r="X83" s="199">
        <v>5</v>
      </c>
      <c r="Y83" s="199">
        <v>2</v>
      </c>
      <c r="Z83" s="199">
        <v>4</v>
      </c>
      <c r="AA83" s="197" t="s">
        <v>447</v>
      </c>
      <c r="AB83" s="197" t="s">
        <v>531</v>
      </c>
      <c r="AC83" s="197" t="s">
        <v>533</v>
      </c>
      <c r="AD83" s="199">
        <v>1.9008879999999999</v>
      </c>
      <c r="AE83" s="199">
        <v>529</v>
      </c>
      <c r="AF83" s="199">
        <v>31.968</v>
      </c>
      <c r="AG83" s="199">
        <v>-99</v>
      </c>
      <c r="AH83" s="197" t="s">
        <v>224</v>
      </c>
      <c r="AI83" s="197" t="s">
        <v>449</v>
      </c>
      <c r="AJ83" s="197" t="s">
        <v>271</v>
      </c>
      <c r="AK83" s="197" t="s">
        <v>531</v>
      </c>
      <c r="AL83" s="197" t="s">
        <v>376</v>
      </c>
      <c r="AM83" s="199" t="b">
        <v>0</v>
      </c>
      <c r="AN83" s="199" t="b">
        <v>0</v>
      </c>
      <c r="AO83" s="197" t="s">
        <v>272</v>
      </c>
      <c r="AP83" s="197" t="s">
        <v>531</v>
      </c>
      <c r="AQ83" s="199">
        <v>16.042459999999998</v>
      </c>
      <c r="AR83" s="199" t="b">
        <v>1</v>
      </c>
      <c r="AS83" s="197" t="s">
        <v>534</v>
      </c>
    </row>
    <row r="84" spans="1:45" s="219" customFormat="1" x14ac:dyDescent="0.25">
      <c r="A84" s="245">
        <f t="shared" si="15"/>
        <v>84</v>
      </c>
      <c r="B84" s="246" t="str">
        <f t="shared" si="8"/>
        <v>Oil Field - Separator</v>
      </c>
      <c r="C84" s="246" t="str">
        <f ca="1">IF(B84="","",VLOOKUP(D84,'Species Data'!B:E,4,FALSE))</f>
        <v>methcychex</v>
      </c>
      <c r="D84" s="246">
        <f t="shared" ca="1" si="9"/>
        <v>550</v>
      </c>
      <c r="E84" s="246">
        <f t="shared" ca="1" si="10"/>
        <v>0.79330000000000001</v>
      </c>
      <c r="F84" s="246" t="str">
        <f t="shared" ca="1" si="11"/>
        <v>Methylcyclohexane</v>
      </c>
      <c r="G84" s="246">
        <f t="shared" ca="1" si="12"/>
        <v>98.186059999999998</v>
      </c>
      <c r="H84" s="204">
        <f ca="1">IF(G84="","",IF(VLOOKUP(Separator!F84,'Species Data'!D:F,3,FALSE)=0,"X",IF(G84&lt;44.1,2,1)))</f>
        <v>1</v>
      </c>
      <c r="I84" s="204">
        <f t="shared" ca="1" si="13"/>
        <v>0.97356796475728624</v>
      </c>
      <c r="J84" s="247">
        <f ca="1">IF(I84="","",IF(COUNTIF($D$12:D84,D84)=1,IF(H84=1,I84*H84,IF(H84="X","X",0)),0))</f>
        <v>0</v>
      </c>
      <c r="K84" s="248">
        <f t="shared" ca="1" si="14"/>
        <v>0</v>
      </c>
      <c r="L84" s="197" t="s">
        <v>678</v>
      </c>
      <c r="M84" s="197" t="s">
        <v>448</v>
      </c>
      <c r="N84" s="197" t="s">
        <v>470</v>
      </c>
      <c r="O84" s="198">
        <v>41419</v>
      </c>
      <c r="P84" s="197" t="s">
        <v>531</v>
      </c>
      <c r="Q84" s="199">
        <v>100</v>
      </c>
      <c r="R84" s="197" t="s">
        <v>445</v>
      </c>
      <c r="S84" s="197" t="s">
        <v>532</v>
      </c>
      <c r="T84" s="197" t="s">
        <v>445</v>
      </c>
      <c r="U84" s="197" t="s">
        <v>446</v>
      </c>
      <c r="V84" s="199" t="b">
        <v>1</v>
      </c>
      <c r="W84" s="199">
        <v>1989</v>
      </c>
      <c r="X84" s="199">
        <v>5</v>
      </c>
      <c r="Y84" s="199">
        <v>2</v>
      </c>
      <c r="Z84" s="199">
        <v>4</v>
      </c>
      <c r="AA84" s="197" t="s">
        <v>447</v>
      </c>
      <c r="AB84" s="197" t="s">
        <v>531</v>
      </c>
      <c r="AC84" s="197" t="s">
        <v>533</v>
      </c>
      <c r="AD84" s="199">
        <v>1.9008879999999999</v>
      </c>
      <c r="AE84" s="199">
        <v>550</v>
      </c>
      <c r="AF84" s="199">
        <v>0.79330000000000001</v>
      </c>
      <c r="AG84" s="199">
        <v>-99</v>
      </c>
      <c r="AH84" s="197" t="s">
        <v>224</v>
      </c>
      <c r="AI84" s="197" t="s">
        <v>449</v>
      </c>
      <c r="AJ84" s="197" t="s">
        <v>348</v>
      </c>
      <c r="AK84" s="197" t="s">
        <v>531</v>
      </c>
      <c r="AL84" s="197" t="s">
        <v>396</v>
      </c>
      <c r="AM84" s="199" t="b">
        <v>1</v>
      </c>
      <c r="AN84" s="199" t="b">
        <v>0</v>
      </c>
      <c r="AO84" s="197" t="s">
        <v>349</v>
      </c>
      <c r="AP84" s="197" t="s">
        <v>350</v>
      </c>
      <c r="AQ84" s="199">
        <v>98.186059999999998</v>
      </c>
      <c r="AR84" s="199" t="b">
        <v>0</v>
      </c>
      <c r="AS84" s="197" t="s">
        <v>534</v>
      </c>
    </row>
    <row r="85" spans="1:45" s="219" customFormat="1" x14ac:dyDescent="0.25">
      <c r="A85" s="245">
        <f t="shared" si="15"/>
        <v>85</v>
      </c>
      <c r="B85" s="246" t="str">
        <f t="shared" si="8"/>
        <v>Oil Field - Separator</v>
      </c>
      <c r="C85" s="246" t="str">
        <f ca="1">IF(B85="","",VLOOKUP(D85,'Species Data'!B:E,4,FALSE))</f>
        <v>methcycpen</v>
      </c>
      <c r="D85" s="246">
        <f t="shared" ca="1" si="9"/>
        <v>551</v>
      </c>
      <c r="E85" s="246">
        <f t="shared" ca="1" si="10"/>
        <v>1.5367</v>
      </c>
      <c r="F85" s="246" t="str">
        <f t="shared" ca="1" si="11"/>
        <v>Methylcyclopentane</v>
      </c>
      <c r="G85" s="246">
        <f t="shared" ca="1" si="12"/>
        <v>84.159480000000002</v>
      </c>
      <c r="H85" s="204">
        <f ca="1">IF(G85="","",IF(VLOOKUP(Separator!F85,'Species Data'!D:F,3,FALSE)=0,"X",IF(G85&lt;44.1,2,1)))</f>
        <v>1</v>
      </c>
      <c r="I85" s="204">
        <f t="shared" ca="1" si="13"/>
        <v>1.9099358799145063</v>
      </c>
      <c r="J85" s="247">
        <f ca="1">IF(I85="","",IF(COUNTIF($D$12:D85,D85)=1,IF(H85=1,I85*H85,IF(H85="X","X",0)),0))</f>
        <v>0</v>
      </c>
      <c r="K85" s="248">
        <f t="shared" ca="1" si="14"/>
        <v>0</v>
      </c>
      <c r="L85" s="197" t="s">
        <v>678</v>
      </c>
      <c r="M85" s="197" t="s">
        <v>448</v>
      </c>
      <c r="N85" s="197" t="s">
        <v>470</v>
      </c>
      <c r="O85" s="198">
        <v>41419</v>
      </c>
      <c r="P85" s="197" t="s">
        <v>531</v>
      </c>
      <c r="Q85" s="199">
        <v>100</v>
      </c>
      <c r="R85" s="197" t="s">
        <v>445</v>
      </c>
      <c r="S85" s="197" t="s">
        <v>532</v>
      </c>
      <c r="T85" s="197" t="s">
        <v>445</v>
      </c>
      <c r="U85" s="197" t="s">
        <v>446</v>
      </c>
      <c r="V85" s="199" t="b">
        <v>1</v>
      </c>
      <c r="W85" s="199">
        <v>1989</v>
      </c>
      <c r="X85" s="199">
        <v>5</v>
      </c>
      <c r="Y85" s="199">
        <v>2</v>
      </c>
      <c r="Z85" s="199">
        <v>4</v>
      </c>
      <c r="AA85" s="197" t="s">
        <v>447</v>
      </c>
      <c r="AB85" s="197" t="s">
        <v>531</v>
      </c>
      <c r="AC85" s="197" t="s">
        <v>533</v>
      </c>
      <c r="AD85" s="199">
        <v>1.9008879999999999</v>
      </c>
      <c r="AE85" s="199">
        <v>551</v>
      </c>
      <c r="AF85" s="199">
        <v>1.5367</v>
      </c>
      <c r="AG85" s="199">
        <v>-99</v>
      </c>
      <c r="AH85" s="197" t="s">
        <v>224</v>
      </c>
      <c r="AI85" s="197" t="s">
        <v>449</v>
      </c>
      <c r="AJ85" s="197" t="s">
        <v>351</v>
      </c>
      <c r="AK85" s="197" t="s">
        <v>531</v>
      </c>
      <c r="AL85" s="197" t="s">
        <v>397</v>
      </c>
      <c r="AM85" s="199" t="b">
        <v>1</v>
      </c>
      <c r="AN85" s="199" t="b">
        <v>0</v>
      </c>
      <c r="AO85" s="197" t="s">
        <v>352</v>
      </c>
      <c r="AP85" s="197" t="s">
        <v>353</v>
      </c>
      <c r="AQ85" s="199">
        <v>84.159480000000002</v>
      </c>
      <c r="AR85" s="199" t="b">
        <v>0</v>
      </c>
      <c r="AS85" s="197" t="s">
        <v>534</v>
      </c>
    </row>
    <row r="86" spans="1:45" s="219" customFormat="1" x14ac:dyDescent="0.25">
      <c r="A86" s="245">
        <f t="shared" si="15"/>
        <v>86</v>
      </c>
      <c r="B86" s="246" t="str">
        <f t="shared" si="8"/>
        <v>Oil Field - Separator</v>
      </c>
      <c r="C86" s="246" t="str">
        <f ca="1">IF(B86="","",VLOOKUP(D86,'Species Data'!B:E,4,FALSE))</f>
        <v>N_but</v>
      </c>
      <c r="D86" s="246">
        <f t="shared" ca="1" si="9"/>
        <v>592</v>
      </c>
      <c r="E86" s="246">
        <f t="shared" ca="1" si="10"/>
        <v>11.4358</v>
      </c>
      <c r="F86" s="246" t="str">
        <f t="shared" ca="1" si="11"/>
        <v>N-butane</v>
      </c>
      <c r="G86" s="246">
        <f t="shared" ca="1" si="12"/>
        <v>58.122199999999992</v>
      </c>
      <c r="H86" s="204">
        <f ca="1">IF(G86="","",IF(VLOOKUP(Separator!F86,'Species Data'!D:F,3,FALSE)=0,"X",IF(G86&lt;44.1,2,1)))</f>
        <v>1</v>
      </c>
      <c r="I86" s="204">
        <f t="shared" ca="1" si="13"/>
        <v>11.815882421176561</v>
      </c>
      <c r="J86" s="247">
        <f ca="1">IF(I86="","",IF(COUNTIF($D$12:D86,D86)=1,IF(H86=1,I86*H86,IF(H86="X","X",0)),0))</f>
        <v>0</v>
      </c>
      <c r="K86" s="248">
        <f t="shared" ca="1" si="14"/>
        <v>0</v>
      </c>
      <c r="L86" s="197" t="s">
        <v>678</v>
      </c>
      <c r="M86" s="197" t="s">
        <v>448</v>
      </c>
      <c r="N86" s="197" t="s">
        <v>470</v>
      </c>
      <c r="O86" s="198">
        <v>41419</v>
      </c>
      <c r="P86" s="197" t="s">
        <v>531</v>
      </c>
      <c r="Q86" s="199">
        <v>100</v>
      </c>
      <c r="R86" s="197" t="s">
        <v>445</v>
      </c>
      <c r="S86" s="197" t="s">
        <v>532</v>
      </c>
      <c r="T86" s="197" t="s">
        <v>445</v>
      </c>
      <c r="U86" s="197" t="s">
        <v>446</v>
      </c>
      <c r="V86" s="199" t="b">
        <v>1</v>
      </c>
      <c r="W86" s="199">
        <v>1989</v>
      </c>
      <c r="X86" s="199">
        <v>5</v>
      </c>
      <c r="Y86" s="199">
        <v>2</v>
      </c>
      <c r="Z86" s="199">
        <v>4</v>
      </c>
      <c r="AA86" s="197" t="s">
        <v>447</v>
      </c>
      <c r="AB86" s="197" t="s">
        <v>531</v>
      </c>
      <c r="AC86" s="197" t="s">
        <v>533</v>
      </c>
      <c r="AD86" s="199">
        <v>1.9008879999999999</v>
      </c>
      <c r="AE86" s="199">
        <v>592</v>
      </c>
      <c r="AF86" s="199">
        <v>11.4358</v>
      </c>
      <c r="AG86" s="199">
        <v>-99</v>
      </c>
      <c r="AH86" s="197" t="s">
        <v>224</v>
      </c>
      <c r="AI86" s="197" t="s">
        <v>449</v>
      </c>
      <c r="AJ86" s="197" t="s">
        <v>273</v>
      </c>
      <c r="AK86" s="197" t="s">
        <v>531</v>
      </c>
      <c r="AL86" s="197" t="s">
        <v>377</v>
      </c>
      <c r="AM86" s="199" t="b">
        <v>1</v>
      </c>
      <c r="AN86" s="199" t="b">
        <v>0</v>
      </c>
      <c r="AO86" s="197" t="s">
        <v>274</v>
      </c>
      <c r="AP86" s="197" t="s">
        <v>275</v>
      </c>
      <c r="AQ86" s="199">
        <v>58.122199999999992</v>
      </c>
      <c r="AR86" s="199" t="b">
        <v>0</v>
      </c>
      <c r="AS86" s="197" t="s">
        <v>534</v>
      </c>
    </row>
    <row r="87" spans="1:45" s="219" customFormat="1" x14ac:dyDescent="0.25">
      <c r="A87" s="245">
        <f t="shared" si="15"/>
        <v>87</v>
      </c>
      <c r="B87" s="246" t="str">
        <f t="shared" si="8"/>
        <v>Oil Field - Separator</v>
      </c>
      <c r="C87" s="246" t="str">
        <f ca="1">IF(B87="","",VLOOKUP(D87,'Species Data'!B:E,4,FALSE))</f>
        <v>N_dec</v>
      </c>
      <c r="D87" s="246">
        <f t="shared" ca="1" si="9"/>
        <v>598</v>
      </c>
      <c r="E87" s="246">
        <f t="shared" ca="1" si="10"/>
        <v>4.1000000000000003E-3</v>
      </c>
      <c r="F87" s="246" t="str">
        <f t="shared" ca="1" si="11"/>
        <v>N-decane</v>
      </c>
      <c r="G87" s="246">
        <f t="shared" ca="1" si="12"/>
        <v>142.28167999999999</v>
      </c>
      <c r="H87" s="204">
        <f ca="1">IF(G87="","",IF(VLOOKUP(Separator!F87,'Species Data'!D:F,3,FALSE)=0,"X",IF(G87&lt;44.1,2,1)))</f>
        <v>1</v>
      </c>
      <c r="I87" s="204">
        <f t="shared" ca="1" si="13"/>
        <v>3.5000046666728889E-3</v>
      </c>
      <c r="J87" s="247">
        <f ca="1">IF(I87="","",IF(COUNTIF($D$12:D87,D87)=1,IF(H87=1,I87*H87,IF(H87="X","X",0)),0))</f>
        <v>0</v>
      </c>
      <c r="K87" s="248">
        <f t="shared" ca="1" si="14"/>
        <v>0</v>
      </c>
      <c r="L87" s="197" t="s">
        <v>678</v>
      </c>
      <c r="M87" s="197" t="s">
        <v>448</v>
      </c>
      <c r="N87" s="197" t="s">
        <v>470</v>
      </c>
      <c r="O87" s="198">
        <v>41419</v>
      </c>
      <c r="P87" s="197" t="s">
        <v>531</v>
      </c>
      <c r="Q87" s="199">
        <v>100</v>
      </c>
      <c r="R87" s="197" t="s">
        <v>445</v>
      </c>
      <c r="S87" s="197" t="s">
        <v>532</v>
      </c>
      <c r="T87" s="197" t="s">
        <v>445</v>
      </c>
      <c r="U87" s="197" t="s">
        <v>446</v>
      </c>
      <c r="V87" s="199" t="b">
        <v>1</v>
      </c>
      <c r="W87" s="199">
        <v>1989</v>
      </c>
      <c r="X87" s="199">
        <v>5</v>
      </c>
      <c r="Y87" s="199">
        <v>2</v>
      </c>
      <c r="Z87" s="199">
        <v>4</v>
      </c>
      <c r="AA87" s="197" t="s">
        <v>447</v>
      </c>
      <c r="AB87" s="197" t="s">
        <v>531</v>
      </c>
      <c r="AC87" s="197" t="s">
        <v>533</v>
      </c>
      <c r="AD87" s="199">
        <v>1.9008879999999999</v>
      </c>
      <c r="AE87" s="199">
        <v>598</v>
      </c>
      <c r="AF87" s="199">
        <v>4.1000000000000003E-3</v>
      </c>
      <c r="AG87" s="199">
        <v>-99</v>
      </c>
      <c r="AH87" s="197" t="s">
        <v>224</v>
      </c>
      <c r="AI87" s="197" t="s">
        <v>449</v>
      </c>
      <c r="AJ87" s="197" t="s">
        <v>414</v>
      </c>
      <c r="AK87" s="197" t="s">
        <v>531</v>
      </c>
      <c r="AL87" s="197" t="s">
        <v>452</v>
      </c>
      <c r="AM87" s="199" t="b">
        <v>1</v>
      </c>
      <c r="AN87" s="199" t="b">
        <v>0</v>
      </c>
      <c r="AO87" s="197" t="s">
        <v>415</v>
      </c>
      <c r="AP87" s="197" t="s">
        <v>416</v>
      </c>
      <c r="AQ87" s="199">
        <v>142.28167999999999</v>
      </c>
      <c r="AR87" s="199" t="b">
        <v>0</v>
      </c>
      <c r="AS87" s="197" t="s">
        <v>534</v>
      </c>
    </row>
    <row r="88" spans="1:45" s="219" customFormat="1" x14ac:dyDescent="0.25">
      <c r="A88" s="245">
        <f t="shared" si="15"/>
        <v>88</v>
      </c>
      <c r="B88" s="246" t="str">
        <f t="shared" si="8"/>
        <v>Oil Field - Separator</v>
      </c>
      <c r="C88" s="246" t="str">
        <f ca="1">IF(B88="","",VLOOKUP(D88,'Species Data'!B:E,4,FALSE))</f>
        <v>N_hep</v>
      </c>
      <c r="D88" s="246">
        <f t="shared" ca="1" si="9"/>
        <v>600</v>
      </c>
      <c r="E88" s="246">
        <f t="shared" ca="1" si="10"/>
        <v>0.26910000000000001</v>
      </c>
      <c r="F88" s="246" t="str">
        <f t="shared" ca="1" si="11"/>
        <v>N-heptane</v>
      </c>
      <c r="G88" s="246">
        <f t="shared" ca="1" si="12"/>
        <v>100.20194000000001</v>
      </c>
      <c r="H88" s="204">
        <f ca="1">IF(G88="","",IF(VLOOKUP(Separator!F88,'Species Data'!D:F,3,FALSE)=0,"X",IF(G88&lt;44.1,2,1)))</f>
        <v>1</v>
      </c>
      <c r="I88" s="204">
        <f t="shared" ca="1" si="13"/>
        <v>0.43486724648966191</v>
      </c>
      <c r="J88" s="247">
        <f ca="1">IF(I88="","",IF(COUNTIF($D$12:D88,D88)=1,IF(H88=1,I88*H88,IF(H88="X","X",0)),0))</f>
        <v>0</v>
      </c>
      <c r="K88" s="248">
        <f t="shared" ca="1" si="14"/>
        <v>0</v>
      </c>
      <c r="L88" s="197" t="s">
        <v>678</v>
      </c>
      <c r="M88" s="197" t="s">
        <v>448</v>
      </c>
      <c r="N88" s="197" t="s">
        <v>470</v>
      </c>
      <c r="O88" s="198">
        <v>41419</v>
      </c>
      <c r="P88" s="197" t="s">
        <v>531</v>
      </c>
      <c r="Q88" s="199">
        <v>100</v>
      </c>
      <c r="R88" s="197" t="s">
        <v>445</v>
      </c>
      <c r="S88" s="197" t="s">
        <v>532</v>
      </c>
      <c r="T88" s="197" t="s">
        <v>445</v>
      </c>
      <c r="U88" s="197" t="s">
        <v>446</v>
      </c>
      <c r="V88" s="199" t="b">
        <v>1</v>
      </c>
      <c r="W88" s="199">
        <v>1989</v>
      </c>
      <c r="X88" s="199">
        <v>5</v>
      </c>
      <c r="Y88" s="199">
        <v>2</v>
      </c>
      <c r="Z88" s="199">
        <v>4</v>
      </c>
      <c r="AA88" s="197" t="s">
        <v>447</v>
      </c>
      <c r="AB88" s="197" t="s">
        <v>531</v>
      </c>
      <c r="AC88" s="197" t="s">
        <v>533</v>
      </c>
      <c r="AD88" s="199">
        <v>1.9008879999999999</v>
      </c>
      <c r="AE88" s="199">
        <v>600</v>
      </c>
      <c r="AF88" s="199">
        <v>0.26910000000000001</v>
      </c>
      <c r="AG88" s="199">
        <v>-99</v>
      </c>
      <c r="AH88" s="197" t="s">
        <v>224</v>
      </c>
      <c r="AI88" s="197" t="s">
        <v>449</v>
      </c>
      <c r="AJ88" s="197" t="s">
        <v>276</v>
      </c>
      <c r="AK88" s="197" t="s">
        <v>531</v>
      </c>
      <c r="AL88" s="197" t="s">
        <v>378</v>
      </c>
      <c r="AM88" s="199" t="b">
        <v>1</v>
      </c>
      <c r="AN88" s="199" t="b">
        <v>0</v>
      </c>
      <c r="AO88" s="197" t="s">
        <v>277</v>
      </c>
      <c r="AP88" s="197" t="s">
        <v>278</v>
      </c>
      <c r="AQ88" s="199">
        <v>100.20194000000001</v>
      </c>
      <c r="AR88" s="199" t="b">
        <v>0</v>
      </c>
      <c r="AS88" s="197" t="s">
        <v>534</v>
      </c>
    </row>
    <row r="89" spans="1:45" s="219" customFormat="1" x14ac:dyDescent="0.25">
      <c r="A89" s="245">
        <f t="shared" si="15"/>
        <v>89</v>
      </c>
      <c r="B89" s="246" t="str">
        <f t="shared" si="8"/>
        <v>Oil Field - Separator</v>
      </c>
      <c r="C89" s="246" t="str">
        <f ca="1">IF(B89="","",VLOOKUP(D89,'Species Data'!B:E,4,FALSE))</f>
        <v>N_hex</v>
      </c>
      <c r="D89" s="246">
        <f t="shared" ca="1" si="9"/>
        <v>601</v>
      </c>
      <c r="E89" s="246">
        <f t="shared" ca="1" si="10"/>
        <v>0.97040000000000004</v>
      </c>
      <c r="F89" s="246" t="str">
        <f t="shared" ca="1" si="11"/>
        <v>N-hexane</v>
      </c>
      <c r="G89" s="246">
        <f t="shared" ca="1" si="12"/>
        <v>86.175359999999998</v>
      </c>
      <c r="H89" s="204">
        <f ca="1">IF(G89="","",IF(VLOOKUP(Separator!F89,'Species Data'!D:F,3,FALSE)=0,"X",IF(G89&lt;44.1,2,1)))</f>
        <v>1</v>
      </c>
      <c r="I89" s="204">
        <f t="shared" ca="1" si="13"/>
        <v>1.452235269647026</v>
      </c>
      <c r="J89" s="247">
        <f ca="1">IF(I89="","",IF(COUNTIF($D$12:D89,D89)=1,IF(H89=1,I89*H89,IF(H89="X","X",0)),0))</f>
        <v>0</v>
      </c>
      <c r="K89" s="248">
        <f t="shared" ca="1" si="14"/>
        <v>0</v>
      </c>
      <c r="L89" s="197" t="s">
        <v>678</v>
      </c>
      <c r="M89" s="197" t="s">
        <v>448</v>
      </c>
      <c r="N89" s="197" t="s">
        <v>470</v>
      </c>
      <c r="O89" s="198">
        <v>41419</v>
      </c>
      <c r="P89" s="197" t="s">
        <v>531</v>
      </c>
      <c r="Q89" s="199">
        <v>100</v>
      </c>
      <c r="R89" s="197" t="s">
        <v>445</v>
      </c>
      <c r="S89" s="197" t="s">
        <v>532</v>
      </c>
      <c r="T89" s="197" t="s">
        <v>445</v>
      </c>
      <c r="U89" s="197" t="s">
        <v>446</v>
      </c>
      <c r="V89" s="199" t="b">
        <v>1</v>
      </c>
      <c r="W89" s="199">
        <v>1989</v>
      </c>
      <c r="X89" s="199">
        <v>5</v>
      </c>
      <c r="Y89" s="199">
        <v>2</v>
      </c>
      <c r="Z89" s="199">
        <v>4</v>
      </c>
      <c r="AA89" s="197" t="s">
        <v>447</v>
      </c>
      <c r="AB89" s="197" t="s">
        <v>531</v>
      </c>
      <c r="AC89" s="197" t="s">
        <v>533</v>
      </c>
      <c r="AD89" s="199">
        <v>1.9008879999999999</v>
      </c>
      <c r="AE89" s="199">
        <v>601</v>
      </c>
      <c r="AF89" s="199">
        <v>0.97040000000000004</v>
      </c>
      <c r="AG89" s="199">
        <v>-99</v>
      </c>
      <c r="AH89" s="197" t="s">
        <v>224</v>
      </c>
      <c r="AI89" s="197" t="s">
        <v>449</v>
      </c>
      <c r="AJ89" s="197" t="s">
        <v>279</v>
      </c>
      <c r="AK89" s="197" t="s">
        <v>531</v>
      </c>
      <c r="AL89" s="197" t="s">
        <v>379</v>
      </c>
      <c r="AM89" s="199" t="b">
        <v>1</v>
      </c>
      <c r="AN89" s="199" t="b">
        <v>1</v>
      </c>
      <c r="AO89" s="197" t="s">
        <v>280</v>
      </c>
      <c r="AP89" s="197" t="s">
        <v>281</v>
      </c>
      <c r="AQ89" s="199">
        <v>86.175359999999998</v>
      </c>
      <c r="AR89" s="199" t="b">
        <v>0</v>
      </c>
      <c r="AS89" s="197" t="s">
        <v>534</v>
      </c>
    </row>
    <row r="90" spans="1:45" s="219" customFormat="1" x14ac:dyDescent="0.25">
      <c r="A90" s="245">
        <f t="shared" si="15"/>
        <v>90</v>
      </c>
      <c r="B90" s="246" t="str">
        <f t="shared" si="8"/>
        <v>Oil Field - Separator</v>
      </c>
      <c r="C90" s="246" t="str">
        <f ca="1">IF(B90="","",VLOOKUP(D90,'Species Data'!B:E,4,FALSE))</f>
        <v>N_nonane</v>
      </c>
      <c r="D90" s="246">
        <f t="shared" ca="1" si="9"/>
        <v>603</v>
      </c>
      <c r="E90" s="246">
        <f t="shared" ca="1" si="10"/>
        <v>2.81E-2</v>
      </c>
      <c r="F90" s="246" t="str">
        <f t="shared" ca="1" si="11"/>
        <v>N-nonane</v>
      </c>
      <c r="G90" s="246">
        <f t="shared" ca="1" si="12"/>
        <v>128.2551</v>
      </c>
      <c r="H90" s="204">
        <f ca="1">IF(G90="","",IF(VLOOKUP(Separator!F90,'Species Data'!D:F,3,FALSE)=0,"X",IF(G90&lt;44.1,2,1)))</f>
        <v>1</v>
      </c>
      <c r="I90" s="204">
        <f t="shared" ca="1" si="13"/>
        <v>2.256669675559567E-2</v>
      </c>
      <c r="J90" s="247">
        <f ca="1">IF(I90="","",IF(COUNTIF($D$12:D90,D90)=1,IF(H90=1,I90*H90,IF(H90="X","X",0)),0))</f>
        <v>0</v>
      </c>
      <c r="K90" s="248">
        <f t="shared" ca="1" si="14"/>
        <v>0</v>
      </c>
      <c r="L90" s="197" t="s">
        <v>678</v>
      </c>
      <c r="M90" s="197" t="s">
        <v>448</v>
      </c>
      <c r="N90" s="197" t="s">
        <v>470</v>
      </c>
      <c r="O90" s="198">
        <v>41419</v>
      </c>
      <c r="P90" s="197" t="s">
        <v>531</v>
      </c>
      <c r="Q90" s="199">
        <v>100</v>
      </c>
      <c r="R90" s="197" t="s">
        <v>445</v>
      </c>
      <c r="S90" s="197" t="s">
        <v>532</v>
      </c>
      <c r="T90" s="197" t="s">
        <v>445</v>
      </c>
      <c r="U90" s="197" t="s">
        <v>446</v>
      </c>
      <c r="V90" s="199" t="b">
        <v>1</v>
      </c>
      <c r="W90" s="199">
        <v>1989</v>
      </c>
      <c r="X90" s="199">
        <v>5</v>
      </c>
      <c r="Y90" s="199">
        <v>2</v>
      </c>
      <c r="Z90" s="199">
        <v>4</v>
      </c>
      <c r="AA90" s="197" t="s">
        <v>447</v>
      </c>
      <c r="AB90" s="197" t="s">
        <v>531</v>
      </c>
      <c r="AC90" s="197" t="s">
        <v>533</v>
      </c>
      <c r="AD90" s="199">
        <v>1.9008879999999999</v>
      </c>
      <c r="AE90" s="199">
        <v>603</v>
      </c>
      <c r="AF90" s="199">
        <v>2.81E-2</v>
      </c>
      <c r="AG90" s="199">
        <v>-99</v>
      </c>
      <c r="AH90" s="197" t="s">
        <v>224</v>
      </c>
      <c r="AI90" s="197" t="s">
        <v>449</v>
      </c>
      <c r="AJ90" s="197" t="s">
        <v>417</v>
      </c>
      <c r="AK90" s="197" t="s">
        <v>531</v>
      </c>
      <c r="AL90" s="197" t="s">
        <v>453</v>
      </c>
      <c r="AM90" s="199" t="b">
        <v>1</v>
      </c>
      <c r="AN90" s="199" t="b">
        <v>0</v>
      </c>
      <c r="AO90" s="197" t="s">
        <v>418</v>
      </c>
      <c r="AP90" s="197" t="s">
        <v>419</v>
      </c>
      <c r="AQ90" s="199">
        <v>128.2551</v>
      </c>
      <c r="AR90" s="199" t="b">
        <v>0</v>
      </c>
      <c r="AS90" s="197" t="s">
        <v>534</v>
      </c>
    </row>
    <row r="91" spans="1:45" s="219" customFormat="1" x14ac:dyDescent="0.25">
      <c r="A91" s="245">
        <f t="shared" si="15"/>
        <v>91</v>
      </c>
      <c r="B91" s="246" t="str">
        <f t="shared" si="8"/>
        <v>Oil Field - Separator</v>
      </c>
      <c r="C91" s="246" t="str">
        <f ca="1">IF(B91="","",VLOOKUP(D91,'Species Data'!B:E,4,FALSE))</f>
        <v>N_octane</v>
      </c>
      <c r="D91" s="246">
        <f t="shared" ca="1" si="9"/>
        <v>604</v>
      </c>
      <c r="E91" s="246">
        <f t="shared" ca="1" si="10"/>
        <v>0.16450000000000001</v>
      </c>
      <c r="F91" s="246" t="str">
        <f t="shared" ca="1" si="11"/>
        <v>N-octane</v>
      </c>
      <c r="G91" s="246">
        <f t="shared" ca="1" si="12"/>
        <v>114.22852</v>
      </c>
      <c r="H91" s="204">
        <f ca="1">IF(G91="","",IF(VLOOKUP(Separator!F91,'Species Data'!D:F,3,FALSE)=0,"X",IF(G91&lt;44.1,2,1)))</f>
        <v>1</v>
      </c>
      <c r="I91" s="204">
        <f t="shared" ca="1" si="13"/>
        <v>0.17603356804475737</v>
      </c>
      <c r="J91" s="247">
        <f ca="1">IF(I91="","",IF(COUNTIF($D$12:D91,D91)=1,IF(H91=1,I91*H91,IF(H91="X","X",0)),0))</f>
        <v>0</v>
      </c>
      <c r="K91" s="248">
        <f t="shared" ca="1" si="14"/>
        <v>0</v>
      </c>
      <c r="L91" s="197" t="s">
        <v>678</v>
      </c>
      <c r="M91" s="197" t="s">
        <v>448</v>
      </c>
      <c r="N91" s="197" t="s">
        <v>470</v>
      </c>
      <c r="O91" s="198">
        <v>41419</v>
      </c>
      <c r="P91" s="197" t="s">
        <v>531</v>
      </c>
      <c r="Q91" s="199">
        <v>100</v>
      </c>
      <c r="R91" s="197" t="s">
        <v>445</v>
      </c>
      <c r="S91" s="197" t="s">
        <v>532</v>
      </c>
      <c r="T91" s="197" t="s">
        <v>445</v>
      </c>
      <c r="U91" s="197" t="s">
        <v>446</v>
      </c>
      <c r="V91" s="199" t="b">
        <v>1</v>
      </c>
      <c r="W91" s="199">
        <v>1989</v>
      </c>
      <c r="X91" s="199">
        <v>5</v>
      </c>
      <c r="Y91" s="199">
        <v>2</v>
      </c>
      <c r="Z91" s="199">
        <v>4</v>
      </c>
      <c r="AA91" s="197" t="s">
        <v>447</v>
      </c>
      <c r="AB91" s="197" t="s">
        <v>531</v>
      </c>
      <c r="AC91" s="197" t="s">
        <v>533</v>
      </c>
      <c r="AD91" s="199">
        <v>1.9008879999999999</v>
      </c>
      <c r="AE91" s="199">
        <v>604</v>
      </c>
      <c r="AF91" s="199">
        <v>0.16450000000000001</v>
      </c>
      <c r="AG91" s="199">
        <v>-99</v>
      </c>
      <c r="AH91" s="197" t="s">
        <v>224</v>
      </c>
      <c r="AI91" s="197" t="s">
        <v>449</v>
      </c>
      <c r="AJ91" s="197" t="s">
        <v>282</v>
      </c>
      <c r="AK91" s="197" t="s">
        <v>531</v>
      </c>
      <c r="AL91" s="197" t="s">
        <v>380</v>
      </c>
      <c r="AM91" s="199" t="b">
        <v>1</v>
      </c>
      <c r="AN91" s="199" t="b">
        <v>0</v>
      </c>
      <c r="AO91" s="197" t="s">
        <v>283</v>
      </c>
      <c r="AP91" s="197" t="s">
        <v>284</v>
      </c>
      <c r="AQ91" s="199">
        <v>114.22852</v>
      </c>
      <c r="AR91" s="199" t="b">
        <v>0</v>
      </c>
      <c r="AS91" s="197" t="s">
        <v>534</v>
      </c>
    </row>
    <row r="92" spans="1:45" s="219" customFormat="1" ht="15" customHeight="1" x14ac:dyDescent="0.25">
      <c r="A92" s="245">
        <f t="shared" si="15"/>
        <v>92</v>
      </c>
      <c r="B92" s="246" t="str">
        <f t="shared" si="8"/>
        <v>Oil Field - Separator</v>
      </c>
      <c r="C92" s="246" t="str">
        <f ca="1">IF(B92="","",VLOOKUP(D92,'Species Data'!B:E,4,FALSE))</f>
        <v>N_pentane</v>
      </c>
      <c r="D92" s="246">
        <f t="shared" ca="1" si="9"/>
        <v>605</v>
      </c>
      <c r="E92" s="246">
        <f t="shared" ca="1" si="10"/>
        <v>3.4792000000000001</v>
      </c>
      <c r="F92" s="246" t="str">
        <f t="shared" ca="1" si="11"/>
        <v>N-pentane</v>
      </c>
      <c r="G92" s="246">
        <f t="shared" ca="1" si="12"/>
        <v>72.148780000000002</v>
      </c>
      <c r="H92" s="204">
        <f ca="1">IF(G92="","",IF(VLOOKUP(Separator!F92,'Species Data'!D:F,3,FALSE)=0,"X",IF(G92&lt;44.1,2,1)))</f>
        <v>1</v>
      </c>
      <c r="I92" s="204">
        <f t="shared" ca="1" si="13"/>
        <v>3.3001044001391997</v>
      </c>
      <c r="J92" s="247">
        <f ca="1">IF(I92="","",IF(COUNTIF($D$12:D92,D92)=1,IF(H92=1,I92*H92,IF(H92="X","X",0)),0))</f>
        <v>0</v>
      </c>
      <c r="K92" s="248">
        <f t="shared" ca="1" si="14"/>
        <v>0</v>
      </c>
      <c r="L92" s="197" t="s">
        <v>678</v>
      </c>
      <c r="M92" s="197" t="s">
        <v>448</v>
      </c>
      <c r="N92" s="197" t="s">
        <v>470</v>
      </c>
      <c r="O92" s="198">
        <v>41419</v>
      </c>
      <c r="P92" s="197" t="s">
        <v>531</v>
      </c>
      <c r="Q92" s="199">
        <v>100</v>
      </c>
      <c r="R92" s="197" t="s">
        <v>445</v>
      </c>
      <c r="S92" s="197" t="s">
        <v>532</v>
      </c>
      <c r="T92" s="197" t="s">
        <v>445</v>
      </c>
      <c r="U92" s="197" t="s">
        <v>446</v>
      </c>
      <c r="V92" s="199" t="b">
        <v>1</v>
      </c>
      <c r="W92" s="199">
        <v>1989</v>
      </c>
      <c r="X92" s="199">
        <v>5</v>
      </c>
      <c r="Y92" s="199">
        <v>2</v>
      </c>
      <c r="Z92" s="199">
        <v>4</v>
      </c>
      <c r="AA92" s="197" t="s">
        <v>447</v>
      </c>
      <c r="AB92" s="197" t="s">
        <v>531</v>
      </c>
      <c r="AC92" s="197" t="s">
        <v>533</v>
      </c>
      <c r="AD92" s="199">
        <v>1.9008879999999999</v>
      </c>
      <c r="AE92" s="199">
        <v>605</v>
      </c>
      <c r="AF92" s="199">
        <v>3.4792000000000001</v>
      </c>
      <c r="AG92" s="199">
        <v>-99</v>
      </c>
      <c r="AH92" s="197" t="s">
        <v>224</v>
      </c>
      <c r="AI92" s="197" t="s">
        <v>449</v>
      </c>
      <c r="AJ92" s="197" t="s">
        <v>285</v>
      </c>
      <c r="AK92" s="197" t="s">
        <v>531</v>
      </c>
      <c r="AL92" s="197" t="s">
        <v>381</v>
      </c>
      <c r="AM92" s="199" t="b">
        <v>1</v>
      </c>
      <c r="AN92" s="199" t="b">
        <v>0</v>
      </c>
      <c r="AO92" s="197" t="s">
        <v>286</v>
      </c>
      <c r="AP92" s="197" t="s">
        <v>287</v>
      </c>
      <c r="AQ92" s="199">
        <v>72.148780000000002</v>
      </c>
      <c r="AR92" s="199" t="b">
        <v>0</v>
      </c>
      <c r="AS92" s="197" t="s">
        <v>534</v>
      </c>
    </row>
    <row r="93" spans="1:45" s="219" customFormat="1" x14ac:dyDescent="0.25">
      <c r="A93" s="245">
        <f t="shared" si="15"/>
        <v>93</v>
      </c>
      <c r="B93" s="246" t="str">
        <f t="shared" si="8"/>
        <v>Oil Field - Separator</v>
      </c>
      <c r="C93" s="246" t="str">
        <f ca="1">IF(B93="","",VLOOKUP(D93,'Species Data'!B:E,4,FALSE))</f>
        <v>N_proben</v>
      </c>
      <c r="D93" s="246">
        <f t="shared" ca="1" si="9"/>
        <v>608</v>
      </c>
      <c r="E93" s="246">
        <f t="shared" ca="1" si="10"/>
        <v>1.2500000000000001E-2</v>
      </c>
      <c r="F93" s="246" t="str">
        <f t="shared" ca="1" si="11"/>
        <v>N-propylbenzene</v>
      </c>
      <c r="G93" s="246">
        <f t="shared" ca="1" si="12"/>
        <v>120.19158</v>
      </c>
      <c r="H93" s="204">
        <f ca="1">IF(G93="","",IF(VLOOKUP(Separator!F93,'Species Data'!D:F,3,FALSE)=0,"X",IF(G93&lt;44.1,2,1)))</f>
        <v>1</v>
      </c>
      <c r="I93" s="204">
        <f t="shared" ca="1" si="13"/>
        <v>7.8333437777917021E-3</v>
      </c>
      <c r="J93" s="247">
        <f ca="1">IF(I93="","",IF(COUNTIF($D$12:D93,D93)=1,IF(H93=1,I93*H93,IF(H93="X","X",0)),0))</f>
        <v>0</v>
      </c>
      <c r="K93" s="248">
        <f t="shared" ca="1" si="14"/>
        <v>0</v>
      </c>
      <c r="L93" s="197" t="s">
        <v>678</v>
      </c>
      <c r="M93" s="197" t="s">
        <v>448</v>
      </c>
      <c r="N93" s="197" t="s">
        <v>470</v>
      </c>
      <c r="O93" s="198">
        <v>41419</v>
      </c>
      <c r="P93" s="197" t="s">
        <v>531</v>
      </c>
      <c r="Q93" s="199">
        <v>100</v>
      </c>
      <c r="R93" s="197" t="s">
        <v>445</v>
      </c>
      <c r="S93" s="197" t="s">
        <v>532</v>
      </c>
      <c r="T93" s="197" t="s">
        <v>445</v>
      </c>
      <c r="U93" s="197" t="s">
        <v>446</v>
      </c>
      <c r="V93" s="199" t="b">
        <v>1</v>
      </c>
      <c r="W93" s="199">
        <v>1989</v>
      </c>
      <c r="X93" s="199">
        <v>5</v>
      </c>
      <c r="Y93" s="199">
        <v>2</v>
      </c>
      <c r="Z93" s="199">
        <v>4</v>
      </c>
      <c r="AA93" s="197" t="s">
        <v>447</v>
      </c>
      <c r="AB93" s="197" t="s">
        <v>531</v>
      </c>
      <c r="AC93" s="197" t="s">
        <v>533</v>
      </c>
      <c r="AD93" s="199">
        <v>1.9008879999999999</v>
      </c>
      <c r="AE93" s="199">
        <v>608</v>
      </c>
      <c r="AF93" s="199">
        <v>1.2500000000000001E-2</v>
      </c>
      <c r="AG93" s="199">
        <v>-99</v>
      </c>
      <c r="AH93" s="197" t="s">
        <v>224</v>
      </c>
      <c r="AI93" s="197" t="s">
        <v>449</v>
      </c>
      <c r="AJ93" s="197" t="s">
        <v>420</v>
      </c>
      <c r="AK93" s="197" t="s">
        <v>531</v>
      </c>
      <c r="AL93" s="197" t="s">
        <v>454</v>
      </c>
      <c r="AM93" s="199" t="b">
        <v>1</v>
      </c>
      <c r="AN93" s="199" t="b">
        <v>0</v>
      </c>
      <c r="AO93" s="197" t="s">
        <v>421</v>
      </c>
      <c r="AP93" s="197" t="s">
        <v>422</v>
      </c>
      <c r="AQ93" s="199">
        <v>120.19158</v>
      </c>
      <c r="AR93" s="199" t="b">
        <v>0</v>
      </c>
      <c r="AS93" s="197" t="s">
        <v>534</v>
      </c>
    </row>
    <row r="94" spans="1:45" s="219" customFormat="1" x14ac:dyDescent="0.25">
      <c r="A94" s="245">
        <f t="shared" si="15"/>
        <v>94</v>
      </c>
      <c r="B94" s="246" t="str">
        <f t="shared" si="8"/>
        <v>Oil Field - Separator</v>
      </c>
      <c r="C94" s="246" t="str">
        <f ca="1">IF(B94="","",VLOOKUP(D94,'Species Data'!B:E,4,FALSE))</f>
        <v>N_und</v>
      </c>
      <c r="D94" s="246">
        <f t="shared" ca="1" si="9"/>
        <v>610</v>
      </c>
      <c r="E94" s="246">
        <f t="shared" ca="1" si="10"/>
        <v>9.1999999999999998E-3</v>
      </c>
      <c r="F94" s="246" t="str">
        <f t="shared" ca="1" si="11"/>
        <v>N-undecane</v>
      </c>
      <c r="G94" s="246">
        <f t="shared" ca="1" si="12"/>
        <v>156.30826000000002</v>
      </c>
      <c r="H94" s="204">
        <f ca="1">IF(G94="","",IF(VLOOKUP(Separator!F94,'Species Data'!D:F,3,FALSE)=0,"X",IF(G94&lt;44.1,2,1)))</f>
        <v>1</v>
      </c>
      <c r="I94" s="204">
        <f t="shared" ca="1" si="13"/>
        <v>3.0666707555610071E-3</v>
      </c>
      <c r="J94" s="247">
        <f ca="1">IF(I94="","",IF(COUNTIF($D$12:D94,D94)=1,IF(H94=1,I94*H94,IF(H94="X","X",0)),0))</f>
        <v>3.0666707555610071E-3</v>
      </c>
      <c r="K94" s="248">
        <f t="shared" ca="1" si="14"/>
        <v>7.486577055594348E-3</v>
      </c>
      <c r="L94" s="197" t="s">
        <v>678</v>
      </c>
      <c r="M94" s="197" t="s">
        <v>448</v>
      </c>
      <c r="N94" s="197" t="s">
        <v>470</v>
      </c>
      <c r="O94" s="198">
        <v>41419</v>
      </c>
      <c r="P94" s="197" t="s">
        <v>531</v>
      </c>
      <c r="Q94" s="199">
        <v>100</v>
      </c>
      <c r="R94" s="197" t="s">
        <v>445</v>
      </c>
      <c r="S94" s="197" t="s">
        <v>532</v>
      </c>
      <c r="T94" s="197" t="s">
        <v>445</v>
      </c>
      <c r="U94" s="197" t="s">
        <v>446</v>
      </c>
      <c r="V94" s="199" t="b">
        <v>1</v>
      </c>
      <c r="W94" s="199">
        <v>1989</v>
      </c>
      <c r="X94" s="199">
        <v>5</v>
      </c>
      <c r="Y94" s="199">
        <v>2</v>
      </c>
      <c r="Z94" s="199">
        <v>4</v>
      </c>
      <c r="AA94" s="197" t="s">
        <v>447</v>
      </c>
      <c r="AB94" s="197" t="s">
        <v>531</v>
      </c>
      <c r="AC94" s="197" t="s">
        <v>533</v>
      </c>
      <c r="AD94" s="199">
        <v>1.9008879999999999</v>
      </c>
      <c r="AE94" s="199">
        <v>610</v>
      </c>
      <c r="AF94" s="199">
        <v>9.1999999999999998E-3</v>
      </c>
      <c r="AG94" s="199">
        <v>-99</v>
      </c>
      <c r="AH94" s="197" t="s">
        <v>224</v>
      </c>
      <c r="AI94" s="197" t="s">
        <v>449</v>
      </c>
      <c r="AJ94" s="197" t="s">
        <v>430</v>
      </c>
      <c r="AK94" s="197" t="s">
        <v>531</v>
      </c>
      <c r="AL94" s="197" t="s">
        <v>458</v>
      </c>
      <c r="AM94" s="199" t="b">
        <v>1</v>
      </c>
      <c r="AN94" s="199" t="b">
        <v>0</v>
      </c>
      <c r="AO94" s="197" t="s">
        <v>431</v>
      </c>
      <c r="AP94" s="197" t="s">
        <v>432</v>
      </c>
      <c r="AQ94" s="199">
        <v>156.30826000000002</v>
      </c>
      <c r="AR94" s="199" t="b">
        <v>0</v>
      </c>
      <c r="AS94" s="197" t="s">
        <v>534</v>
      </c>
    </row>
    <row r="95" spans="1:45" s="219" customFormat="1" x14ac:dyDescent="0.25">
      <c r="A95" s="245">
        <f t="shared" si="15"/>
        <v>95</v>
      </c>
      <c r="B95" s="246" t="str">
        <f t="shared" si="8"/>
        <v>Oil Field - Separator</v>
      </c>
      <c r="C95" s="246" t="str">
        <f ca="1">IF(B95="","",VLOOKUP(D95,'Species Data'!B:E,4,FALSE))</f>
        <v>O_xylene</v>
      </c>
      <c r="D95" s="246">
        <f t="shared" ca="1" si="9"/>
        <v>620</v>
      </c>
      <c r="E95" s="246">
        <f t="shared" ca="1" si="10"/>
        <v>1.83E-2</v>
      </c>
      <c r="F95" s="246" t="str">
        <f t="shared" ca="1" si="11"/>
        <v>O-xylene</v>
      </c>
      <c r="G95" s="246">
        <f t="shared" ca="1" si="12"/>
        <v>106.16500000000001</v>
      </c>
      <c r="H95" s="204">
        <f ca="1">IF(G95="","",IF(VLOOKUP(Separator!F95,'Species Data'!D:F,3,FALSE)=0,"X",IF(G95&lt;44.1,2,1)))</f>
        <v>1</v>
      </c>
      <c r="I95" s="204">
        <f t="shared" ca="1" si="13"/>
        <v>2.0033360044480059E-2</v>
      </c>
      <c r="J95" s="247">
        <f ca="1">IF(I95="","",IF(COUNTIF($D$12:D95,D95)=1,IF(H95=1,I95*H95,IF(H95="X","X",0)),0))</f>
        <v>0</v>
      </c>
      <c r="K95" s="248">
        <f t="shared" ca="1" si="14"/>
        <v>0</v>
      </c>
      <c r="L95" s="197" t="s">
        <v>678</v>
      </c>
      <c r="M95" s="197" t="s">
        <v>448</v>
      </c>
      <c r="N95" s="197" t="s">
        <v>470</v>
      </c>
      <c r="O95" s="198">
        <v>41419</v>
      </c>
      <c r="P95" s="197" t="s">
        <v>531</v>
      </c>
      <c r="Q95" s="199">
        <v>100</v>
      </c>
      <c r="R95" s="197" t="s">
        <v>445</v>
      </c>
      <c r="S95" s="197" t="s">
        <v>532</v>
      </c>
      <c r="T95" s="197" t="s">
        <v>445</v>
      </c>
      <c r="U95" s="197" t="s">
        <v>446</v>
      </c>
      <c r="V95" s="199" t="b">
        <v>1</v>
      </c>
      <c r="W95" s="199">
        <v>1989</v>
      </c>
      <c r="X95" s="199">
        <v>5</v>
      </c>
      <c r="Y95" s="199">
        <v>2</v>
      </c>
      <c r="Z95" s="199">
        <v>4</v>
      </c>
      <c r="AA95" s="197" t="s">
        <v>447</v>
      </c>
      <c r="AB95" s="197" t="s">
        <v>531</v>
      </c>
      <c r="AC95" s="197" t="s">
        <v>533</v>
      </c>
      <c r="AD95" s="199">
        <v>1.9008879999999999</v>
      </c>
      <c r="AE95" s="199">
        <v>620</v>
      </c>
      <c r="AF95" s="199">
        <v>1.83E-2</v>
      </c>
      <c r="AG95" s="199">
        <v>-99</v>
      </c>
      <c r="AH95" s="197" t="s">
        <v>224</v>
      </c>
      <c r="AI95" s="197" t="s">
        <v>449</v>
      </c>
      <c r="AJ95" s="197" t="s">
        <v>354</v>
      </c>
      <c r="AK95" s="197" t="s">
        <v>531</v>
      </c>
      <c r="AL95" s="197" t="s">
        <v>398</v>
      </c>
      <c r="AM95" s="199" t="b">
        <v>1</v>
      </c>
      <c r="AN95" s="199" t="b">
        <v>1</v>
      </c>
      <c r="AO95" s="197" t="s">
        <v>355</v>
      </c>
      <c r="AP95" s="197" t="s">
        <v>356</v>
      </c>
      <c r="AQ95" s="199">
        <v>106.16500000000001</v>
      </c>
      <c r="AR95" s="199" t="b">
        <v>0</v>
      </c>
      <c r="AS95" s="197" t="s">
        <v>534</v>
      </c>
    </row>
    <row r="96" spans="1:45" s="219" customFormat="1" x14ac:dyDescent="0.25">
      <c r="A96" s="245">
        <f t="shared" si="15"/>
        <v>96</v>
      </c>
      <c r="B96" s="246" t="str">
        <f t="shared" si="8"/>
        <v>Oil Field - Separator</v>
      </c>
      <c r="C96" s="246" t="str">
        <f ca="1">IF(B96="","",VLOOKUP(D96,'Species Data'!B:E,4,FALSE))</f>
        <v>P_xylene</v>
      </c>
      <c r="D96" s="246">
        <f t="shared" ca="1" si="9"/>
        <v>648</v>
      </c>
      <c r="E96" s="246">
        <f t="shared" ca="1" si="10"/>
        <v>2.07E-2</v>
      </c>
      <c r="F96" s="246" t="str">
        <f t="shared" ca="1" si="11"/>
        <v>P-xylene</v>
      </c>
      <c r="G96" s="246">
        <f t="shared" ca="1" si="12"/>
        <v>106.16500000000001</v>
      </c>
      <c r="H96" s="204">
        <f ca="1">IF(G96="","",IF(VLOOKUP(Separator!F96,'Species Data'!D:F,3,FALSE)=0,"X",IF(G96&lt;44.1,2,1)))</f>
        <v>1</v>
      </c>
      <c r="I96" s="204">
        <f t="shared" ca="1" si="13"/>
        <v>2.4166698888931849E-2</v>
      </c>
      <c r="J96" s="247">
        <f ca="1">IF(I96="","",IF(COUNTIF($D$12:D96,D96)=1,IF(H96=1,I96*H96,IF(H96="X","X",0)),0))</f>
        <v>0</v>
      </c>
      <c r="K96" s="248">
        <f t="shared" ca="1" si="14"/>
        <v>0</v>
      </c>
      <c r="L96" s="197" t="s">
        <v>678</v>
      </c>
      <c r="M96" s="197" t="s">
        <v>448</v>
      </c>
      <c r="N96" s="197" t="s">
        <v>470</v>
      </c>
      <c r="O96" s="198">
        <v>41419</v>
      </c>
      <c r="P96" s="197" t="s">
        <v>531</v>
      </c>
      <c r="Q96" s="199">
        <v>100</v>
      </c>
      <c r="R96" s="197" t="s">
        <v>445</v>
      </c>
      <c r="S96" s="197" t="s">
        <v>532</v>
      </c>
      <c r="T96" s="197" t="s">
        <v>445</v>
      </c>
      <c r="U96" s="197" t="s">
        <v>446</v>
      </c>
      <c r="V96" s="199" t="b">
        <v>1</v>
      </c>
      <c r="W96" s="199">
        <v>1989</v>
      </c>
      <c r="X96" s="199">
        <v>5</v>
      </c>
      <c r="Y96" s="199">
        <v>2</v>
      </c>
      <c r="Z96" s="199">
        <v>4</v>
      </c>
      <c r="AA96" s="197" t="s">
        <v>447</v>
      </c>
      <c r="AB96" s="197" t="s">
        <v>531</v>
      </c>
      <c r="AC96" s="197" t="s">
        <v>533</v>
      </c>
      <c r="AD96" s="199">
        <v>1.9008879999999999</v>
      </c>
      <c r="AE96" s="199">
        <v>648</v>
      </c>
      <c r="AF96" s="199">
        <v>2.07E-2</v>
      </c>
      <c r="AG96" s="199">
        <v>-99</v>
      </c>
      <c r="AH96" s="197" t="s">
        <v>224</v>
      </c>
      <c r="AI96" s="197" t="s">
        <v>449</v>
      </c>
      <c r="AJ96" s="197" t="s">
        <v>433</v>
      </c>
      <c r="AK96" s="197" t="s">
        <v>531</v>
      </c>
      <c r="AL96" s="197" t="s">
        <v>459</v>
      </c>
      <c r="AM96" s="199" t="b">
        <v>0</v>
      </c>
      <c r="AN96" s="199" t="b">
        <v>1</v>
      </c>
      <c r="AO96" s="197" t="s">
        <v>434</v>
      </c>
      <c r="AP96" s="197" t="s">
        <v>435</v>
      </c>
      <c r="AQ96" s="199">
        <v>106.16500000000001</v>
      </c>
      <c r="AR96" s="199" t="b">
        <v>0</v>
      </c>
      <c r="AS96" s="197" t="s">
        <v>534</v>
      </c>
    </row>
    <row r="97" spans="1:45" s="219" customFormat="1" x14ac:dyDescent="0.25">
      <c r="A97" s="245">
        <f t="shared" si="15"/>
        <v>97</v>
      </c>
      <c r="B97" s="246" t="str">
        <f t="shared" si="8"/>
        <v>Oil Field - Separator</v>
      </c>
      <c r="C97" s="246" t="str">
        <f ca="1">IF(B97="","",VLOOKUP(D97,'Species Data'!B:E,4,FALSE))</f>
        <v>propane</v>
      </c>
      <c r="D97" s="246">
        <f t="shared" ca="1" si="9"/>
        <v>671</v>
      </c>
      <c r="E97" s="246">
        <f t="shared" ca="1" si="10"/>
        <v>17.7471</v>
      </c>
      <c r="F97" s="246" t="str">
        <f t="shared" ca="1" si="11"/>
        <v>Propane</v>
      </c>
      <c r="G97" s="246">
        <f t="shared" ca="1" si="12"/>
        <v>44.095619999999997</v>
      </c>
      <c r="H97" s="204">
        <f ca="1">IF(G97="","",IF(VLOOKUP(Separator!F97,'Species Data'!D:F,3,FALSE)=0,"X",IF(G97&lt;44.1,2,1)))</f>
        <v>2</v>
      </c>
      <c r="I97" s="204">
        <f t="shared" ca="1" si="13"/>
        <v>16.398655198206928</v>
      </c>
      <c r="J97" s="247">
        <f ca="1">IF(I97="","",IF(COUNTIF($D$12:D97,D97)=1,IF(H97=1,I97*H97,IF(H97="X","X",0)),0))</f>
        <v>0</v>
      </c>
      <c r="K97" s="248">
        <f t="shared" ca="1" si="14"/>
        <v>0</v>
      </c>
      <c r="L97" s="197" t="s">
        <v>678</v>
      </c>
      <c r="M97" s="197" t="s">
        <v>448</v>
      </c>
      <c r="N97" s="197" t="s">
        <v>470</v>
      </c>
      <c r="O97" s="198">
        <v>41419</v>
      </c>
      <c r="P97" s="197" t="s">
        <v>531</v>
      </c>
      <c r="Q97" s="199">
        <v>100</v>
      </c>
      <c r="R97" s="197" t="s">
        <v>445</v>
      </c>
      <c r="S97" s="197" t="s">
        <v>532</v>
      </c>
      <c r="T97" s="197" t="s">
        <v>445</v>
      </c>
      <c r="U97" s="197" t="s">
        <v>446</v>
      </c>
      <c r="V97" s="199" t="b">
        <v>1</v>
      </c>
      <c r="W97" s="199">
        <v>1989</v>
      </c>
      <c r="X97" s="199">
        <v>5</v>
      </c>
      <c r="Y97" s="199">
        <v>2</v>
      </c>
      <c r="Z97" s="199">
        <v>4</v>
      </c>
      <c r="AA97" s="197" t="s">
        <v>447</v>
      </c>
      <c r="AB97" s="197" t="s">
        <v>531</v>
      </c>
      <c r="AC97" s="197" t="s">
        <v>533</v>
      </c>
      <c r="AD97" s="199">
        <v>1.9008879999999999</v>
      </c>
      <c r="AE97" s="199">
        <v>671</v>
      </c>
      <c r="AF97" s="199">
        <v>17.7471</v>
      </c>
      <c r="AG97" s="199">
        <v>-99</v>
      </c>
      <c r="AH97" s="197" t="s">
        <v>224</v>
      </c>
      <c r="AI97" s="197" t="s">
        <v>449</v>
      </c>
      <c r="AJ97" s="197" t="s">
        <v>288</v>
      </c>
      <c r="AK97" s="197" t="s">
        <v>531</v>
      </c>
      <c r="AL97" s="197" t="s">
        <v>382</v>
      </c>
      <c r="AM97" s="199" t="b">
        <v>1</v>
      </c>
      <c r="AN97" s="199" t="b">
        <v>0</v>
      </c>
      <c r="AO97" s="197" t="s">
        <v>289</v>
      </c>
      <c r="AP97" s="197" t="s">
        <v>290</v>
      </c>
      <c r="AQ97" s="199">
        <v>44.095619999999997</v>
      </c>
      <c r="AR97" s="199" t="b">
        <v>0</v>
      </c>
      <c r="AS97" s="197" t="s">
        <v>534</v>
      </c>
    </row>
    <row r="98" spans="1:45" s="219" customFormat="1" x14ac:dyDescent="0.25">
      <c r="A98" s="245">
        <f t="shared" si="15"/>
        <v>98</v>
      </c>
      <c r="B98" s="246" t="str">
        <f t="shared" si="8"/>
        <v>Oil Field - Separator</v>
      </c>
      <c r="C98" s="246" t="str">
        <f ca="1">IF(B98="","",VLOOKUP(D98,'Species Data'!B:E,4,FALSE))</f>
        <v>toluene</v>
      </c>
      <c r="D98" s="246">
        <f t="shared" ca="1" si="9"/>
        <v>717</v>
      </c>
      <c r="E98" s="246">
        <f t="shared" ca="1" si="10"/>
        <v>7.7100000000000002E-2</v>
      </c>
      <c r="F98" s="246" t="str">
        <f t="shared" ca="1" si="11"/>
        <v>Toluene</v>
      </c>
      <c r="G98" s="246">
        <f t="shared" ca="1" si="12"/>
        <v>92.138419999999996</v>
      </c>
      <c r="H98" s="204">
        <f ca="1">IF(G98="","",IF(VLOOKUP(Separator!F98,'Species Data'!D:F,3,FALSE)=0,"X",IF(G98&lt;44.1,2,1)))</f>
        <v>1</v>
      </c>
      <c r="I98" s="204">
        <f t="shared" ca="1" si="13"/>
        <v>0.1362668483557978</v>
      </c>
      <c r="J98" s="247">
        <f ca="1">IF(I98="","",IF(COUNTIF($D$12:D98,D98)=1,IF(H98=1,I98*H98,IF(H98="X","X",0)),0))</f>
        <v>0</v>
      </c>
      <c r="K98" s="248">
        <f t="shared" ca="1" si="14"/>
        <v>0</v>
      </c>
      <c r="L98" s="197" t="s">
        <v>678</v>
      </c>
      <c r="M98" s="197" t="s">
        <v>448</v>
      </c>
      <c r="N98" s="197" t="s">
        <v>470</v>
      </c>
      <c r="O98" s="198">
        <v>41419</v>
      </c>
      <c r="P98" s="197" t="s">
        <v>531</v>
      </c>
      <c r="Q98" s="199">
        <v>100</v>
      </c>
      <c r="R98" s="197" t="s">
        <v>445</v>
      </c>
      <c r="S98" s="197" t="s">
        <v>532</v>
      </c>
      <c r="T98" s="197" t="s">
        <v>445</v>
      </c>
      <c r="U98" s="197" t="s">
        <v>446</v>
      </c>
      <c r="V98" s="199" t="b">
        <v>1</v>
      </c>
      <c r="W98" s="199">
        <v>1989</v>
      </c>
      <c r="X98" s="199">
        <v>5</v>
      </c>
      <c r="Y98" s="199">
        <v>2</v>
      </c>
      <c r="Z98" s="199">
        <v>4</v>
      </c>
      <c r="AA98" s="197" t="s">
        <v>447</v>
      </c>
      <c r="AB98" s="197" t="s">
        <v>531</v>
      </c>
      <c r="AC98" s="197" t="s">
        <v>533</v>
      </c>
      <c r="AD98" s="199">
        <v>1.9008879999999999</v>
      </c>
      <c r="AE98" s="199">
        <v>717</v>
      </c>
      <c r="AF98" s="199">
        <v>7.7100000000000002E-2</v>
      </c>
      <c r="AG98" s="199">
        <v>-99</v>
      </c>
      <c r="AH98" s="197" t="s">
        <v>224</v>
      </c>
      <c r="AI98" s="197" t="s">
        <v>449</v>
      </c>
      <c r="AJ98" s="197" t="s">
        <v>294</v>
      </c>
      <c r="AK98" s="197" t="s">
        <v>531</v>
      </c>
      <c r="AL98" s="197" t="s">
        <v>383</v>
      </c>
      <c r="AM98" s="199" t="b">
        <v>1</v>
      </c>
      <c r="AN98" s="199" t="b">
        <v>1</v>
      </c>
      <c r="AO98" s="197" t="s">
        <v>295</v>
      </c>
      <c r="AP98" s="197" t="s">
        <v>296</v>
      </c>
      <c r="AQ98" s="199">
        <v>92.138419999999996</v>
      </c>
      <c r="AR98" s="199" t="b">
        <v>0</v>
      </c>
      <c r="AS98" s="197" t="s">
        <v>534</v>
      </c>
    </row>
    <row r="99" spans="1:45" s="219" customFormat="1" x14ac:dyDescent="0.25">
      <c r="A99" s="245">
        <f t="shared" si="15"/>
        <v>99</v>
      </c>
      <c r="B99" s="246" t="str">
        <f t="shared" si="8"/>
        <v>Oil Field - Separator</v>
      </c>
      <c r="C99" s="246" t="str">
        <f ca="1">IF(B99="","",VLOOKUP(D99,'Species Data'!B:E,4,FALSE))</f>
        <v>c10_comp</v>
      </c>
      <c r="D99" s="246">
        <f t="shared" ca="1" si="9"/>
        <v>1924</v>
      </c>
      <c r="E99" s="246">
        <f t="shared" ca="1" si="10"/>
        <v>9.7500000000000003E-2</v>
      </c>
      <c r="F99" s="246" t="str">
        <f t="shared" ca="1" si="11"/>
        <v>C-10 Compounds</v>
      </c>
      <c r="G99" s="246">
        <f t="shared" ca="1" si="12"/>
        <v>142.28167999999999</v>
      </c>
      <c r="H99" s="204" t="str">
        <f ca="1">IF(G99="","",IF(VLOOKUP(Separator!F99,'Species Data'!D:F,3,FALSE)=0,"X",IF(G99&lt;44.1,2,1)))</f>
        <v>X</v>
      </c>
      <c r="I99" s="204">
        <f t="shared" ca="1" si="13"/>
        <v>6.0866747822330418E-2</v>
      </c>
      <c r="J99" s="247">
        <f ca="1">IF(I99="","",IF(COUNTIF($D$12:D99,D99)=1,IF(H99=1,I99*H99,IF(H99="X","X",0)),0))</f>
        <v>0</v>
      </c>
      <c r="K99" s="248">
        <f t="shared" ca="1" si="14"/>
        <v>0</v>
      </c>
      <c r="L99" s="197" t="s">
        <v>678</v>
      </c>
      <c r="M99" s="197" t="s">
        <v>448</v>
      </c>
      <c r="N99" s="197" t="s">
        <v>470</v>
      </c>
      <c r="O99" s="198">
        <v>41419</v>
      </c>
      <c r="P99" s="197" t="s">
        <v>531</v>
      </c>
      <c r="Q99" s="199">
        <v>100</v>
      </c>
      <c r="R99" s="197" t="s">
        <v>445</v>
      </c>
      <c r="S99" s="197" t="s">
        <v>532</v>
      </c>
      <c r="T99" s="197" t="s">
        <v>445</v>
      </c>
      <c r="U99" s="197" t="s">
        <v>446</v>
      </c>
      <c r="V99" s="199" t="b">
        <v>1</v>
      </c>
      <c r="W99" s="199">
        <v>1989</v>
      </c>
      <c r="X99" s="199">
        <v>5</v>
      </c>
      <c r="Y99" s="199">
        <v>2</v>
      </c>
      <c r="Z99" s="199">
        <v>4</v>
      </c>
      <c r="AA99" s="197" t="s">
        <v>447</v>
      </c>
      <c r="AB99" s="197" t="s">
        <v>531</v>
      </c>
      <c r="AC99" s="197" t="s">
        <v>533</v>
      </c>
      <c r="AD99" s="199">
        <v>1.9008879999999999</v>
      </c>
      <c r="AE99" s="199">
        <v>1924</v>
      </c>
      <c r="AF99" s="199">
        <v>9.7500000000000003E-2</v>
      </c>
      <c r="AG99" s="199">
        <v>-99</v>
      </c>
      <c r="AH99" s="197" t="s">
        <v>224</v>
      </c>
      <c r="AI99" s="197" t="s">
        <v>449</v>
      </c>
      <c r="AJ99" s="197" t="s">
        <v>224</v>
      </c>
      <c r="AK99" s="197" t="s">
        <v>531</v>
      </c>
      <c r="AL99" s="197" t="s">
        <v>466</v>
      </c>
      <c r="AM99" s="199" t="b">
        <v>0</v>
      </c>
      <c r="AN99" s="199" t="b">
        <v>0</v>
      </c>
      <c r="AO99" s="197" t="s">
        <v>535</v>
      </c>
      <c r="AP99" s="197" t="s">
        <v>536</v>
      </c>
      <c r="AQ99" s="199">
        <v>142.28167999999999</v>
      </c>
      <c r="AR99" s="199" t="b">
        <v>0</v>
      </c>
      <c r="AS99" s="197" t="s">
        <v>534</v>
      </c>
    </row>
    <row r="100" spans="1:45" s="219" customFormat="1" x14ac:dyDescent="0.25">
      <c r="A100" s="245">
        <f t="shared" si="15"/>
        <v>100</v>
      </c>
      <c r="B100" s="246" t="str">
        <f t="shared" si="8"/>
        <v>Oil Field - Separator</v>
      </c>
      <c r="C100" s="246" t="str">
        <f ca="1">IF(B100="","",VLOOKUP(D100,'Species Data'!B:E,4,FALSE))</f>
        <v>c11_comp</v>
      </c>
      <c r="D100" s="246">
        <f t="shared" ca="1" si="9"/>
        <v>1929</v>
      </c>
      <c r="E100" s="246">
        <f t="shared" ca="1" si="10"/>
        <v>9.7999999999999997E-3</v>
      </c>
      <c r="F100" s="246" t="str">
        <f t="shared" ca="1" si="11"/>
        <v>C-11 Compounds</v>
      </c>
      <c r="G100" s="246">
        <f t="shared" ca="1" si="12"/>
        <v>156.30826000000002</v>
      </c>
      <c r="H100" s="204" t="str">
        <f ca="1">IF(G100="","",IF(VLOOKUP(Separator!F100,'Species Data'!D:F,3,FALSE)=0,"X",IF(G100&lt;44.1,2,1)))</f>
        <v>X</v>
      </c>
      <c r="I100" s="204">
        <f t="shared" ca="1" si="13"/>
        <v>4.6000061333415108E-3</v>
      </c>
      <c r="J100" s="247">
        <f ca="1">IF(I100="","",IF(COUNTIF($D$12:D100,D100)=1,IF(H100=1,I100*H100,IF(H100="X","X",0)),0))</f>
        <v>0</v>
      </c>
      <c r="K100" s="248">
        <f t="shared" ca="1" si="14"/>
        <v>0</v>
      </c>
      <c r="L100" s="197" t="s">
        <v>678</v>
      </c>
      <c r="M100" s="197" t="s">
        <v>448</v>
      </c>
      <c r="N100" s="197" t="s">
        <v>470</v>
      </c>
      <c r="O100" s="198">
        <v>41419</v>
      </c>
      <c r="P100" s="197" t="s">
        <v>531</v>
      </c>
      <c r="Q100" s="199">
        <v>100</v>
      </c>
      <c r="R100" s="197" t="s">
        <v>445</v>
      </c>
      <c r="S100" s="197" t="s">
        <v>532</v>
      </c>
      <c r="T100" s="197" t="s">
        <v>445</v>
      </c>
      <c r="U100" s="197" t="s">
        <v>446</v>
      </c>
      <c r="V100" s="199" t="b">
        <v>1</v>
      </c>
      <c r="W100" s="199">
        <v>1989</v>
      </c>
      <c r="X100" s="199">
        <v>5</v>
      </c>
      <c r="Y100" s="199">
        <v>2</v>
      </c>
      <c r="Z100" s="199">
        <v>4</v>
      </c>
      <c r="AA100" s="197" t="s">
        <v>447</v>
      </c>
      <c r="AB100" s="197" t="s">
        <v>531</v>
      </c>
      <c r="AC100" s="197" t="s">
        <v>533</v>
      </c>
      <c r="AD100" s="199">
        <v>1.9008879999999999</v>
      </c>
      <c r="AE100" s="199">
        <v>1929</v>
      </c>
      <c r="AF100" s="199">
        <v>9.7999999999999997E-3</v>
      </c>
      <c r="AG100" s="199">
        <v>-99</v>
      </c>
      <c r="AH100" s="197" t="s">
        <v>224</v>
      </c>
      <c r="AI100" s="197" t="s">
        <v>449</v>
      </c>
      <c r="AJ100" s="197" t="s">
        <v>224</v>
      </c>
      <c r="AK100" s="197" t="s">
        <v>531</v>
      </c>
      <c r="AL100" s="197" t="s">
        <v>467</v>
      </c>
      <c r="AM100" s="199" t="b">
        <v>0</v>
      </c>
      <c r="AN100" s="199" t="b">
        <v>0</v>
      </c>
      <c r="AO100" s="197" t="s">
        <v>468</v>
      </c>
      <c r="AP100" s="197" t="s">
        <v>469</v>
      </c>
      <c r="AQ100" s="199">
        <v>156.30826000000002</v>
      </c>
      <c r="AR100" s="199" t="b">
        <v>0</v>
      </c>
      <c r="AS100" s="197" t="s">
        <v>534</v>
      </c>
    </row>
    <row r="101" spans="1:45" s="219" customFormat="1" ht="15" customHeight="1" x14ac:dyDescent="0.25">
      <c r="A101" s="245">
        <f t="shared" si="15"/>
        <v>101</v>
      </c>
      <c r="B101" s="246" t="str">
        <f t="shared" si="8"/>
        <v>Oil Field - Separator</v>
      </c>
      <c r="C101" s="246" t="str">
        <f ca="1">IF(B101="","",VLOOKUP(D101,'Species Data'!B:E,4,FALSE))</f>
        <v>c_4_comp</v>
      </c>
      <c r="D101" s="246">
        <f t="shared" ca="1" si="9"/>
        <v>1976</v>
      </c>
      <c r="E101" s="246">
        <f t="shared" ca="1" si="10"/>
        <v>5.7700000000000001E-2</v>
      </c>
      <c r="F101" s="246" t="str">
        <f t="shared" ca="1" si="11"/>
        <v>C-4 Compounds</v>
      </c>
      <c r="G101" s="246">
        <f t="shared" ca="1" si="12"/>
        <v>56.106319999999997</v>
      </c>
      <c r="H101" s="204" t="str">
        <f ca="1">IF(G101="","",IF(VLOOKUP(Separator!F101,'Species Data'!D:F,3,FALSE)=0,"X",IF(G101&lt;44.1,2,1)))</f>
        <v>X</v>
      </c>
      <c r="I101" s="204">
        <f t="shared" ca="1" si="13"/>
        <v>0.88300117733490302</v>
      </c>
      <c r="J101" s="247" t="str">
        <f ca="1">IF(I101="","",IF(COUNTIF($D$12:D101,D101)=1,IF(H101=1,I101*H101,IF(H101="X","X",0)),0))</f>
        <v>X</v>
      </c>
      <c r="K101" s="248">
        <f t="shared" ca="1" si="14"/>
        <v>0</v>
      </c>
      <c r="L101" s="197" t="s">
        <v>678</v>
      </c>
      <c r="M101" s="197" t="s">
        <v>448</v>
      </c>
      <c r="N101" s="197" t="s">
        <v>470</v>
      </c>
      <c r="O101" s="198">
        <v>41419</v>
      </c>
      <c r="P101" s="197" t="s">
        <v>531</v>
      </c>
      <c r="Q101" s="199">
        <v>100</v>
      </c>
      <c r="R101" s="197" t="s">
        <v>445</v>
      </c>
      <c r="S101" s="197" t="s">
        <v>532</v>
      </c>
      <c r="T101" s="197" t="s">
        <v>445</v>
      </c>
      <c r="U101" s="197" t="s">
        <v>446</v>
      </c>
      <c r="V101" s="199" t="b">
        <v>1</v>
      </c>
      <c r="W101" s="199">
        <v>1989</v>
      </c>
      <c r="X101" s="199">
        <v>5</v>
      </c>
      <c r="Y101" s="199">
        <v>2</v>
      </c>
      <c r="Z101" s="199">
        <v>4</v>
      </c>
      <c r="AA101" s="197" t="s">
        <v>447</v>
      </c>
      <c r="AB101" s="197" t="s">
        <v>531</v>
      </c>
      <c r="AC101" s="197" t="s">
        <v>533</v>
      </c>
      <c r="AD101" s="199">
        <v>1.9008879999999999</v>
      </c>
      <c r="AE101" s="199">
        <v>1976</v>
      </c>
      <c r="AF101" s="199">
        <v>5.7700000000000001E-2</v>
      </c>
      <c r="AG101" s="199">
        <v>-99</v>
      </c>
      <c r="AH101" s="197" t="s">
        <v>224</v>
      </c>
      <c r="AI101" s="197" t="s">
        <v>449</v>
      </c>
      <c r="AJ101" s="197" t="s">
        <v>224</v>
      </c>
      <c r="AK101" s="197" t="s">
        <v>531</v>
      </c>
      <c r="AL101" s="197" t="s">
        <v>465</v>
      </c>
      <c r="AM101" s="199" t="b">
        <v>0</v>
      </c>
      <c r="AN101" s="199" t="b">
        <v>0</v>
      </c>
      <c r="AO101" s="197" t="s">
        <v>551</v>
      </c>
      <c r="AP101" s="197" t="s">
        <v>552</v>
      </c>
      <c r="AQ101" s="199">
        <v>56.106319999999997</v>
      </c>
      <c r="AR101" s="199" t="b">
        <v>0</v>
      </c>
      <c r="AS101" s="197" t="s">
        <v>534</v>
      </c>
    </row>
    <row r="102" spans="1:45" s="219" customFormat="1" x14ac:dyDescent="0.25">
      <c r="A102" s="245">
        <f t="shared" si="15"/>
        <v>102</v>
      </c>
      <c r="B102" s="246" t="str">
        <f t="shared" si="8"/>
        <v>Oil Field - Separator</v>
      </c>
      <c r="C102" s="246" t="str">
        <f ca="1">IF(B102="","",VLOOKUP(D102,'Species Data'!B:E,4,FALSE))</f>
        <v>c5_comp</v>
      </c>
      <c r="D102" s="246">
        <f t="shared" ca="1" si="9"/>
        <v>1986</v>
      </c>
      <c r="E102" s="246">
        <f t="shared" ca="1" si="10"/>
        <v>1.3404</v>
      </c>
      <c r="F102" s="246" t="str">
        <f t="shared" ca="1" si="11"/>
        <v>C-5 Compounds</v>
      </c>
      <c r="G102" s="246">
        <f t="shared" ca="1" si="12"/>
        <v>72.148780000000002</v>
      </c>
      <c r="H102" s="204" t="str">
        <f ca="1">IF(G102="","",IF(VLOOKUP(Separator!F102,'Species Data'!D:F,3,FALSE)=0,"X",IF(G102&lt;44.1,2,1)))</f>
        <v>X</v>
      </c>
      <c r="I102" s="204">
        <f t="shared" ca="1" si="13"/>
        <v>2.7757370343160455</v>
      </c>
      <c r="J102" s="247">
        <f ca="1">IF(I102="","",IF(COUNTIF($D$12:D102,D102)=1,IF(H102=1,I102*H102,IF(H102="X","X",0)),0))</f>
        <v>0</v>
      </c>
      <c r="K102" s="248">
        <f t="shared" ca="1" si="14"/>
        <v>0</v>
      </c>
      <c r="L102" s="197" t="s">
        <v>678</v>
      </c>
      <c r="M102" s="197" t="s">
        <v>448</v>
      </c>
      <c r="N102" s="197" t="s">
        <v>470</v>
      </c>
      <c r="O102" s="198">
        <v>41419</v>
      </c>
      <c r="P102" s="197" t="s">
        <v>531</v>
      </c>
      <c r="Q102" s="199">
        <v>100</v>
      </c>
      <c r="R102" s="197" t="s">
        <v>445</v>
      </c>
      <c r="S102" s="197" t="s">
        <v>532</v>
      </c>
      <c r="T102" s="197" t="s">
        <v>445</v>
      </c>
      <c r="U102" s="197" t="s">
        <v>446</v>
      </c>
      <c r="V102" s="199" t="b">
        <v>1</v>
      </c>
      <c r="W102" s="199">
        <v>1989</v>
      </c>
      <c r="X102" s="199">
        <v>5</v>
      </c>
      <c r="Y102" s="199">
        <v>2</v>
      </c>
      <c r="Z102" s="199">
        <v>4</v>
      </c>
      <c r="AA102" s="197" t="s">
        <v>447</v>
      </c>
      <c r="AB102" s="197" t="s">
        <v>531</v>
      </c>
      <c r="AC102" s="197" t="s">
        <v>533</v>
      </c>
      <c r="AD102" s="199">
        <v>1.9008879999999999</v>
      </c>
      <c r="AE102" s="199">
        <v>1986</v>
      </c>
      <c r="AF102" s="199">
        <v>1.3404</v>
      </c>
      <c r="AG102" s="199">
        <v>-99</v>
      </c>
      <c r="AH102" s="197" t="s">
        <v>224</v>
      </c>
      <c r="AI102" s="197" t="s">
        <v>449</v>
      </c>
      <c r="AJ102" s="197" t="s">
        <v>224</v>
      </c>
      <c r="AK102" s="197" t="s">
        <v>531</v>
      </c>
      <c r="AL102" s="197" t="s">
        <v>537</v>
      </c>
      <c r="AM102" s="199" t="b">
        <v>0</v>
      </c>
      <c r="AN102" s="199" t="b">
        <v>0</v>
      </c>
      <c r="AO102" s="197" t="s">
        <v>538</v>
      </c>
      <c r="AP102" s="197" t="s">
        <v>539</v>
      </c>
      <c r="AQ102" s="199">
        <v>72.148780000000002</v>
      </c>
      <c r="AR102" s="199" t="b">
        <v>0</v>
      </c>
      <c r="AS102" s="197" t="s">
        <v>534</v>
      </c>
    </row>
    <row r="103" spans="1:45" s="219" customFormat="1" x14ac:dyDescent="0.25">
      <c r="A103" s="245">
        <f t="shared" si="15"/>
        <v>103</v>
      </c>
      <c r="B103" s="246" t="str">
        <f t="shared" si="8"/>
        <v>Oil Field - Separator</v>
      </c>
      <c r="C103" s="246" t="str">
        <f ca="1">IF(B103="","",VLOOKUP(D103,'Species Data'!B:E,4,FALSE))</f>
        <v>c6_comp</v>
      </c>
      <c r="D103" s="246">
        <f t="shared" ca="1" si="9"/>
        <v>1999</v>
      </c>
      <c r="E103" s="246">
        <f t="shared" ca="1" si="10"/>
        <v>1.9094</v>
      </c>
      <c r="F103" s="246" t="str">
        <f t="shared" ca="1" si="11"/>
        <v>C-6 Compounds</v>
      </c>
      <c r="G103" s="246">
        <f t="shared" ca="1" si="12"/>
        <v>86.175359999999998</v>
      </c>
      <c r="H103" s="204" t="str">
        <f ca="1">IF(G103="","",IF(VLOOKUP(Separator!F103,'Species Data'!D:F,3,FALSE)=0,"X",IF(G103&lt;44.1,2,1)))</f>
        <v>X</v>
      </c>
      <c r="I103" s="204">
        <f t="shared" ca="1" si="13"/>
        <v>2.6818369091158787</v>
      </c>
      <c r="J103" s="247">
        <f ca="1">IF(I103="","",IF(COUNTIF($D$12:D103,D103)=1,IF(H103=1,I103*H103,IF(H103="X","X",0)),0))</f>
        <v>0</v>
      </c>
      <c r="K103" s="248">
        <f t="shared" ca="1" si="14"/>
        <v>0</v>
      </c>
      <c r="L103" s="197" t="s">
        <v>678</v>
      </c>
      <c r="M103" s="197" t="s">
        <v>448</v>
      </c>
      <c r="N103" s="197" t="s">
        <v>470</v>
      </c>
      <c r="O103" s="198">
        <v>41419</v>
      </c>
      <c r="P103" s="197" t="s">
        <v>531</v>
      </c>
      <c r="Q103" s="199">
        <v>100</v>
      </c>
      <c r="R103" s="197" t="s">
        <v>445</v>
      </c>
      <c r="S103" s="197" t="s">
        <v>532</v>
      </c>
      <c r="T103" s="197" t="s">
        <v>445</v>
      </c>
      <c r="U103" s="197" t="s">
        <v>446</v>
      </c>
      <c r="V103" s="199" t="b">
        <v>1</v>
      </c>
      <c r="W103" s="199">
        <v>1989</v>
      </c>
      <c r="X103" s="199">
        <v>5</v>
      </c>
      <c r="Y103" s="199">
        <v>2</v>
      </c>
      <c r="Z103" s="199">
        <v>4</v>
      </c>
      <c r="AA103" s="197" t="s">
        <v>447</v>
      </c>
      <c r="AB103" s="197" t="s">
        <v>531</v>
      </c>
      <c r="AC103" s="197" t="s">
        <v>533</v>
      </c>
      <c r="AD103" s="199">
        <v>1.9008879999999999</v>
      </c>
      <c r="AE103" s="199">
        <v>1999</v>
      </c>
      <c r="AF103" s="199">
        <v>1.9094</v>
      </c>
      <c r="AG103" s="199">
        <v>-99</v>
      </c>
      <c r="AH103" s="197" t="s">
        <v>224</v>
      </c>
      <c r="AI103" s="197" t="s">
        <v>449</v>
      </c>
      <c r="AJ103" s="197" t="s">
        <v>224</v>
      </c>
      <c r="AK103" s="197" t="s">
        <v>531</v>
      </c>
      <c r="AL103" s="197" t="s">
        <v>540</v>
      </c>
      <c r="AM103" s="199" t="b">
        <v>0</v>
      </c>
      <c r="AN103" s="199" t="b">
        <v>0</v>
      </c>
      <c r="AO103" s="197" t="s">
        <v>541</v>
      </c>
      <c r="AP103" s="197" t="s">
        <v>542</v>
      </c>
      <c r="AQ103" s="199">
        <v>86.175359999999998</v>
      </c>
      <c r="AR103" s="199" t="b">
        <v>0</v>
      </c>
      <c r="AS103" s="197" t="s">
        <v>534</v>
      </c>
    </row>
    <row r="104" spans="1:45" s="219" customFormat="1" x14ac:dyDescent="0.25">
      <c r="A104" s="245">
        <f t="shared" si="15"/>
        <v>104</v>
      </c>
      <c r="B104" s="246" t="str">
        <f t="shared" si="8"/>
        <v>Oil Field - Separator</v>
      </c>
      <c r="C104" s="246" t="str">
        <f ca="1">IF(B104="","",VLOOKUP(D104,'Species Data'!B:E,4,FALSE))</f>
        <v>c7_comp</v>
      </c>
      <c r="D104" s="246">
        <f t="shared" ca="1" si="9"/>
        <v>2005</v>
      </c>
      <c r="E104" s="246">
        <f t="shared" ca="1" si="10"/>
        <v>1.3556999999999999</v>
      </c>
      <c r="F104" s="246" t="str">
        <f t="shared" ca="1" si="11"/>
        <v>C-7 Compounds</v>
      </c>
      <c r="G104" s="246">
        <f t="shared" ca="1" si="12"/>
        <v>100.20194000000001</v>
      </c>
      <c r="H104" s="204" t="str">
        <f ca="1">IF(G104="","",IF(VLOOKUP(Separator!F104,'Species Data'!D:F,3,FALSE)=0,"X",IF(G104&lt;44.1,2,1)))</f>
        <v>X</v>
      </c>
      <c r="I104" s="204">
        <f t="shared" ca="1" si="13"/>
        <v>1.4050685400913865</v>
      </c>
      <c r="J104" s="247">
        <f ca="1">IF(I104="","",IF(COUNTIF($D$12:D104,D104)=1,IF(H104=1,I104*H104,IF(H104="X","X",0)),0))</f>
        <v>0</v>
      </c>
      <c r="K104" s="248">
        <f t="shared" ca="1" si="14"/>
        <v>0</v>
      </c>
      <c r="L104" s="197" t="s">
        <v>678</v>
      </c>
      <c r="M104" s="197" t="s">
        <v>448</v>
      </c>
      <c r="N104" s="197" t="s">
        <v>470</v>
      </c>
      <c r="O104" s="198">
        <v>41419</v>
      </c>
      <c r="P104" s="197" t="s">
        <v>531</v>
      </c>
      <c r="Q104" s="199">
        <v>100</v>
      </c>
      <c r="R104" s="197" t="s">
        <v>445</v>
      </c>
      <c r="S104" s="197" t="s">
        <v>532</v>
      </c>
      <c r="T104" s="197" t="s">
        <v>445</v>
      </c>
      <c r="U104" s="197" t="s">
        <v>446</v>
      </c>
      <c r="V104" s="199" t="b">
        <v>1</v>
      </c>
      <c r="W104" s="199">
        <v>1989</v>
      </c>
      <c r="X104" s="199">
        <v>5</v>
      </c>
      <c r="Y104" s="199">
        <v>2</v>
      </c>
      <c r="Z104" s="199">
        <v>4</v>
      </c>
      <c r="AA104" s="197" t="s">
        <v>447</v>
      </c>
      <c r="AB104" s="197" t="s">
        <v>531</v>
      </c>
      <c r="AC104" s="197" t="s">
        <v>533</v>
      </c>
      <c r="AD104" s="199">
        <v>1.9008879999999999</v>
      </c>
      <c r="AE104" s="199">
        <v>2005</v>
      </c>
      <c r="AF104" s="199">
        <v>1.3556999999999999</v>
      </c>
      <c r="AG104" s="199">
        <v>-99</v>
      </c>
      <c r="AH104" s="197" t="s">
        <v>224</v>
      </c>
      <c r="AI104" s="197" t="s">
        <v>449</v>
      </c>
      <c r="AJ104" s="197" t="s">
        <v>224</v>
      </c>
      <c r="AK104" s="197" t="s">
        <v>531</v>
      </c>
      <c r="AL104" s="197" t="s">
        <v>543</v>
      </c>
      <c r="AM104" s="199" t="b">
        <v>0</v>
      </c>
      <c r="AN104" s="199" t="b">
        <v>0</v>
      </c>
      <c r="AO104" s="197" t="s">
        <v>544</v>
      </c>
      <c r="AP104" s="197" t="s">
        <v>545</v>
      </c>
      <c r="AQ104" s="199">
        <v>100.20194000000001</v>
      </c>
      <c r="AR104" s="199" t="b">
        <v>0</v>
      </c>
      <c r="AS104" s="197" t="s">
        <v>534</v>
      </c>
    </row>
    <row r="105" spans="1:45" s="219" customFormat="1" ht="15" customHeight="1" x14ac:dyDescent="0.25">
      <c r="A105" s="245">
        <f t="shared" si="15"/>
        <v>105</v>
      </c>
      <c r="B105" s="246" t="str">
        <f t="shared" si="8"/>
        <v>Oil Field - Separator</v>
      </c>
      <c r="C105" s="246" t="str">
        <f ca="1">IF(B105="","",VLOOKUP(D105,'Species Data'!B:E,4,FALSE))</f>
        <v>c8_comp</v>
      </c>
      <c r="D105" s="246">
        <f t="shared" ca="1" si="9"/>
        <v>2011</v>
      </c>
      <c r="E105" s="246">
        <f t="shared" ca="1" si="10"/>
        <v>0.63790000000000002</v>
      </c>
      <c r="F105" s="246" t="str">
        <f t="shared" ca="1" si="11"/>
        <v>C-8 Compounds</v>
      </c>
      <c r="G105" s="246">
        <f t="shared" ca="1" si="12"/>
        <v>113.21160686946486</v>
      </c>
      <c r="H105" s="204" t="str">
        <f ca="1">IF(G105="","",IF(VLOOKUP(Separator!F105,'Species Data'!D:F,3,FALSE)=0,"X",IF(G105&lt;44.1,2,1)))</f>
        <v>X</v>
      </c>
      <c r="I105" s="204">
        <f t="shared" ca="1" si="13"/>
        <v>0.70320093760125013</v>
      </c>
      <c r="J105" s="247">
        <f ca="1">IF(I105="","",IF(COUNTIF($D$12:D105,D105)=1,IF(H105=1,I105*H105,IF(H105="X","X",0)),0))</f>
        <v>0</v>
      </c>
      <c r="K105" s="248">
        <f t="shared" ca="1" si="14"/>
        <v>0</v>
      </c>
      <c r="L105" s="197" t="s">
        <v>678</v>
      </c>
      <c r="M105" s="197" t="s">
        <v>448</v>
      </c>
      <c r="N105" s="197" t="s">
        <v>470</v>
      </c>
      <c r="O105" s="198">
        <v>41419</v>
      </c>
      <c r="P105" s="197" t="s">
        <v>531</v>
      </c>
      <c r="Q105" s="199">
        <v>100</v>
      </c>
      <c r="R105" s="197" t="s">
        <v>445</v>
      </c>
      <c r="S105" s="197" t="s">
        <v>532</v>
      </c>
      <c r="T105" s="197" t="s">
        <v>445</v>
      </c>
      <c r="U105" s="197" t="s">
        <v>446</v>
      </c>
      <c r="V105" s="199" t="b">
        <v>1</v>
      </c>
      <c r="W105" s="199">
        <v>1989</v>
      </c>
      <c r="X105" s="199">
        <v>5</v>
      </c>
      <c r="Y105" s="199">
        <v>2</v>
      </c>
      <c r="Z105" s="199">
        <v>4</v>
      </c>
      <c r="AA105" s="197" t="s">
        <v>447</v>
      </c>
      <c r="AB105" s="197" t="s">
        <v>531</v>
      </c>
      <c r="AC105" s="197" t="s">
        <v>533</v>
      </c>
      <c r="AD105" s="199">
        <v>1.9008879999999999</v>
      </c>
      <c r="AE105" s="199">
        <v>2011</v>
      </c>
      <c r="AF105" s="199">
        <v>0.63790000000000002</v>
      </c>
      <c r="AG105" s="199">
        <v>-99</v>
      </c>
      <c r="AH105" s="197" t="s">
        <v>224</v>
      </c>
      <c r="AI105" s="197" t="s">
        <v>449</v>
      </c>
      <c r="AJ105" s="197" t="s">
        <v>224</v>
      </c>
      <c r="AK105" s="197" t="s">
        <v>531</v>
      </c>
      <c r="AL105" s="197" t="s">
        <v>546</v>
      </c>
      <c r="AM105" s="199" t="b">
        <v>0</v>
      </c>
      <c r="AN105" s="199" t="b">
        <v>0</v>
      </c>
      <c r="AO105" s="197" t="s">
        <v>547</v>
      </c>
      <c r="AP105" s="197" t="s">
        <v>548</v>
      </c>
      <c r="AQ105" s="199">
        <v>113.21160686946486</v>
      </c>
      <c r="AR105" s="199" t="b">
        <v>0</v>
      </c>
      <c r="AS105" s="197" t="s">
        <v>534</v>
      </c>
    </row>
    <row r="106" spans="1:45" s="219" customFormat="1" ht="15" customHeight="1" x14ac:dyDescent="0.25">
      <c r="A106" s="245">
        <f t="shared" si="15"/>
        <v>106</v>
      </c>
      <c r="B106" s="246" t="str">
        <f t="shared" si="8"/>
        <v>Oil Field - Separator</v>
      </c>
      <c r="C106" s="246" t="str">
        <f ca="1">IF(B106="","",VLOOKUP(D106,'Species Data'!B:E,4,FALSE))</f>
        <v>c9_comp</v>
      </c>
      <c r="D106" s="246">
        <f t="shared" ca="1" si="9"/>
        <v>2018</v>
      </c>
      <c r="E106" s="246">
        <f t="shared" ca="1" si="10"/>
        <v>0.28239999999999998</v>
      </c>
      <c r="F106" s="246" t="str">
        <f t="shared" ca="1" si="11"/>
        <v>C-9 Compounds</v>
      </c>
      <c r="G106" s="246">
        <f t="shared" ca="1" si="12"/>
        <v>127.23917598649743</v>
      </c>
      <c r="H106" s="204" t="str">
        <f ca="1">IF(G106="","",IF(VLOOKUP(Separator!F106,'Species Data'!D:F,3,FALSE)=0,"X",IF(G106&lt;44.1,2,1)))</f>
        <v>X</v>
      </c>
      <c r="I106" s="204">
        <f t="shared" ca="1" si="13"/>
        <v>0.26796702395603189</v>
      </c>
      <c r="J106" s="247">
        <f ca="1">IF(I106="","",IF(COUNTIF($D$12:D106,D106)=1,IF(H106=1,I106*H106,IF(H106="X","X",0)),0))</f>
        <v>0</v>
      </c>
      <c r="K106" s="248">
        <f t="shared" ca="1" si="14"/>
        <v>0</v>
      </c>
      <c r="L106" s="197" t="s">
        <v>678</v>
      </c>
      <c r="M106" s="197" t="s">
        <v>448</v>
      </c>
      <c r="N106" s="197" t="s">
        <v>470</v>
      </c>
      <c r="O106" s="198">
        <v>41419</v>
      </c>
      <c r="P106" s="197" t="s">
        <v>531</v>
      </c>
      <c r="Q106" s="199">
        <v>100</v>
      </c>
      <c r="R106" s="197" t="s">
        <v>445</v>
      </c>
      <c r="S106" s="197" t="s">
        <v>532</v>
      </c>
      <c r="T106" s="197" t="s">
        <v>445</v>
      </c>
      <c r="U106" s="197" t="s">
        <v>446</v>
      </c>
      <c r="V106" s="199" t="b">
        <v>1</v>
      </c>
      <c r="W106" s="199">
        <v>1989</v>
      </c>
      <c r="X106" s="199">
        <v>5</v>
      </c>
      <c r="Y106" s="199">
        <v>2</v>
      </c>
      <c r="Z106" s="199">
        <v>4</v>
      </c>
      <c r="AA106" s="197" t="s">
        <v>447</v>
      </c>
      <c r="AB106" s="197" t="s">
        <v>531</v>
      </c>
      <c r="AC106" s="197" t="s">
        <v>533</v>
      </c>
      <c r="AD106" s="199">
        <v>1.9008879999999999</v>
      </c>
      <c r="AE106" s="199">
        <v>2018</v>
      </c>
      <c r="AF106" s="199">
        <v>0.28239999999999998</v>
      </c>
      <c r="AG106" s="199">
        <v>-99</v>
      </c>
      <c r="AH106" s="197" t="s">
        <v>224</v>
      </c>
      <c r="AI106" s="197" t="s">
        <v>449</v>
      </c>
      <c r="AJ106" s="197" t="s">
        <v>224</v>
      </c>
      <c r="AK106" s="197" t="s">
        <v>531</v>
      </c>
      <c r="AL106" s="197" t="s">
        <v>464</v>
      </c>
      <c r="AM106" s="199" t="b">
        <v>0</v>
      </c>
      <c r="AN106" s="199" t="b">
        <v>0</v>
      </c>
      <c r="AO106" s="197" t="s">
        <v>549</v>
      </c>
      <c r="AP106" s="197" t="s">
        <v>550</v>
      </c>
      <c r="AQ106" s="199">
        <v>127.23917598649743</v>
      </c>
      <c r="AR106" s="199" t="b">
        <v>0</v>
      </c>
      <c r="AS106" s="197" t="s">
        <v>534</v>
      </c>
    </row>
    <row r="107" spans="1:45" s="219" customFormat="1" ht="15" customHeight="1" x14ac:dyDescent="0.25">
      <c r="A107" s="245">
        <f t="shared" si="15"/>
        <v>107</v>
      </c>
      <c r="B107" s="246" t="str">
        <f t="shared" si="8"/>
        <v>Oil Field - Separator</v>
      </c>
      <c r="C107" s="246" t="str">
        <f ca="1">IF(B107="","",VLOOKUP(D107,'Species Data'!B:E,4,FALSE))</f>
        <v>dimetbut22</v>
      </c>
      <c r="D107" s="246">
        <f t="shared" ca="1" si="9"/>
        <v>122</v>
      </c>
      <c r="E107" s="246">
        <f t="shared" ca="1" si="10"/>
        <v>8.77E-2</v>
      </c>
      <c r="F107" s="246" t="str">
        <f t="shared" ca="1" si="11"/>
        <v>2,2-dimethylbutane</v>
      </c>
      <c r="G107" s="246">
        <f t="shared" ca="1" si="12"/>
        <v>86.175359999999998</v>
      </c>
      <c r="H107" s="204">
        <f ca="1">IF(G107="","",IF(VLOOKUP(Separator!F107,'Species Data'!D:F,3,FALSE)=0,"X",IF(G107&lt;44.1,2,1)))</f>
        <v>1</v>
      </c>
      <c r="I107" s="204">
        <f t="shared" ca="1" si="13"/>
        <v>0.15476687302249734</v>
      </c>
      <c r="J107" s="247">
        <f ca="1">IF(I107="","",IF(COUNTIF($D$12:D107,D107)=1,IF(H107=1,I107*H107,IF(H107="X","X",0)),0))</f>
        <v>0</v>
      </c>
      <c r="K107" s="248">
        <f t="shared" ca="1" si="14"/>
        <v>0</v>
      </c>
      <c r="L107" s="197" t="s">
        <v>678</v>
      </c>
      <c r="M107" s="197" t="s">
        <v>448</v>
      </c>
      <c r="N107" s="197" t="s">
        <v>470</v>
      </c>
      <c r="O107" s="198">
        <v>41419</v>
      </c>
      <c r="P107" s="197" t="s">
        <v>531</v>
      </c>
      <c r="Q107" s="199">
        <v>100</v>
      </c>
      <c r="R107" s="197" t="s">
        <v>445</v>
      </c>
      <c r="S107" s="197" t="s">
        <v>532</v>
      </c>
      <c r="T107" s="197" t="s">
        <v>445</v>
      </c>
      <c r="U107" s="197" t="s">
        <v>446</v>
      </c>
      <c r="V107" s="199" t="b">
        <v>1</v>
      </c>
      <c r="W107" s="199">
        <v>1989</v>
      </c>
      <c r="X107" s="199">
        <v>5</v>
      </c>
      <c r="Y107" s="199">
        <v>2</v>
      </c>
      <c r="Z107" s="199">
        <v>4</v>
      </c>
      <c r="AA107" s="197" t="s">
        <v>447</v>
      </c>
      <c r="AB107" s="197" t="s">
        <v>531</v>
      </c>
      <c r="AC107" s="197" t="s">
        <v>533</v>
      </c>
      <c r="AD107" s="199">
        <v>1.5225610000000001</v>
      </c>
      <c r="AE107" s="199">
        <v>122</v>
      </c>
      <c r="AF107" s="199">
        <v>8.77E-2</v>
      </c>
      <c r="AG107" s="199">
        <v>-99</v>
      </c>
      <c r="AH107" s="197" t="s">
        <v>224</v>
      </c>
      <c r="AI107" s="197" t="s">
        <v>449</v>
      </c>
      <c r="AJ107" s="197" t="s">
        <v>301</v>
      </c>
      <c r="AK107" s="197" t="s">
        <v>531</v>
      </c>
      <c r="AL107" s="197" t="s">
        <v>384</v>
      </c>
      <c r="AM107" s="199" t="b">
        <v>1</v>
      </c>
      <c r="AN107" s="199" t="b">
        <v>0</v>
      </c>
      <c r="AO107" s="197" t="s">
        <v>302</v>
      </c>
      <c r="AP107" s="197" t="s">
        <v>303</v>
      </c>
      <c r="AQ107" s="199">
        <v>86.175359999999998</v>
      </c>
      <c r="AR107" s="199" t="b">
        <v>0</v>
      </c>
      <c r="AS107" s="197" t="s">
        <v>534</v>
      </c>
    </row>
    <row r="108" spans="1:45" s="219" customFormat="1" ht="15" customHeight="1" x14ac:dyDescent="0.25">
      <c r="A108" s="245">
        <f t="shared" si="15"/>
        <v>108</v>
      </c>
      <c r="B108" s="246" t="str">
        <f t="shared" si="8"/>
        <v>Oil Field - Separator</v>
      </c>
      <c r="C108" s="246" t="str">
        <f ca="1">IF(B108="","",VLOOKUP(D108,'Species Data'!B:E,4,FALSE))</f>
        <v>dimethpro</v>
      </c>
      <c r="D108" s="246">
        <f t="shared" ca="1" si="9"/>
        <v>127</v>
      </c>
      <c r="E108" s="246">
        <f t="shared" ca="1" si="10"/>
        <v>4.2000000000000003E-2</v>
      </c>
      <c r="F108" s="246" t="str">
        <f t="shared" ca="1" si="11"/>
        <v>2,2-dimethylpropane</v>
      </c>
      <c r="G108" s="246">
        <f t="shared" ca="1" si="12"/>
        <v>72.148780000000002</v>
      </c>
      <c r="H108" s="204">
        <f ca="1">IF(G108="","",IF(VLOOKUP(Separator!F108,'Species Data'!D:F,3,FALSE)=0,"X",IF(G108&lt;44.1,2,1)))</f>
        <v>1</v>
      </c>
      <c r="I108" s="204">
        <f t="shared" ca="1" si="13"/>
        <v>9.2800123733498288E-2</v>
      </c>
      <c r="J108" s="247">
        <f ca="1">IF(I108="","",IF(COUNTIF($D$12:D108,D108)=1,IF(H108=1,I108*H108,IF(H108="X","X",0)),0))</f>
        <v>0</v>
      </c>
      <c r="K108" s="248">
        <f t="shared" ca="1" si="14"/>
        <v>0</v>
      </c>
      <c r="L108" s="197" t="s">
        <v>678</v>
      </c>
      <c r="M108" s="197" t="s">
        <v>448</v>
      </c>
      <c r="N108" s="197" t="s">
        <v>470</v>
      </c>
      <c r="O108" s="198">
        <v>41419</v>
      </c>
      <c r="P108" s="197" t="s">
        <v>531</v>
      </c>
      <c r="Q108" s="199">
        <v>100</v>
      </c>
      <c r="R108" s="197" t="s">
        <v>445</v>
      </c>
      <c r="S108" s="197" t="s">
        <v>532</v>
      </c>
      <c r="T108" s="197" t="s">
        <v>445</v>
      </c>
      <c r="U108" s="197" t="s">
        <v>446</v>
      </c>
      <c r="V108" s="199" t="b">
        <v>1</v>
      </c>
      <c r="W108" s="199">
        <v>1989</v>
      </c>
      <c r="X108" s="199">
        <v>5</v>
      </c>
      <c r="Y108" s="199">
        <v>2</v>
      </c>
      <c r="Z108" s="199">
        <v>4</v>
      </c>
      <c r="AA108" s="197" t="s">
        <v>447</v>
      </c>
      <c r="AB108" s="197" t="s">
        <v>531</v>
      </c>
      <c r="AC108" s="197" t="s">
        <v>533</v>
      </c>
      <c r="AD108" s="199">
        <v>1.5225610000000001</v>
      </c>
      <c r="AE108" s="199">
        <v>127</v>
      </c>
      <c r="AF108" s="199">
        <v>4.2000000000000003E-2</v>
      </c>
      <c r="AG108" s="199">
        <v>-99</v>
      </c>
      <c r="AH108" s="197" t="s">
        <v>224</v>
      </c>
      <c r="AI108" s="197" t="s">
        <v>449</v>
      </c>
      <c r="AJ108" s="197" t="s">
        <v>441</v>
      </c>
      <c r="AK108" s="197" t="s">
        <v>531</v>
      </c>
      <c r="AL108" s="197" t="s">
        <v>462</v>
      </c>
      <c r="AM108" s="199" t="b">
        <v>0</v>
      </c>
      <c r="AN108" s="199" t="b">
        <v>0</v>
      </c>
      <c r="AO108" s="197" t="s">
        <v>442</v>
      </c>
      <c r="AP108" s="197" t="s">
        <v>531</v>
      </c>
      <c r="AQ108" s="199">
        <v>72.148780000000002</v>
      </c>
      <c r="AR108" s="199" t="b">
        <v>0</v>
      </c>
      <c r="AS108" s="197" t="s">
        <v>534</v>
      </c>
    </row>
    <row r="109" spans="1:45" s="219" customFormat="1" x14ac:dyDescent="0.25">
      <c r="A109" s="245">
        <f t="shared" si="15"/>
        <v>109</v>
      </c>
      <c r="B109" s="246" t="str">
        <f t="shared" si="8"/>
        <v>Oil Field - Separator</v>
      </c>
      <c r="C109" s="246" t="str">
        <f ca="1">IF(B109="","",VLOOKUP(D109,'Species Data'!B:E,4,FALSE))</f>
        <v>trimentpen3</v>
      </c>
      <c r="D109" s="246">
        <f t="shared" ca="1" si="9"/>
        <v>130</v>
      </c>
      <c r="E109" s="246">
        <f t="shared" ca="1" si="10"/>
        <v>1.24E-2</v>
      </c>
      <c r="F109" s="246" t="str">
        <f t="shared" ca="1" si="11"/>
        <v>2,3,4-trimethylpentane</v>
      </c>
      <c r="G109" s="246">
        <f t="shared" ca="1" si="12"/>
        <v>114.22852</v>
      </c>
      <c r="H109" s="204">
        <f ca="1">IF(G109="","",IF(VLOOKUP(Separator!F109,'Species Data'!D:F,3,FALSE)=0,"X",IF(G109&lt;44.1,2,1)))</f>
        <v>1</v>
      </c>
      <c r="I109" s="204">
        <f t="shared" ca="1" si="13"/>
        <v>0.1436668582224776</v>
      </c>
      <c r="J109" s="247">
        <f ca="1">IF(I109="","",IF(COUNTIF($D$12:D109,D109)=1,IF(H109=1,I109*H109,IF(H109="X","X",0)),0))</f>
        <v>0</v>
      </c>
      <c r="K109" s="248">
        <f t="shared" ca="1" si="14"/>
        <v>0</v>
      </c>
      <c r="L109" s="197" t="s">
        <v>678</v>
      </c>
      <c r="M109" s="197" t="s">
        <v>448</v>
      </c>
      <c r="N109" s="197" t="s">
        <v>470</v>
      </c>
      <c r="O109" s="198">
        <v>41419</v>
      </c>
      <c r="P109" s="197" t="s">
        <v>531</v>
      </c>
      <c r="Q109" s="199">
        <v>100</v>
      </c>
      <c r="R109" s="197" t="s">
        <v>445</v>
      </c>
      <c r="S109" s="197" t="s">
        <v>532</v>
      </c>
      <c r="T109" s="197" t="s">
        <v>445</v>
      </c>
      <c r="U109" s="197" t="s">
        <v>446</v>
      </c>
      <c r="V109" s="199" t="b">
        <v>1</v>
      </c>
      <c r="W109" s="199">
        <v>1989</v>
      </c>
      <c r="X109" s="199">
        <v>5</v>
      </c>
      <c r="Y109" s="199">
        <v>2</v>
      </c>
      <c r="Z109" s="199">
        <v>4</v>
      </c>
      <c r="AA109" s="197" t="s">
        <v>447</v>
      </c>
      <c r="AB109" s="197" t="s">
        <v>531</v>
      </c>
      <c r="AC109" s="197" t="s">
        <v>533</v>
      </c>
      <c r="AD109" s="199">
        <v>1.5225610000000001</v>
      </c>
      <c r="AE109" s="199">
        <v>130</v>
      </c>
      <c r="AF109" s="199">
        <v>1.24E-2</v>
      </c>
      <c r="AG109" s="199">
        <v>-99</v>
      </c>
      <c r="AH109" s="197" t="s">
        <v>224</v>
      </c>
      <c r="AI109" s="197" t="s">
        <v>449</v>
      </c>
      <c r="AJ109" s="197" t="s">
        <v>404</v>
      </c>
      <c r="AK109" s="197" t="s">
        <v>531</v>
      </c>
      <c r="AL109" s="197" t="s">
        <v>405</v>
      </c>
      <c r="AM109" s="199" t="b">
        <v>1</v>
      </c>
      <c r="AN109" s="199" t="b">
        <v>0</v>
      </c>
      <c r="AO109" s="197" t="s">
        <v>406</v>
      </c>
      <c r="AP109" s="197" t="s">
        <v>407</v>
      </c>
      <c r="AQ109" s="199">
        <v>114.22852</v>
      </c>
      <c r="AR109" s="199" t="b">
        <v>0</v>
      </c>
      <c r="AS109" s="197" t="s">
        <v>534</v>
      </c>
    </row>
    <row r="110" spans="1:45" s="219" customFormat="1" ht="15" customHeight="1" x14ac:dyDescent="0.25">
      <c r="A110" s="245">
        <f t="shared" si="15"/>
        <v>110</v>
      </c>
      <c r="B110" s="246" t="str">
        <f t="shared" si="8"/>
        <v>Oil Field - Separator</v>
      </c>
      <c r="C110" s="246" t="str">
        <f ca="1">IF(B110="","",VLOOKUP(D110,'Species Data'!B:E,4,FALSE))</f>
        <v>dimethhex23</v>
      </c>
      <c r="D110" s="246">
        <f t="shared" ca="1" si="9"/>
        <v>138</v>
      </c>
      <c r="E110" s="246">
        <f t="shared" ca="1" si="10"/>
        <v>1.9699999999999999E-2</v>
      </c>
      <c r="F110" s="246" t="str">
        <f t="shared" ca="1" si="11"/>
        <v>2,3-dimethylhexane</v>
      </c>
      <c r="G110" s="246">
        <f t="shared" ca="1" si="12"/>
        <v>114.22852</v>
      </c>
      <c r="H110" s="204">
        <f ca="1">IF(G110="","",IF(VLOOKUP(Separator!F110,'Species Data'!D:F,3,FALSE)=0,"X",IF(G110&lt;44.1,2,1)))</f>
        <v>1</v>
      </c>
      <c r="I110" s="204">
        <f t="shared" ca="1" si="13"/>
        <v>1.5666687555583404E-2</v>
      </c>
      <c r="J110" s="247">
        <f ca="1">IF(I110="","",IF(COUNTIF($D$12:D110,D110)=1,IF(H110=1,I110*H110,IF(H110="X","X",0)),0))</f>
        <v>0</v>
      </c>
      <c r="K110" s="248">
        <f t="shared" ca="1" si="14"/>
        <v>0</v>
      </c>
      <c r="L110" s="197" t="s">
        <v>678</v>
      </c>
      <c r="M110" s="197" t="s">
        <v>448</v>
      </c>
      <c r="N110" s="197" t="s">
        <v>470</v>
      </c>
      <c r="O110" s="198">
        <v>41419</v>
      </c>
      <c r="P110" s="197" t="s">
        <v>531</v>
      </c>
      <c r="Q110" s="199">
        <v>100</v>
      </c>
      <c r="R110" s="197" t="s">
        <v>445</v>
      </c>
      <c r="S110" s="197" t="s">
        <v>532</v>
      </c>
      <c r="T110" s="197" t="s">
        <v>445</v>
      </c>
      <c r="U110" s="197" t="s">
        <v>446</v>
      </c>
      <c r="V110" s="199" t="b">
        <v>1</v>
      </c>
      <c r="W110" s="199">
        <v>1989</v>
      </c>
      <c r="X110" s="199">
        <v>5</v>
      </c>
      <c r="Y110" s="199">
        <v>2</v>
      </c>
      <c r="Z110" s="199">
        <v>4</v>
      </c>
      <c r="AA110" s="197" t="s">
        <v>447</v>
      </c>
      <c r="AB110" s="197" t="s">
        <v>531</v>
      </c>
      <c r="AC110" s="197" t="s">
        <v>533</v>
      </c>
      <c r="AD110" s="199">
        <v>1.5225610000000001</v>
      </c>
      <c r="AE110" s="199">
        <v>138</v>
      </c>
      <c r="AF110" s="199">
        <v>1.9699999999999999E-2</v>
      </c>
      <c r="AG110" s="199">
        <v>-99</v>
      </c>
      <c r="AH110" s="197" t="s">
        <v>224</v>
      </c>
      <c r="AI110" s="197" t="s">
        <v>449</v>
      </c>
      <c r="AJ110" s="197" t="s">
        <v>443</v>
      </c>
      <c r="AK110" s="197" t="s">
        <v>531</v>
      </c>
      <c r="AL110" s="197" t="s">
        <v>463</v>
      </c>
      <c r="AM110" s="199" t="b">
        <v>0</v>
      </c>
      <c r="AN110" s="199" t="b">
        <v>0</v>
      </c>
      <c r="AO110" s="197" t="s">
        <v>444</v>
      </c>
      <c r="AP110" s="197" t="s">
        <v>531</v>
      </c>
      <c r="AQ110" s="199">
        <v>114.22852</v>
      </c>
      <c r="AR110" s="199" t="b">
        <v>0</v>
      </c>
      <c r="AS110" s="197" t="s">
        <v>534</v>
      </c>
    </row>
    <row r="111" spans="1:45" s="219" customFormat="1" x14ac:dyDescent="0.25">
      <c r="A111" s="245">
        <f t="shared" si="15"/>
        <v>111</v>
      </c>
      <c r="B111" s="246" t="str">
        <f t="shared" si="8"/>
        <v>Oil Field - Separator</v>
      </c>
      <c r="C111" s="246" t="str">
        <f ca="1">IF(B111="","",VLOOKUP(D111,'Species Data'!B:E,4,FALSE))</f>
        <v>dimetpen3</v>
      </c>
      <c r="D111" s="246">
        <f t="shared" ca="1" si="9"/>
        <v>140</v>
      </c>
      <c r="E111" s="246">
        <f t="shared" ca="1" si="10"/>
        <v>0.1875</v>
      </c>
      <c r="F111" s="246" t="str">
        <f t="shared" ca="1" si="11"/>
        <v>2,3-dimethylpentane</v>
      </c>
      <c r="G111" s="246">
        <f t="shared" ca="1" si="12"/>
        <v>100.20194000000001</v>
      </c>
      <c r="H111" s="204">
        <f ca="1">IF(G111="","",IF(VLOOKUP(Separator!F111,'Species Data'!D:F,3,FALSE)=0,"X",IF(G111&lt;44.1,2,1)))</f>
        <v>1</v>
      </c>
      <c r="I111" s="204">
        <f t="shared" ca="1" si="13"/>
        <v>0.20590027453369936</v>
      </c>
      <c r="J111" s="247">
        <f ca="1">IF(I111="","",IF(COUNTIF($D$12:D111,D111)=1,IF(H111=1,I111*H111,IF(H111="X","X",0)),0))</f>
        <v>0</v>
      </c>
      <c r="K111" s="248">
        <f t="shared" ca="1" si="14"/>
        <v>0</v>
      </c>
      <c r="L111" s="197" t="s">
        <v>678</v>
      </c>
      <c r="M111" s="197" t="s">
        <v>448</v>
      </c>
      <c r="N111" s="197" t="s">
        <v>470</v>
      </c>
      <c r="O111" s="198">
        <v>41419</v>
      </c>
      <c r="P111" s="197" t="s">
        <v>531</v>
      </c>
      <c r="Q111" s="199">
        <v>100</v>
      </c>
      <c r="R111" s="197" t="s">
        <v>445</v>
      </c>
      <c r="S111" s="197" t="s">
        <v>532</v>
      </c>
      <c r="T111" s="197" t="s">
        <v>445</v>
      </c>
      <c r="U111" s="197" t="s">
        <v>446</v>
      </c>
      <c r="V111" s="199" t="b">
        <v>1</v>
      </c>
      <c r="W111" s="199">
        <v>1989</v>
      </c>
      <c r="X111" s="199">
        <v>5</v>
      </c>
      <c r="Y111" s="199">
        <v>2</v>
      </c>
      <c r="Z111" s="199">
        <v>4</v>
      </c>
      <c r="AA111" s="197" t="s">
        <v>447</v>
      </c>
      <c r="AB111" s="197" t="s">
        <v>531</v>
      </c>
      <c r="AC111" s="197" t="s">
        <v>533</v>
      </c>
      <c r="AD111" s="199">
        <v>1.5225610000000001</v>
      </c>
      <c r="AE111" s="199">
        <v>140</v>
      </c>
      <c r="AF111" s="199">
        <v>0.1875</v>
      </c>
      <c r="AG111" s="199">
        <v>-99</v>
      </c>
      <c r="AH111" s="197" t="s">
        <v>224</v>
      </c>
      <c r="AI111" s="197" t="s">
        <v>449</v>
      </c>
      <c r="AJ111" s="197" t="s">
        <v>307</v>
      </c>
      <c r="AK111" s="197" t="s">
        <v>531</v>
      </c>
      <c r="AL111" s="197" t="s">
        <v>385</v>
      </c>
      <c r="AM111" s="199" t="b">
        <v>1</v>
      </c>
      <c r="AN111" s="199" t="b">
        <v>0</v>
      </c>
      <c r="AO111" s="197" t="s">
        <v>308</v>
      </c>
      <c r="AP111" s="197" t="s">
        <v>309</v>
      </c>
      <c r="AQ111" s="199">
        <v>100.20194000000001</v>
      </c>
      <c r="AR111" s="199" t="b">
        <v>0</v>
      </c>
      <c r="AS111" s="197" t="s">
        <v>534</v>
      </c>
    </row>
    <row r="112" spans="1:45" s="219" customFormat="1" x14ac:dyDescent="0.25">
      <c r="A112" s="245">
        <f t="shared" si="15"/>
        <v>112</v>
      </c>
      <c r="B112" s="246" t="str">
        <f t="shared" si="8"/>
        <v>Oil Field - Separator</v>
      </c>
      <c r="C112" s="246" t="str">
        <f ca="1">IF(B112="","",VLOOKUP(D112,'Species Data'!B:E,4,FALSE))</f>
        <v>dimethhex24</v>
      </c>
      <c r="D112" s="246">
        <f t="shared" ca="1" si="9"/>
        <v>149</v>
      </c>
      <c r="E112" s="246">
        <f t="shared" ca="1" si="10"/>
        <v>0.1298</v>
      </c>
      <c r="F112" s="246" t="str">
        <f t="shared" ca="1" si="11"/>
        <v>2,4-dimethylhexane</v>
      </c>
      <c r="G112" s="246">
        <f t="shared" ca="1" si="12"/>
        <v>114.22852</v>
      </c>
      <c r="H112" s="204">
        <f ca="1">IF(G112="","",IF(VLOOKUP(Separator!F112,'Species Data'!D:F,3,FALSE)=0,"X",IF(G112&lt;44.1,2,1)))</f>
        <v>1</v>
      </c>
      <c r="I112" s="204">
        <f t="shared" ca="1" si="13"/>
        <v>4.3266724355632467E-2</v>
      </c>
      <c r="J112" s="247">
        <f ca="1">IF(I112="","",IF(COUNTIF($D$12:D112,D112)=1,IF(H112=1,I112*H112,IF(H112="X","X",0)),0))</f>
        <v>4.3266724355632467E-2</v>
      </c>
      <c r="K112" s="248">
        <f t="shared" ca="1" si="14"/>
        <v>0.10562583715392895</v>
      </c>
      <c r="L112" s="197" t="s">
        <v>678</v>
      </c>
      <c r="M112" s="197" t="s">
        <v>448</v>
      </c>
      <c r="N112" s="197" t="s">
        <v>470</v>
      </c>
      <c r="O112" s="198">
        <v>41419</v>
      </c>
      <c r="P112" s="197" t="s">
        <v>531</v>
      </c>
      <c r="Q112" s="199">
        <v>100</v>
      </c>
      <c r="R112" s="197" t="s">
        <v>445</v>
      </c>
      <c r="S112" s="197" t="s">
        <v>532</v>
      </c>
      <c r="T112" s="197" t="s">
        <v>445</v>
      </c>
      <c r="U112" s="197" t="s">
        <v>446</v>
      </c>
      <c r="V112" s="199" t="b">
        <v>1</v>
      </c>
      <c r="W112" s="199">
        <v>1989</v>
      </c>
      <c r="X112" s="199">
        <v>5</v>
      </c>
      <c r="Y112" s="199">
        <v>2</v>
      </c>
      <c r="Z112" s="199">
        <v>4</v>
      </c>
      <c r="AA112" s="197" t="s">
        <v>447</v>
      </c>
      <c r="AB112" s="197" t="s">
        <v>531</v>
      </c>
      <c r="AC112" s="197" t="s">
        <v>533</v>
      </c>
      <c r="AD112" s="199">
        <v>1.5225610000000001</v>
      </c>
      <c r="AE112" s="199">
        <v>149</v>
      </c>
      <c r="AF112" s="199">
        <v>0.1298</v>
      </c>
      <c r="AG112" s="199">
        <v>-99</v>
      </c>
      <c r="AH112" s="197" t="s">
        <v>224</v>
      </c>
      <c r="AI112" s="197" t="s">
        <v>449</v>
      </c>
      <c r="AJ112" s="197" t="s">
        <v>427</v>
      </c>
      <c r="AK112" s="197" t="s">
        <v>531</v>
      </c>
      <c r="AL112" s="197" t="s">
        <v>457</v>
      </c>
      <c r="AM112" s="199" t="b">
        <v>0</v>
      </c>
      <c r="AN112" s="199" t="b">
        <v>0</v>
      </c>
      <c r="AO112" s="197" t="s">
        <v>428</v>
      </c>
      <c r="AP112" s="197" t="s">
        <v>429</v>
      </c>
      <c r="AQ112" s="199">
        <v>114.22852</v>
      </c>
      <c r="AR112" s="199" t="b">
        <v>0</v>
      </c>
      <c r="AS112" s="197" t="s">
        <v>534</v>
      </c>
    </row>
    <row r="113" spans="1:45" s="219" customFormat="1" x14ac:dyDescent="0.25">
      <c r="A113" s="245">
        <f t="shared" si="15"/>
        <v>113</v>
      </c>
      <c r="B113" s="246" t="str">
        <f t="shared" si="8"/>
        <v>Oil Field - Separator</v>
      </c>
      <c r="C113" s="246" t="str">
        <f ca="1">IF(B113="","",VLOOKUP(D113,'Species Data'!B:E,4,FALSE))</f>
        <v>dimetpen4</v>
      </c>
      <c r="D113" s="246">
        <f t="shared" ca="1" si="9"/>
        <v>152</v>
      </c>
      <c r="E113" s="246">
        <f t="shared" ca="1" si="10"/>
        <v>7.9100000000000004E-2</v>
      </c>
      <c r="F113" s="246" t="str">
        <f t="shared" ca="1" si="11"/>
        <v>2,4-dimethylpentane</v>
      </c>
      <c r="G113" s="246">
        <f t="shared" ca="1" si="12"/>
        <v>100.20194000000001</v>
      </c>
      <c r="H113" s="204">
        <f ca="1">IF(G113="","",IF(VLOOKUP(Separator!F113,'Species Data'!D:F,3,FALSE)=0,"X",IF(G113&lt;44.1,2,1)))</f>
        <v>1</v>
      </c>
      <c r="I113" s="204">
        <f t="shared" ca="1" si="13"/>
        <v>9.4800126400168522E-2</v>
      </c>
      <c r="J113" s="247">
        <f ca="1">IF(I113="","",IF(COUNTIF($D$12:D113,D113)=1,IF(H113=1,I113*H113,IF(H113="X","X",0)),0))</f>
        <v>0</v>
      </c>
      <c r="K113" s="248">
        <f t="shared" ca="1" si="14"/>
        <v>0</v>
      </c>
      <c r="L113" s="197" t="s">
        <v>678</v>
      </c>
      <c r="M113" s="197" t="s">
        <v>448</v>
      </c>
      <c r="N113" s="197" t="s">
        <v>470</v>
      </c>
      <c r="O113" s="198">
        <v>41419</v>
      </c>
      <c r="P113" s="197" t="s">
        <v>531</v>
      </c>
      <c r="Q113" s="199">
        <v>100</v>
      </c>
      <c r="R113" s="197" t="s">
        <v>445</v>
      </c>
      <c r="S113" s="197" t="s">
        <v>532</v>
      </c>
      <c r="T113" s="197" t="s">
        <v>445</v>
      </c>
      <c r="U113" s="197" t="s">
        <v>446</v>
      </c>
      <c r="V113" s="199" t="b">
        <v>1</v>
      </c>
      <c r="W113" s="199">
        <v>1989</v>
      </c>
      <c r="X113" s="199">
        <v>5</v>
      </c>
      <c r="Y113" s="199">
        <v>2</v>
      </c>
      <c r="Z113" s="199">
        <v>4</v>
      </c>
      <c r="AA113" s="197" t="s">
        <v>447</v>
      </c>
      <c r="AB113" s="197" t="s">
        <v>531</v>
      </c>
      <c r="AC113" s="197" t="s">
        <v>533</v>
      </c>
      <c r="AD113" s="199">
        <v>1.5225610000000001</v>
      </c>
      <c r="AE113" s="199">
        <v>152</v>
      </c>
      <c r="AF113" s="199">
        <v>7.9100000000000004E-2</v>
      </c>
      <c r="AG113" s="199">
        <v>-99</v>
      </c>
      <c r="AH113" s="197" t="s">
        <v>224</v>
      </c>
      <c r="AI113" s="197" t="s">
        <v>449</v>
      </c>
      <c r="AJ113" s="197" t="s">
        <v>310</v>
      </c>
      <c r="AK113" s="197" t="s">
        <v>531</v>
      </c>
      <c r="AL113" s="197" t="s">
        <v>386</v>
      </c>
      <c r="AM113" s="199" t="b">
        <v>1</v>
      </c>
      <c r="AN113" s="199" t="b">
        <v>0</v>
      </c>
      <c r="AO113" s="197" t="s">
        <v>311</v>
      </c>
      <c r="AP113" s="197" t="s">
        <v>312</v>
      </c>
      <c r="AQ113" s="199">
        <v>100.20194000000001</v>
      </c>
      <c r="AR113" s="199" t="b">
        <v>0</v>
      </c>
      <c r="AS113" s="197" t="s">
        <v>534</v>
      </c>
    </row>
    <row r="114" spans="1:45" s="219" customFormat="1" ht="15" customHeight="1" x14ac:dyDescent="0.25">
      <c r="A114" s="245">
        <f t="shared" si="15"/>
        <v>114</v>
      </c>
      <c r="B114" s="246" t="str">
        <f t="shared" si="8"/>
        <v>Oil Field - Separator</v>
      </c>
      <c r="C114" s="246" t="str">
        <f ca="1">IF(B114="","",VLOOKUP(D114,'Species Data'!B:E,4,FALSE))</f>
        <v>methep2</v>
      </c>
      <c r="D114" s="246">
        <f t="shared" ca="1" si="9"/>
        <v>193</v>
      </c>
      <c r="E114" s="246">
        <f t="shared" ca="1" si="10"/>
        <v>0.18890000000000001</v>
      </c>
      <c r="F114" s="246" t="str">
        <f t="shared" ca="1" si="11"/>
        <v>2-methylheptane</v>
      </c>
      <c r="G114" s="246">
        <f t="shared" ca="1" si="12"/>
        <v>114.22852</v>
      </c>
      <c r="H114" s="204">
        <f ca="1">IF(G114="","",IF(VLOOKUP(Separator!F114,'Species Data'!D:F,3,FALSE)=0,"X",IF(G114&lt;44.1,2,1)))</f>
        <v>1</v>
      </c>
      <c r="I114" s="204">
        <f t="shared" ca="1" si="13"/>
        <v>0.10063346751129</v>
      </c>
      <c r="J114" s="247">
        <f ca="1">IF(I114="","",IF(COUNTIF($D$12:D114,D114)=1,IF(H114=1,I114*H114,IF(H114="X","X",0)),0))</f>
        <v>0</v>
      </c>
      <c r="K114" s="248">
        <f t="shared" ca="1" si="14"/>
        <v>0</v>
      </c>
      <c r="L114" s="197" t="s">
        <v>678</v>
      </c>
      <c r="M114" s="197" t="s">
        <v>448</v>
      </c>
      <c r="N114" s="197" t="s">
        <v>470</v>
      </c>
      <c r="O114" s="198">
        <v>41419</v>
      </c>
      <c r="P114" s="197" t="s">
        <v>531</v>
      </c>
      <c r="Q114" s="199">
        <v>100</v>
      </c>
      <c r="R114" s="197" t="s">
        <v>445</v>
      </c>
      <c r="S114" s="197" t="s">
        <v>532</v>
      </c>
      <c r="T114" s="197" t="s">
        <v>445</v>
      </c>
      <c r="U114" s="197" t="s">
        <v>446</v>
      </c>
      <c r="V114" s="199" t="b">
        <v>1</v>
      </c>
      <c r="W114" s="199">
        <v>1989</v>
      </c>
      <c r="X114" s="199">
        <v>5</v>
      </c>
      <c r="Y114" s="199">
        <v>2</v>
      </c>
      <c r="Z114" s="199">
        <v>4</v>
      </c>
      <c r="AA114" s="197" t="s">
        <v>447</v>
      </c>
      <c r="AB114" s="197" t="s">
        <v>531</v>
      </c>
      <c r="AC114" s="197" t="s">
        <v>533</v>
      </c>
      <c r="AD114" s="199">
        <v>1.5225610000000001</v>
      </c>
      <c r="AE114" s="199">
        <v>193</v>
      </c>
      <c r="AF114" s="199">
        <v>0.18890000000000001</v>
      </c>
      <c r="AG114" s="199">
        <v>-99</v>
      </c>
      <c r="AH114" s="197" t="s">
        <v>224</v>
      </c>
      <c r="AI114" s="197" t="s">
        <v>449</v>
      </c>
      <c r="AJ114" s="197" t="s">
        <v>313</v>
      </c>
      <c r="AK114" s="197" t="s">
        <v>531</v>
      </c>
      <c r="AL114" s="197" t="s">
        <v>387</v>
      </c>
      <c r="AM114" s="199" t="b">
        <v>1</v>
      </c>
      <c r="AN114" s="199" t="b">
        <v>0</v>
      </c>
      <c r="AO114" s="197" t="s">
        <v>314</v>
      </c>
      <c r="AP114" s="197" t="s">
        <v>315</v>
      </c>
      <c r="AQ114" s="199">
        <v>114.22852</v>
      </c>
      <c r="AR114" s="199" t="b">
        <v>0</v>
      </c>
      <c r="AS114" s="197" t="s">
        <v>534</v>
      </c>
    </row>
    <row r="115" spans="1:45" s="219" customFormat="1" x14ac:dyDescent="0.25">
      <c r="A115" s="245">
        <f t="shared" si="15"/>
        <v>115</v>
      </c>
      <c r="B115" s="246" t="str">
        <f t="shared" si="8"/>
        <v>Oil Field - Separator</v>
      </c>
      <c r="C115" s="246" t="str">
        <f ca="1">IF(B115="","",VLOOKUP(D115,'Species Data'!B:E,4,FALSE))</f>
        <v>twomethex</v>
      </c>
      <c r="D115" s="246">
        <f t="shared" ca="1" si="9"/>
        <v>194</v>
      </c>
      <c r="E115" s="246">
        <f t="shared" ca="1" si="10"/>
        <v>0.39900000000000002</v>
      </c>
      <c r="F115" s="246" t="str">
        <f t="shared" ca="1" si="11"/>
        <v>2-methylhexane</v>
      </c>
      <c r="G115" s="246">
        <f t="shared" ca="1" si="12"/>
        <v>100.20194000000001</v>
      </c>
      <c r="H115" s="204">
        <f ca="1">IF(G115="","",IF(VLOOKUP(Separator!F115,'Species Data'!D:F,3,FALSE)=0,"X",IF(G115&lt;44.1,2,1)))</f>
        <v>1</v>
      </c>
      <c r="I115" s="204">
        <f t="shared" ca="1" si="13"/>
        <v>0.27013369351159133</v>
      </c>
      <c r="J115" s="247">
        <f ca="1">IF(I115="","",IF(COUNTIF($D$12:D115,D115)=1,IF(H115=1,I115*H115,IF(H115="X","X",0)),0))</f>
        <v>0</v>
      </c>
      <c r="K115" s="248">
        <f t="shared" ca="1" si="14"/>
        <v>0</v>
      </c>
      <c r="L115" s="197" t="s">
        <v>678</v>
      </c>
      <c r="M115" s="197" t="s">
        <v>448</v>
      </c>
      <c r="N115" s="197" t="s">
        <v>470</v>
      </c>
      <c r="O115" s="198">
        <v>41419</v>
      </c>
      <c r="P115" s="197" t="s">
        <v>531</v>
      </c>
      <c r="Q115" s="199">
        <v>100</v>
      </c>
      <c r="R115" s="197" t="s">
        <v>445</v>
      </c>
      <c r="S115" s="197" t="s">
        <v>532</v>
      </c>
      <c r="T115" s="197" t="s">
        <v>445</v>
      </c>
      <c r="U115" s="197" t="s">
        <v>446</v>
      </c>
      <c r="V115" s="199" t="b">
        <v>1</v>
      </c>
      <c r="W115" s="199">
        <v>1989</v>
      </c>
      <c r="X115" s="199">
        <v>5</v>
      </c>
      <c r="Y115" s="199">
        <v>2</v>
      </c>
      <c r="Z115" s="199">
        <v>4</v>
      </c>
      <c r="AA115" s="197" t="s">
        <v>447</v>
      </c>
      <c r="AB115" s="197" t="s">
        <v>531</v>
      </c>
      <c r="AC115" s="197" t="s">
        <v>533</v>
      </c>
      <c r="AD115" s="199">
        <v>1.5225610000000001</v>
      </c>
      <c r="AE115" s="199">
        <v>194</v>
      </c>
      <c r="AF115" s="199">
        <v>0.39900000000000002</v>
      </c>
      <c r="AG115" s="199">
        <v>-99</v>
      </c>
      <c r="AH115" s="197" t="s">
        <v>224</v>
      </c>
      <c r="AI115" s="197" t="s">
        <v>449</v>
      </c>
      <c r="AJ115" s="197" t="s">
        <v>316</v>
      </c>
      <c r="AK115" s="197" t="s">
        <v>531</v>
      </c>
      <c r="AL115" s="197" t="s">
        <v>388</v>
      </c>
      <c r="AM115" s="199" t="b">
        <v>1</v>
      </c>
      <c r="AN115" s="199" t="b">
        <v>0</v>
      </c>
      <c r="AO115" s="197" t="s">
        <v>317</v>
      </c>
      <c r="AP115" s="197" t="s">
        <v>318</v>
      </c>
      <c r="AQ115" s="199">
        <v>100.20194000000001</v>
      </c>
      <c r="AR115" s="199" t="b">
        <v>0</v>
      </c>
      <c r="AS115" s="197" t="s">
        <v>534</v>
      </c>
    </row>
    <row r="116" spans="1:45" s="219" customFormat="1" ht="15" customHeight="1" x14ac:dyDescent="0.25">
      <c r="A116" s="245">
        <f t="shared" si="15"/>
        <v>116</v>
      </c>
      <c r="B116" s="246" t="str">
        <f t="shared" si="8"/>
        <v>Oil Field - Separator</v>
      </c>
      <c r="C116" s="246" t="str">
        <f ca="1">IF(B116="","",VLOOKUP(D116,'Species Data'!B:E,4,FALSE))</f>
        <v>twometpen</v>
      </c>
      <c r="D116" s="246">
        <f t="shared" ca="1" si="9"/>
        <v>199</v>
      </c>
      <c r="E116" s="246">
        <f t="shared" ca="1" si="10"/>
        <v>1.2020999999999999</v>
      </c>
      <c r="F116" s="246" t="str">
        <f t="shared" ca="1" si="11"/>
        <v>2-methylpentane (isohexane)</v>
      </c>
      <c r="G116" s="246">
        <f t="shared" ca="1" si="12"/>
        <v>86.175359999999998</v>
      </c>
      <c r="H116" s="204">
        <f ca="1">IF(G116="","",IF(VLOOKUP(Separator!F116,'Species Data'!D:F,3,FALSE)=0,"X",IF(G116&lt;44.1,2,1)))</f>
        <v>1</v>
      </c>
      <c r="I116" s="204">
        <f t="shared" ca="1" si="13"/>
        <v>1.0612014149352198</v>
      </c>
      <c r="J116" s="247">
        <f ca="1">IF(I116="","",IF(COUNTIF($D$12:D116,D116)=1,IF(H116=1,I116*H116,IF(H116="X","X",0)),0))</f>
        <v>0</v>
      </c>
      <c r="K116" s="248">
        <f t="shared" ca="1" si="14"/>
        <v>0</v>
      </c>
      <c r="L116" s="197" t="s">
        <v>678</v>
      </c>
      <c r="M116" s="197" t="s">
        <v>448</v>
      </c>
      <c r="N116" s="197" t="s">
        <v>470</v>
      </c>
      <c r="O116" s="198">
        <v>41419</v>
      </c>
      <c r="P116" s="197" t="s">
        <v>531</v>
      </c>
      <c r="Q116" s="199">
        <v>100</v>
      </c>
      <c r="R116" s="197" t="s">
        <v>445</v>
      </c>
      <c r="S116" s="197" t="s">
        <v>532</v>
      </c>
      <c r="T116" s="197" t="s">
        <v>445</v>
      </c>
      <c r="U116" s="197" t="s">
        <v>446</v>
      </c>
      <c r="V116" s="199" t="b">
        <v>1</v>
      </c>
      <c r="W116" s="199">
        <v>1989</v>
      </c>
      <c r="X116" s="199">
        <v>5</v>
      </c>
      <c r="Y116" s="199">
        <v>2</v>
      </c>
      <c r="Z116" s="199">
        <v>4</v>
      </c>
      <c r="AA116" s="197" t="s">
        <v>447</v>
      </c>
      <c r="AB116" s="197" t="s">
        <v>531</v>
      </c>
      <c r="AC116" s="197" t="s">
        <v>533</v>
      </c>
      <c r="AD116" s="199">
        <v>1.5225610000000001</v>
      </c>
      <c r="AE116" s="199">
        <v>199</v>
      </c>
      <c r="AF116" s="199">
        <v>1.2020999999999999</v>
      </c>
      <c r="AG116" s="199">
        <v>-99</v>
      </c>
      <c r="AH116" s="197" t="s">
        <v>224</v>
      </c>
      <c r="AI116" s="197" t="s">
        <v>449</v>
      </c>
      <c r="AJ116" s="197" t="s">
        <v>319</v>
      </c>
      <c r="AK116" s="197" t="s">
        <v>531</v>
      </c>
      <c r="AL116" s="197" t="s">
        <v>389</v>
      </c>
      <c r="AM116" s="199" t="b">
        <v>1</v>
      </c>
      <c r="AN116" s="199" t="b">
        <v>0</v>
      </c>
      <c r="AO116" s="197" t="s">
        <v>320</v>
      </c>
      <c r="AP116" s="197" t="s">
        <v>321</v>
      </c>
      <c r="AQ116" s="199">
        <v>86.175359999999998</v>
      </c>
      <c r="AR116" s="199" t="b">
        <v>0</v>
      </c>
      <c r="AS116" s="197" t="s">
        <v>534</v>
      </c>
    </row>
    <row r="117" spans="1:45" s="219" customFormat="1" x14ac:dyDescent="0.25">
      <c r="A117" s="245">
        <f t="shared" si="15"/>
        <v>117</v>
      </c>
      <c r="B117" s="246" t="str">
        <f t="shared" si="8"/>
        <v>Oil Field - Separator</v>
      </c>
      <c r="C117" s="246" t="str">
        <f ca="1">IF(B117="","",VLOOKUP(D117,'Species Data'!B:E,4,FALSE))</f>
        <v>threemethex</v>
      </c>
      <c r="D117" s="246">
        <f t="shared" ca="1" si="9"/>
        <v>245</v>
      </c>
      <c r="E117" s="246">
        <f t="shared" ca="1" si="10"/>
        <v>0.505</v>
      </c>
      <c r="F117" s="246" t="str">
        <f t="shared" ca="1" si="11"/>
        <v>3-methylhexane</v>
      </c>
      <c r="G117" s="246">
        <f t="shared" ca="1" si="12"/>
        <v>100.20194000000001</v>
      </c>
      <c r="H117" s="204">
        <f ca="1">IF(G117="","",IF(VLOOKUP(Separator!F117,'Species Data'!D:F,3,FALSE)=0,"X",IF(G117&lt;44.1,2,1)))</f>
        <v>1</v>
      </c>
      <c r="I117" s="204">
        <f t="shared" ca="1" si="13"/>
        <v>0.33276711035614709</v>
      </c>
      <c r="J117" s="247">
        <f ca="1">IF(I117="","",IF(COUNTIF($D$12:D117,D117)=1,IF(H117=1,I117*H117,IF(H117="X","X",0)),0))</f>
        <v>0</v>
      </c>
      <c r="K117" s="248">
        <f t="shared" ca="1" si="14"/>
        <v>0</v>
      </c>
      <c r="L117" s="197" t="s">
        <v>678</v>
      </c>
      <c r="M117" s="197" t="s">
        <v>448</v>
      </c>
      <c r="N117" s="197" t="s">
        <v>470</v>
      </c>
      <c r="O117" s="198">
        <v>41419</v>
      </c>
      <c r="P117" s="197" t="s">
        <v>531</v>
      </c>
      <c r="Q117" s="199">
        <v>100</v>
      </c>
      <c r="R117" s="197" t="s">
        <v>445</v>
      </c>
      <c r="S117" s="197" t="s">
        <v>532</v>
      </c>
      <c r="T117" s="197" t="s">
        <v>445</v>
      </c>
      <c r="U117" s="197" t="s">
        <v>446</v>
      </c>
      <c r="V117" s="199" t="b">
        <v>1</v>
      </c>
      <c r="W117" s="199">
        <v>1989</v>
      </c>
      <c r="X117" s="199">
        <v>5</v>
      </c>
      <c r="Y117" s="199">
        <v>2</v>
      </c>
      <c r="Z117" s="199">
        <v>4</v>
      </c>
      <c r="AA117" s="197" t="s">
        <v>447</v>
      </c>
      <c r="AB117" s="197" t="s">
        <v>531</v>
      </c>
      <c r="AC117" s="197" t="s">
        <v>533</v>
      </c>
      <c r="AD117" s="199">
        <v>1.5225610000000001</v>
      </c>
      <c r="AE117" s="199">
        <v>245</v>
      </c>
      <c r="AF117" s="199">
        <v>0.505</v>
      </c>
      <c r="AG117" s="199">
        <v>-99</v>
      </c>
      <c r="AH117" s="197" t="s">
        <v>224</v>
      </c>
      <c r="AI117" s="197" t="s">
        <v>449</v>
      </c>
      <c r="AJ117" s="197" t="s">
        <v>325</v>
      </c>
      <c r="AK117" s="197" t="s">
        <v>531</v>
      </c>
      <c r="AL117" s="197" t="s">
        <v>390</v>
      </c>
      <c r="AM117" s="199" t="b">
        <v>1</v>
      </c>
      <c r="AN117" s="199" t="b">
        <v>0</v>
      </c>
      <c r="AO117" s="197" t="s">
        <v>326</v>
      </c>
      <c r="AP117" s="197" t="s">
        <v>327</v>
      </c>
      <c r="AQ117" s="199">
        <v>100.20194000000001</v>
      </c>
      <c r="AR117" s="199" t="b">
        <v>0</v>
      </c>
      <c r="AS117" s="197" t="s">
        <v>534</v>
      </c>
    </row>
    <row r="118" spans="1:45" s="219" customFormat="1" x14ac:dyDescent="0.25">
      <c r="A118" s="245">
        <f t="shared" si="15"/>
        <v>118</v>
      </c>
      <c r="B118" s="246" t="str">
        <f t="shared" si="8"/>
        <v>Oil Field - Separator</v>
      </c>
      <c r="C118" s="246" t="str">
        <f ca="1">IF(B118="","",VLOOKUP(D118,'Species Data'!B:E,4,FALSE))</f>
        <v>threemetpen</v>
      </c>
      <c r="D118" s="246">
        <f t="shared" ca="1" si="9"/>
        <v>248</v>
      </c>
      <c r="E118" s="246">
        <f t="shared" ca="1" si="10"/>
        <v>1.4428000000000001</v>
      </c>
      <c r="F118" s="246" t="str">
        <f t="shared" ca="1" si="11"/>
        <v>3-methylpentane</v>
      </c>
      <c r="G118" s="246">
        <f t="shared" ca="1" si="12"/>
        <v>86.175359999999998</v>
      </c>
      <c r="H118" s="204">
        <f ca="1">IF(G118="","",IF(VLOOKUP(Separator!F118,'Species Data'!D:F,3,FALSE)=0,"X",IF(G118&lt;44.1,2,1)))</f>
        <v>1</v>
      </c>
      <c r="I118" s="204">
        <f t="shared" ca="1" si="13"/>
        <v>0.74503432671243552</v>
      </c>
      <c r="J118" s="247">
        <f ca="1">IF(I118="","",IF(COUNTIF($D$12:D118,D118)=1,IF(H118=1,I118*H118,IF(H118="X","X",0)),0))</f>
        <v>0</v>
      </c>
      <c r="K118" s="248">
        <f t="shared" ca="1" si="14"/>
        <v>0</v>
      </c>
      <c r="L118" s="197" t="s">
        <v>678</v>
      </c>
      <c r="M118" s="197" t="s">
        <v>448</v>
      </c>
      <c r="N118" s="197" t="s">
        <v>470</v>
      </c>
      <c r="O118" s="198">
        <v>41419</v>
      </c>
      <c r="P118" s="197" t="s">
        <v>531</v>
      </c>
      <c r="Q118" s="199">
        <v>100</v>
      </c>
      <c r="R118" s="197" t="s">
        <v>445</v>
      </c>
      <c r="S118" s="197" t="s">
        <v>532</v>
      </c>
      <c r="T118" s="197" t="s">
        <v>445</v>
      </c>
      <c r="U118" s="197" t="s">
        <v>446</v>
      </c>
      <c r="V118" s="199" t="b">
        <v>1</v>
      </c>
      <c r="W118" s="199">
        <v>1989</v>
      </c>
      <c r="X118" s="199">
        <v>5</v>
      </c>
      <c r="Y118" s="199">
        <v>2</v>
      </c>
      <c r="Z118" s="199">
        <v>4</v>
      </c>
      <c r="AA118" s="197" t="s">
        <v>447</v>
      </c>
      <c r="AB118" s="197" t="s">
        <v>531</v>
      </c>
      <c r="AC118" s="197" t="s">
        <v>533</v>
      </c>
      <c r="AD118" s="199">
        <v>1.5225610000000001</v>
      </c>
      <c r="AE118" s="199">
        <v>248</v>
      </c>
      <c r="AF118" s="199">
        <v>1.4428000000000001</v>
      </c>
      <c r="AG118" s="199">
        <v>-99</v>
      </c>
      <c r="AH118" s="197" t="s">
        <v>224</v>
      </c>
      <c r="AI118" s="197" t="s">
        <v>449</v>
      </c>
      <c r="AJ118" s="197" t="s">
        <v>328</v>
      </c>
      <c r="AK118" s="197" t="s">
        <v>531</v>
      </c>
      <c r="AL118" s="197" t="s">
        <v>391</v>
      </c>
      <c r="AM118" s="199" t="b">
        <v>1</v>
      </c>
      <c r="AN118" s="199" t="b">
        <v>0</v>
      </c>
      <c r="AO118" s="197" t="s">
        <v>329</v>
      </c>
      <c r="AP118" s="197" t="s">
        <v>330</v>
      </c>
      <c r="AQ118" s="199">
        <v>86.175359999999998</v>
      </c>
      <c r="AR118" s="199" t="b">
        <v>0</v>
      </c>
      <c r="AS118" s="197" t="s">
        <v>534</v>
      </c>
    </row>
    <row r="119" spans="1:45" s="219" customFormat="1" x14ac:dyDescent="0.25">
      <c r="A119" s="245">
        <f t="shared" si="15"/>
        <v>119</v>
      </c>
      <c r="B119" s="246" t="str">
        <f t="shared" si="8"/>
        <v>Oil Field - Separator</v>
      </c>
      <c r="C119" s="246" t="str">
        <f ca="1">IF(B119="","",VLOOKUP(D119,'Species Data'!B:E,4,FALSE))</f>
        <v>benzene</v>
      </c>
      <c r="D119" s="246">
        <f t="shared" ca="1" si="9"/>
        <v>302</v>
      </c>
      <c r="E119" s="246">
        <f t="shared" ca="1" si="10"/>
        <v>0.2989</v>
      </c>
      <c r="F119" s="246" t="str">
        <f t="shared" ca="1" si="11"/>
        <v>Benzene</v>
      </c>
      <c r="G119" s="246">
        <f t="shared" ca="1" si="12"/>
        <v>78.111840000000001</v>
      </c>
      <c r="H119" s="204">
        <f ca="1">IF(G119="","",IF(VLOOKUP(Separator!F119,'Species Data'!D:F,3,FALSE)=0,"X",IF(G119&lt;44.1,2,1)))</f>
        <v>1</v>
      </c>
      <c r="I119" s="204">
        <f t="shared" ca="1" si="13"/>
        <v>0.14523352697803596</v>
      </c>
      <c r="J119" s="247">
        <f ca="1">IF(I119="","",IF(COUNTIF($D$12:D119,D119)=1,IF(H119=1,I119*H119,IF(H119="X","X",0)),0))</f>
        <v>0</v>
      </c>
      <c r="K119" s="248">
        <f t="shared" ca="1" si="14"/>
        <v>0</v>
      </c>
      <c r="L119" s="197" t="s">
        <v>678</v>
      </c>
      <c r="M119" s="197" t="s">
        <v>448</v>
      </c>
      <c r="N119" s="197" t="s">
        <v>470</v>
      </c>
      <c r="O119" s="198">
        <v>41419</v>
      </c>
      <c r="P119" s="197" t="s">
        <v>531</v>
      </c>
      <c r="Q119" s="199">
        <v>100</v>
      </c>
      <c r="R119" s="197" t="s">
        <v>445</v>
      </c>
      <c r="S119" s="197" t="s">
        <v>532</v>
      </c>
      <c r="T119" s="197" t="s">
        <v>445</v>
      </c>
      <c r="U119" s="197" t="s">
        <v>446</v>
      </c>
      <c r="V119" s="199" t="b">
        <v>1</v>
      </c>
      <c r="W119" s="199">
        <v>1989</v>
      </c>
      <c r="X119" s="199">
        <v>5</v>
      </c>
      <c r="Y119" s="199">
        <v>2</v>
      </c>
      <c r="Z119" s="199">
        <v>4</v>
      </c>
      <c r="AA119" s="197" t="s">
        <v>447</v>
      </c>
      <c r="AB119" s="197" t="s">
        <v>531</v>
      </c>
      <c r="AC119" s="197" t="s">
        <v>533</v>
      </c>
      <c r="AD119" s="199">
        <v>1.5225610000000001</v>
      </c>
      <c r="AE119" s="199">
        <v>302</v>
      </c>
      <c r="AF119" s="199">
        <v>0.2989</v>
      </c>
      <c r="AG119" s="199">
        <v>-99</v>
      </c>
      <c r="AH119" s="197" t="s">
        <v>224</v>
      </c>
      <c r="AI119" s="197" t="s">
        <v>449</v>
      </c>
      <c r="AJ119" s="197" t="s">
        <v>262</v>
      </c>
      <c r="AK119" s="197" t="s">
        <v>531</v>
      </c>
      <c r="AL119" s="197" t="s">
        <v>373</v>
      </c>
      <c r="AM119" s="199" t="b">
        <v>1</v>
      </c>
      <c r="AN119" s="199" t="b">
        <v>1</v>
      </c>
      <c r="AO119" s="197" t="s">
        <v>263</v>
      </c>
      <c r="AP119" s="197" t="s">
        <v>264</v>
      </c>
      <c r="AQ119" s="199">
        <v>78.111840000000001</v>
      </c>
      <c r="AR119" s="199" t="b">
        <v>0</v>
      </c>
      <c r="AS119" s="197" t="s">
        <v>534</v>
      </c>
    </row>
    <row r="120" spans="1:45" s="219" customFormat="1" x14ac:dyDescent="0.25">
      <c r="A120" s="245">
        <f t="shared" si="15"/>
        <v>120</v>
      </c>
      <c r="B120" s="246" t="str">
        <f t="shared" si="8"/>
        <v>Oil Field - Separator</v>
      </c>
      <c r="C120" s="246" t="str">
        <f ca="1">IF(B120="","",VLOOKUP(D120,'Species Data'!B:E,4,FALSE))</f>
        <v>cyclohexane</v>
      </c>
      <c r="D120" s="246">
        <f t="shared" ca="1" si="9"/>
        <v>385</v>
      </c>
      <c r="E120" s="246">
        <f t="shared" ca="1" si="10"/>
        <v>1.6400000000000001E-2</v>
      </c>
      <c r="F120" s="246" t="str">
        <f t="shared" ca="1" si="11"/>
        <v>Cyclohexane</v>
      </c>
      <c r="G120" s="246">
        <f t="shared" ca="1" si="12"/>
        <v>84.159480000000002</v>
      </c>
      <c r="H120" s="204">
        <f ca="1">IF(G120="","",IF(VLOOKUP(Separator!F120,'Species Data'!D:F,3,FALSE)=0,"X",IF(G120&lt;44.1,2,1)))</f>
        <v>1</v>
      </c>
      <c r="I120" s="204">
        <f t="shared" ca="1" si="13"/>
        <v>2.3133364177818902E-2</v>
      </c>
      <c r="J120" s="247">
        <f ca="1">IF(I120="","",IF(COUNTIF($D$12:D120,D120)=1,IF(H120=1,I120*H120,IF(H120="X","X",0)),0))</f>
        <v>0</v>
      </c>
      <c r="K120" s="248">
        <f t="shared" ca="1" si="14"/>
        <v>0</v>
      </c>
      <c r="L120" s="197" t="s">
        <v>678</v>
      </c>
      <c r="M120" s="197" t="s">
        <v>448</v>
      </c>
      <c r="N120" s="197" t="s">
        <v>470</v>
      </c>
      <c r="O120" s="198">
        <v>41419</v>
      </c>
      <c r="P120" s="197" t="s">
        <v>531</v>
      </c>
      <c r="Q120" s="199">
        <v>100</v>
      </c>
      <c r="R120" s="197" t="s">
        <v>445</v>
      </c>
      <c r="S120" s="197" t="s">
        <v>532</v>
      </c>
      <c r="T120" s="197" t="s">
        <v>445</v>
      </c>
      <c r="U120" s="197" t="s">
        <v>446</v>
      </c>
      <c r="V120" s="199" t="b">
        <v>1</v>
      </c>
      <c r="W120" s="199">
        <v>1989</v>
      </c>
      <c r="X120" s="199">
        <v>5</v>
      </c>
      <c r="Y120" s="199">
        <v>2</v>
      </c>
      <c r="Z120" s="199">
        <v>4</v>
      </c>
      <c r="AA120" s="197" t="s">
        <v>447</v>
      </c>
      <c r="AB120" s="197" t="s">
        <v>531</v>
      </c>
      <c r="AC120" s="197" t="s">
        <v>533</v>
      </c>
      <c r="AD120" s="199">
        <v>1.5225610000000001</v>
      </c>
      <c r="AE120" s="199">
        <v>385</v>
      </c>
      <c r="AF120" s="199">
        <v>1.6400000000000001E-2</v>
      </c>
      <c r="AG120" s="199">
        <v>-99</v>
      </c>
      <c r="AH120" s="197" t="s">
        <v>224</v>
      </c>
      <c r="AI120" s="197" t="s">
        <v>449</v>
      </c>
      <c r="AJ120" s="197" t="s">
        <v>331</v>
      </c>
      <c r="AK120" s="197" t="s">
        <v>531</v>
      </c>
      <c r="AL120" s="197" t="s">
        <v>392</v>
      </c>
      <c r="AM120" s="199" t="b">
        <v>1</v>
      </c>
      <c r="AN120" s="199" t="b">
        <v>0</v>
      </c>
      <c r="AO120" s="197" t="s">
        <v>332</v>
      </c>
      <c r="AP120" s="197" t="s">
        <v>333</v>
      </c>
      <c r="AQ120" s="199">
        <v>84.159480000000002</v>
      </c>
      <c r="AR120" s="199" t="b">
        <v>0</v>
      </c>
      <c r="AS120" s="197" t="s">
        <v>534</v>
      </c>
    </row>
    <row r="121" spans="1:45" s="219" customFormat="1" x14ac:dyDescent="0.25">
      <c r="A121" s="245">
        <f t="shared" si="15"/>
        <v>121</v>
      </c>
      <c r="B121" s="246" t="str">
        <f t="shared" si="8"/>
        <v>Oil Field - Separator</v>
      </c>
      <c r="C121" s="246" t="str">
        <f ca="1">IF(B121="","",VLOOKUP(D121,'Species Data'!B:E,4,FALSE))</f>
        <v>cyclopentane</v>
      </c>
      <c r="D121" s="246">
        <f t="shared" ca="1" si="9"/>
        <v>390</v>
      </c>
      <c r="E121" s="246">
        <f t="shared" ca="1" si="10"/>
        <v>0.2727</v>
      </c>
      <c r="F121" s="246" t="str">
        <f t="shared" ca="1" si="11"/>
        <v>Cyclopentane</v>
      </c>
      <c r="G121" s="246">
        <f t="shared" ca="1" si="12"/>
        <v>70.132900000000006</v>
      </c>
      <c r="H121" s="204">
        <f ca="1">IF(G121="","",IF(VLOOKUP(Separator!F121,'Species Data'!D:F,3,FALSE)=0,"X",IF(G121&lt;44.1,2,1)))</f>
        <v>1</v>
      </c>
      <c r="I121" s="204">
        <f t="shared" ca="1" si="13"/>
        <v>0.38286717715623619</v>
      </c>
      <c r="J121" s="247">
        <f ca="1">IF(I121="","",IF(COUNTIF($D$12:D121,D121)=1,IF(H121=1,I121*H121,IF(H121="X","X",0)),0))</f>
        <v>0</v>
      </c>
      <c r="K121" s="248">
        <f t="shared" ca="1" si="14"/>
        <v>0</v>
      </c>
      <c r="L121" s="197" t="s">
        <v>678</v>
      </c>
      <c r="M121" s="197" t="s">
        <v>448</v>
      </c>
      <c r="N121" s="197" t="s">
        <v>470</v>
      </c>
      <c r="O121" s="198">
        <v>41419</v>
      </c>
      <c r="P121" s="197" t="s">
        <v>531</v>
      </c>
      <c r="Q121" s="199">
        <v>100</v>
      </c>
      <c r="R121" s="197" t="s">
        <v>445</v>
      </c>
      <c r="S121" s="197" t="s">
        <v>532</v>
      </c>
      <c r="T121" s="197" t="s">
        <v>445</v>
      </c>
      <c r="U121" s="197" t="s">
        <v>446</v>
      </c>
      <c r="V121" s="199" t="b">
        <v>1</v>
      </c>
      <c r="W121" s="199">
        <v>1989</v>
      </c>
      <c r="X121" s="199">
        <v>5</v>
      </c>
      <c r="Y121" s="199">
        <v>2</v>
      </c>
      <c r="Z121" s="199">
        <v>4</v>
      </c>
      <c r="AA121" s="197" t="s">
        <v>447</v>
      </c>
      <c r="AB121" s="197" t="s">
        <v>531</v>
      </c>
      <c r="AC121" s="197" t="s">
        <v>533</v>
      </c>
      <c r="AD121" s="199">
        <v>1.5225610000000001</v>
      </c>
      <c r="AE121" s="199">
        <v>390</v>
      </c>
      <c r="AF121" s="199">
        <v>0.2727</v>
      </c>
      <c r="AG121" s="199">
        <v>-99</v>
      </c>
      <c r="AH121" s="197" t="s">
        <v>224</v>
      </c>
      <c r="AI121" s="197" t="s">
        <v>449</v>
      </c>
      <c r="AJ121" s="197" t="s">
        <v>334</v>
      </c>
      <c r="AK121" s="197" t="s">
        <v>531</v>
      </c>
      <c r="AL121" s="197" t="s">
        <v>393</v>
      </c>
      <c r="AM121" s="199" t="b">
        <v>1</v>
      </c>
      <c r="AN121" s="199" t="b">
        <v>0</v>
      </c>
      <c r="AO121" s="197" t="s">
        <v>335</v>
      </c>
      <c r="AP121" s="197" t="s">
        <v>336</v>
      </c>
      <c r="AQ121" s="199">
        <v>70.132900000000006</v>
      </c>
      <c r="AR121" s="199" t="b">
        <v>0</v>
      </c>
      <c r="AS121" s="197" t="s">
        <v>534</v>
      </c>
    </row>
    <row r="122" spans="1:45" s="219" customFormat="1" x14ac:dyDescent="0.25">
      <c r="A122" s="245">
        <f t="shared" si="15"/>
        <v>122</v>
      </c>
      <c r="B122" s="246" t="str">
        <f t="shared" si="8"/>
        <v>Oil Field - Separator</v>
      </c>
      <c r="C122" s="246" t="str">
        <f ca="1">IF(B122="","",VLOOKUP(D122,'Species Data'!B:E,4,FALSE))</f>
        <v>ethane</v>
      </c>
      <c r="D122" s="246">
        <f t="shared" ca="1" si="9"/>
        <v>438</v>
      </c>
      <c r="E122" s="246">
        <f t="shared" ca="1" si="10"/>
        <v>7.5401999999999996</v>
      </c>
      <c r="F122" s="246" t="str">
        <f t="shared" ca="1" si="11"/>
        <v>Ethane</v>
      </c>
      <c r="G122" s="246">
        <f t="shared" ca="1" si="12"/>
        <v>30.069040000000005</v>
      </c>
      <c r="H122" s="204">
        <f ca="1">IF(G122="","",IF(VLOOKUP(Separator!F122,'Species Data'!D:F,3,FALSE)=0,"X",IF(G122&lt;44.1,2,1)))</f>
        <v>2</v>
      </c>
      <c r="I122" s="204">
        <f t="shared" ca="1" si="13"/>
        <v>11.912315883087842</v>
      </c>
      <c r="J122" s="247">
        <f ca="1">IF(I122="","",IF(COUNTIF($D$12:D122,D122)=1,IF(H122=1,I122*H122,IF(H122="X","X",0)),0))</f>
        <v>0</v>
      </c>
      <c r="K122" s="248">
        <f t="shared" ca="1" si="14"/>
        <v>0</v>
      </c>
      <c r="L122" s="197" t="s">
        <v>678</v>
      </c>
      <c r="M122" s="197" t="s">
        <v>448</v>
      </c>
      <c r="N122" s="197" t="s">
        <v>470</v>
      </c>
      <c r="O122" s="198">
        <v>41419</v>
      </c>
      <c r="P122" s="197" t="s">
        <v>531</v>
      </c>
      <c r="Q122" s="199">
        <v>100</v>
      </c>
      <c r="R122" s="197" t="s">
        <v>445</v>
      </c>
      <c r="S122" s="197" t="s">
        <v>532</v>
      </c>
      <c r="T122" s="197" t="s">
        <v>445</v>
      </c>
      <c r="U122" s="197" t="s">
        <v>446</v>
      </c>
      <c r="V122" s="199" t="b">
        <v>1</v>
      </c>
      <c r="W122" s="199">
        <v>1989</v>
      </c>
      <c r="X122" s="199">
        <v>5</v>
      </c>
      <c r="Y122" s="199">
        <v>2</v>
      </c>
      <c r="Z122" s="199">
        <v>4</v>
      </c>
      <c r="AA122" s="197" t="s">
        <v>447</v>
      </c>
      <c r="AB122" s="197" t="s">
        <v>531</v>
      </c>
      <c r="AC122" s="197" t="s">
        <v>533</v>
      </c>
      <c r="AD122" s="199">
        <v>1.5225610000000001</v>
      </c>
      <c r="AE122" s="199">
        <v>438</v>
      </c>
      <c r="AF122" s="199">
        <v>7.5401999999999996</v>
      </c>
      <c r="AG122" s="199">
        <v>-99</v>
      </c>
      <c r="AH122" s="197" t="s">
        <v>224</v>
      </c>
      <c r="AI122" s="197" t="s">
        <v>449</v>
      </c>
      <c r="AJ122" s="197" t="s">
        <v>265</v>
      </c>
      <c r="AK122" s="197" t="s">
        <v>531</v>
      </c>
      <c r="AL122" s="197" t="s">
        <v>374</v>
      </c>
      <c r="AM122" s="199" t="b">
        <v>1</v>
      </c>
      <c r="AN122" s="199" t="b">
        <v>0</v>
      </c>
      <c r="AO122" s="197" t="s">
        <v>266</v>
      </c>
      <c r="AP122" s="197" t="s">
        <v>267</v>
      </c>
      <c r="AQ122" s="199">
        <v>30.069040000000005</v>
      </c>
      <c r="AR122" s="199" t="b">
        <v>1</v>
      </c>
      <c r="AS122" s="197" t="s">
        <v>534</v>
      </c>
    </row>
    <row r="123" spans="1:45" s="219" customFormat="1" x14ac:dyDescent="0.25">
      <c r="A123" s="245">
        <f t="shared" si="15"/>
        <v>123</v>
      </c>
      <c r="B123" s="246" t="str">
        <f t="shared" si="8"/>
        <v>Oil Field - Separator</v>
      </c>
      <c r="C123" s="246" t="str">
        <f ca="1">IF(B123="","",VLOOKUP(D123,'Species Data'!B:E,4,FALSE))</f>
        <v>ethyl_benz</v>
      </c>
      <c r="D123" s="246">
        <f t="shared" ca="1" si="9"/>
        <v>449</v>
      </c>
      <c r="E123" s="246">
        <f t="shared" ca="1" si="10"/>
        <v>3.8600000000000002E-2</v>
      </c>
      <c r="F123" s="246" t="str">
        <f t="shared" ca="1" si="11"/>
        <v>Ethylbenzene</v>
      </c>
      <c r="G123" s="246">
        <f t="shared" ca="1" si="12"/>
        <v>106.16500000000001</v>
      </c>
      <c r="H123" s="204">
        <f ca="1">IF(G123="","",IF(VLOOKUP(Separator!F123,'Species Data'!D:F,3,FALSE)=0,"X",IF(G123&lt;44.1,2,1)))</f>
        <v>1</v>
      </c>
      <c r="I123" s="204">
        <f t="shared" ca="1" si="13"/>
        <v>6.1000081333441772E-2</v>
      </c>
      <c r="J123" s="247">
        <f ca="1">IF(I123="","",IF(COUNTIF($D$12:D123,D123)=1,IF(H123=1,I123*H123,IF(H123="X","X",0)),0))</f>
        <v>0</v>
      </c>
      <c r="K123" s="248">
        <f t="shared" ca="1" si="14"/>
        <v>0</v>
      </c>
      <c r="L123" s="197" t="s">
        <v>678</v>
      </c>
      <c r="M123" s="197" t="s">
        <v>448</v>
      </c>
      <c r="N123" s="197" t="s">
        <v>470</v>
      </c>
      <c r="O123" s="198">
        <v>41419</v>
      </c>
      <c r="P123" s="197" t="s">
        <v>531</v>
      </c>
      <c r="Q123" s="199">
        <v>100</v>
      </c>
      <c r="R123" s="197" t="s">
        <v>445</v>
      </c>
      <c r="S123" s="197" t="s">
        <v>532</v>
      </c>
      <c r="T123" s="197" t="s">
        <v>445</v>
      </c>
      <c r="U123" s="197" t="s">
        <v>446</v>
      </c>
      <c r="V123" s="199" t="b">
        <v>1</v>
      </c>
      <c r="W123" s="199">
        <v>1989</v>
      </c>
      <c r="X123" s="199">
        <v>5</v>
      </c>
      <c r="Y123" s="199">
        <v>2</v>
      </c>
      <c r="Z123" s="199">
        <v>4</v>
      </c>
      <c r="AA123" s="197" t="s">
        <v>447</v>
      </c>
      <c r="AB123" s="197" t="s">
        <v>531</v>
      </c>
      <c r="AC123" s="197" t="s">
        <v>533</v>
      </c>
      <c r="AD123" s="199">
        <v>1.5225610000000001</v>
      </c>
      <c r="AE123" s="199">
        <v>449</v>
      </c>
      <c r="AF123" s="199">
        <v>3.8600000000000002E-2</v>
      </c>
      <c r="AG123" s="199">
        <v>-99</v>
      </c>
      <c r="AH123" s="197" t="s">
        <v>224</v>
      </c>
      <c r="AI123" s="197" t="s">
        <v>449</v>
      </c>
      <c r="AJ123" s="197" t="s">
        <v>337</v>
      </c>
      <c r="AK123" s="197" t="s">
        <v>531</v>
      </c>
      <c r="AL123" s="197" t="s">
        <v>394</v>
      </c>
      <c r="AM123" s="199" t="b">
        <v>1</v>
      </c>
      <c r="AN123" s="199" t="b">
        <v>1</v>
      </c>
      <c r="AO123" s="197" t="s">
        <v>338</v>
      </c>
      <c r="AP123" s="197" t="s">
        <v>339</v>
      </c>
      <c r="AQ123" s="199">
        <v>106.16500000000001</v>
      </c>
      <c r="AR123" s="199" t="b">
        <v>0</v>
      </c>
      <c r="AS123" s="197" t="s">
        <v>534</v>
      </c>
    </row>
    <row r="124" spans="1:45" s="219" customFormat="1" x14ac:dyDescent="0.25">
      <c r="A124" s="245">
        <f t="shared" si="15"/>
        <v>124</v>
      </c>
      <c r="B124" s="246" t="str">
        <f t="shared" si="8"/>
        <v>Oil Field - Separator</v>
      </c>
      <c r="C124" s="246" t="str">
        <f ca="1">IF(B124="","",VLOOKUP(D124,'Species Data'!B:E,4,FALSE))</f>
        <v>isobut</v>
      </c>
      <c r="D124" s="246">
        <f t="shared" ca="1" si="9"/>
        <v>491</v>
      </c>
      <c r="E124" s="246">
        <f t="shared" ca="1" si="10"/>
        <v>5.0339999999999998</v>
      </c>
      <c r="F124" s="246" t="str">
        <f t="shared" ca="1" si="11"/>
        <v>Isobutane</v>
      </c>
      <c r="G124" s="246">
        <f t="shared" ca="1" si="12"/>
        <v>58.122199999999992</v>
      </c>
      <c r="H124" s="204">
        <f ca="1">IF(G124="","",IF(VLOOKUP(Separator!F124,'Species Data'!D:F,3,FALSE)=0,"X",IF(G124&lt;44.1,2,1)))</f>
        <v>1</v>
      </c>
      <c r="I124" s="204">
        <f t="shared" ca="1" si="13"/>
        <v>4.1096388128517507</v>
      </c>
      <c r="J124" s="247">
        <f ca="1">IF(I124="","",IF(COUNTIF($D$12:D124,D124)=1,IF(H124=1,I124*H124,IF(H124="X","X",0)),0))</f>
        <v>0</v>
      </c>
      <c r="K124" s="248">
        <f t="shared" ca="1" si="14"/>
        <v>0</v>
      </c>
      <c r="L124" s="197" t="s">
        <v>678</v>
      </c>
      <c r="M124" s="197" t="s">
        <v>448</v>
      </c>
      <c r="N124" s="197" t="s">
        <v>470</v>
      </c>
      <c r="O124" s="198">
        <v>41419</v>
      </c>
      <c r="P124" s="197" t="s">
        <v>531</v>
      </c>
      <c r="Q124" s="199">
        <v>100</v>
      </c>
      <c r="R124" s="197" t="s">
        <v>445</v>
      </c>
      <c r="S124" s="197" t="s">
        <v>532</v>
      </c>
      <c r="T124" s="197" t="s">
        <v>445</v>
      </c>
      <c r="U124" s="197" t="s">
        <v>446</v>
      </c>
      <c r="V124" s="199" t="b">
        <v>1</v>
      </c>
      <c r="W124" s="199">
        <v>1989</v>
      </c>
      <c r="X124" s="199">
        <v>5</v>
      </c>
      <c r="Y124" s="199">
        <v>2</v>
      </c>
      <c r="Z124" s="199">
        <v>4</v>
      </c>
      <c r="AA124" s="197" t="s">
        <v>447</v>
      </c>
      <c r="AB124" s="197" t="s">
        <v>531</v>
      </c>
      <c r="AC124" s="197" t="s">
        <v>533</v>
      </c>
      <c r="AD124" s="199">
        <v>1.5225610000000001</v>
      </c>
      <c r="AE124" s="199">
        <v>491</v>
      </c>
      <c r="AF124" s="199">
        <v>5.0339999999999998</v>
      </c>
      <c r="AG124" s="199">
        <v>-99</v>
      </c>
      <c r="AH124" s="197" t="s">
        <v>224</v>
      </c>
      <c r="AI124" s="197" t="s">
        <v>449</v>
      </c>
      <c r="AJ124" s="197" t="s">
        <v>268</v>
      </c>
      <c r="AK124" s="197" t="s">
        <v>531</v>
      </c>
      <c r="AL124" s="197" t="s">
        <v>375</v>
      </c>
      <c r="AM124" s="199" t="b">
        <v>1</v>
      </c>
      <c r="AN124" s="199" t="b">
        <v>0</v>
      </c>
      <c r="AO124" s="197" t="s">
        <v>269</v>
      </c>
      <c r="AP124" s="197" t="s">
        <v>270</v>
      </c>
      <c r="AQ124" s="199">
        <v>58.122199999999992</v>
      </c>
      <c r="AR124" s="199" t="b">
        <v>0</v>
      </c>
      <c r="AS124" s="197" t="s">
        <v>534</v>
      </c>
    </row>
    <row r="125" spans="1:45" s="219" customFormat="1" x14ac:dyDescent="0.25">
      <c r="A125" s="245">
        <f t="shared" si="15"/>
        <v>125</v>
      </c>
      <c r="B125" s="246" t="str">
        <f t="shared" si="8"/>
        <v>Oil Field - Separator</v>
      </c>
      <c r="C125" s="246" t="str">
        <f ca="1">IF(B125="","",VLOOKUP(D125,'Species Data'!B:E,4,FALSE))</f>
        <v>isopentane</v>
      </c>
      <c r="D125" s="246">
        <f t="shared" ca="1" si="9"/>
        <v>508</v>
      </c>
      <c r="E125" s="246">
        <f t="shared" ca="1" si="10"/>
        <v>4.4783999999999997</v>
      </c>
      <c r="F125" s="246" t="str">
        <f t="shared" ca="1" si="11"/>
        <v>Isopentane (2-Methylbutane)</v>
      </c>
      <c r="G125" s="246">
        <f t="shared" ca="1" si="12"/>
        <v>72.148780000000002</v>
      </c>
      <c r="H125" s="204">
        <f ca="1">IF(G125="","",IF(VLOOKUP(Separator!F125,'Species Data'!D:F,3,FALSE)=0,"X",IF(G125&lt;44.1,2,1)))</f>
        <v>1</v>
      </c>
      <c r="I125" s="204">
        <f t="shared" ca="1" si="13"/>
        <v>3.8368384491179319</v>
      </c>
      <c r="J125" s="247">
        <f ca="1">IF(I125="","",IF(COUNTIF($D$12:D125,D125)=1,IF(H125=1,I125*H125,IF(H125="X","X",0)),0))</f>
        <v>0</v>
      </c>
      <c r="K125" s="248">
        <f t="shared" ca="1" si="14"/>
        <v>0</v>
      </c>
      <c r="L125" s="197" t="s">
        <v>678</v>
      </c>
      <c r="M125" s="197" t="s">
        <v>448</v>
      </c>
      <c r="N125" s="197" t="s">
        <v>470</v>
      </c>
      <c r="O125" s="198">
        <v>41419</v>
      </c>
      <c r="P125" s="197" t="s">
        <v>531</v>
      </c>
      <c r="Q125" s="199">
        <v>100</v>
      </c>
      <c r="R125" s="197" t="s">
        <v>445</v>
      </c>
      <c r="S125" s="197" t="s">
        <v>532</v>
      </c>
      <c r="T125" s="197" t="s">
        <v>445</v>
      </c>
      <c r="U125" s="197" t="s">
        <v>446</v>
      </c>
      <c r="V125" s="199" t="b">
        <v>1</v>
      </c>
      <c r="W125" s="199">
        <v>1989</v>
      </c>
      <c r="X125" s="199">
        <v>5</v>
      </c>
      <c r="Y125" s="199">
        <v>2</v>
      </c>
      <c r="Z125" s="199">
        <v>4</v>
      </c>
      <c r="AA125" s="197" t="s">
        <v>447</v>
      </c>
      <c r="AB125" s="197" t="s">
        <v>531</v>
      </c>
      <c r="AC125" s="197" t="s">
        <v>533</v>
      </c>
      <c r="AD125" s="199">
        <v>1.5225610000000001</v>
      </c>
      <c r="AE125" s="199">
        <v>508</v>
      </c>
      <c r="AF125" s="199">
        <v>4.4783999999999997</v>
      </c>
      <c r="AG125" s="199">
        <v>-99</v>
      </c>
      <c r="AH125" s="197" t="s">
        <v>224</v>
      </c>
      <c r="AI125" s="197" t="s">
        <v>449</v>
      </c>
      <c r="AJ125" s="197" t="s">
        <v>342</v>
      </c>
      <c r="AK125" s="197" t="s">
        <v>531</v>
      </c>
      <c r="AL125" s="197" t="s">
        <v>395</v>
      </c>
      <c r="AM125" s="199" t="b">
        <v>1</v>
      </c>
      <c r="AN125" s="199" t="b">
        <v>0</v>
      </c>
      <c r="AO125" s="197" t="s">
        <v>343</v>
      </c>
      <c r="AP125" s="197" t="s">
        <v>344</v>
      </c>
      <c r="AQ125" s="199">
        <v>72.148780000000002</v>
      </c>
      <c r="AR125" s="199" t="b">
        <v>0</v>
      </c>
      <c r="AS125" s="197" t="s">
        <v>534</v>
      </c>
    </row>
    <row r="126" spans="1:45" s="219" customFormat="1" x14ac:dyDescent="0.25">
      <c r="A126" s="245">
        <f t="shared" si="15"/>
        <v>126</v>
      </c>
      <c r="B126" s="246" t="str">
        <f t="shared" si="8"/>
        <v>Oil Field - Separator</v>
      </c>
      <c r="C126" s="246" t="str">
        <f ca="1">IF(B126="","",VLOOKUP(D126,'Species Data'!B:E,4,FALSE))</f>
        <v>M_xylene</v>
      </c>
      <c r="D126" s="246">
        <f t="shared" ca="1" si="9"/>
        <v>524</v>
      </c>
      <c r="E126" s="246">
        <f t="shared" ca="1" si="10"/>
        <v>4.6199999999999998E-2</v>
      </c>
      <c r="F126" s="246" t="str">
        <f t="shared" ca="1" si="11"/>
        <v>M-xylene</v>
      </c>
      <c r="G126" s="246">
        <f t="shared" ca="1" si="12"/>
        <v>106.16500000000001</v>
      </c>
      <c r="H126" s="204">
        <f ca="1">IF(G126="","",IF(VLOOKUP(Separator!F126,'Species Data'!D:F,3,FALSE)=0,"X",IF(G126&lt;44.1,2,1)))</f>
        <v>1</v>
      </c>
      <c r="I126" s="204">
        <f t="shared" ca="1" si="13"/>
        <v>3.2466709955613272E-2</v>
      </c>
      <c r="J126" s="247">
        <f ca="1">IF(I126="","",IF(COUNTIF($D$12:D126,D126)=1,IF(H126=1,I126*H126,IF(H126="X","X",0)),0))</f>
        <v>0</v>
      </c>
      <c r="K126" s="248">
        <f t="shared" ca="1" si="14"/>
        <v>0</v>
      </c>
      <c r="L126" s="197" t="s">
        <v>678</v>
      </c>
      <c r="M126" s="197" t="s">
        <v>448</v>
      </c>
      <c r="N126" s="197" t="s">
        <v>470</v>
      </c>
      <c r="O126" s="198">
        <v>41419</v>
      </c>
      <c r="P126" s="197" t="s">
        <v>531</v>
      </c>
      <c r="Q126" s="199">
        <v>100</v>
      </c>
      <c r="R126" s="197" t="s">
        <v>445</v>
      </c>
      <c r="S126" s="197" t="s">
        <v>532</v>
      </c>
      <c r="T126" s="197" t="s">
        <v>445</v>
      </c>
      <c r="U126" s="197" t="s">
        <v>446</v>
      </c>
      <c r="V126" s="199" t="b">
        <v>1</v>
      </c>
      <c r="W126" s="199">
        <v>1989</v>
      </c>
      <c r="X126" s="199">
        <v>5</v>
      </c>
      <c r="Y126" s="199">
        <v>2</v>
      </c>
      <c r="Z126" s="199">
        <v>4</v>
      </c>
      <c r="AA126" s="197" t="s">
        <v>447</v>
      </c>
      <c r="AB126" s="197" t="s">
        <v>531</v>
      </c>
      <c r="AC126" s="197" t="s">
        <v>533</v>
      </c>
      <c r="AD126" s="199">
        <v>1.5225610000000001</v>
      </c>
      <c r="AE126" s="199">
        <v>524</v>
      </c>
      <c r="AF126" s="199">
        <v>4.6199999999999998E-2</v>
      </c>
      <c r="AG126" s="199">
        <v>-99</v>
      </c>
      <c r="AH126" s="197" t="s">
        <v>224</v>
      </c>
      <c r="AI126" s="197" t="s">
        <v>449</v>
      </c>
      <c r="AJ126" s="197" t="s">
        <v>436</v>
      </c>
      <c r="AK126" s="197" t="s">
        <v>531</v>
      </c>
      <c r="AL126" s="197" t="s">
        <v>460</v>
      </c>
      <c r="AM126" s="199" t="b">
        <v>0</v>
      </c>
      <c r="AN126" s="199" t="b">
        <v>1</v>
      </c>
      <c r="AO126" s="197" t="s">
        <v>437</v>
      </c>
      <c r="AP126" s="197" t="s">
        <v>438</v>
      </c>
      <c r="AQ126" s="199">
        <v>106.16500000000001</v>
      </c>
      <c r="AR126" s="199" t="b">
        <v>0</v>
      </c>
      <c r="AS126" s="197" t="s">
        <v>534</v>
      </c>
    </row>
    <row r="127" spans="1:45" s="219" customFormat="1" x14ac:dyDescent="0.25">
      <c r="A127" s="245">
        <f t="shared" si="15"/>
        <v>127</v>
      </c>
      <c r="B127" s="246" t="str">
        <f t="shared" si="8"/>
        <v>Oil Field - Separator</v>
      </c>
      <c r="C127" s="246" t="str">
        <f ca="1">IF(B127="","",VLOOKUP(D127,'Species Data'!B:E,4,FALSE))</f>
        <v>methane</v>
      </c>
      <c r="D127" s="246">
        <f t="shared" ca="1" si="9"/>
        <v>529</v>
      </c>
      <c r="E127" s="246">
        <f t="shared" ca="1" si="10"/>
        <v>26.780999999999999</v>
      </c>
      <c r="F127" s="246" t="str">
        <f t="shared" ca="1" si="11"/>
        <v>Methane</v>
      </c>
      <c r="G127" s="246">
        <f t="shared" ca="1" si="12"/>
        <v>16.042459999999998</v>
      </c>
      <c r="H127" s="204">
        <f ca="1">IF(G127="","",IF(VLOOKUP(Separator!F127,'Species Data'!D:F,3,FALSE)=0,"X",IF(G127&lt;44.1,2,1)))</f>
        <v>2</v>
      </c>
      <c r="I127" s="204">
        <f t="shared" ca="1" si="13"/>
        <v>30.72677430236573</v>
      </c>
      <c r="J127" s="247">
        <f ca="1">IF(I127="","",IF(COUNTIF($D$12:D127,D127)=1,IF(H127=1,I127*H127,IF(H127="X","X",0)),0))</f>
        <v>0</v>
      </c>
      <c r="K127" s="248">
        <f t="shared" ca="1" si="14"/>
        <v>0</v>
      </c>
      <c r="L127" s="197" t="s">
        <v>678</v>
      </c>
      <c r="M127" s="197" t="s">
        <v>448</v>
      </c>
      <c r="N127" s="197" t="s">
        <v>470</v>
      </c>
      <c r="O127" s="198">
        <v>41419</v>
      </c>
      <c r="P127" s="197" t="s">
        <v>531</v>
      </c>
      <c r="Q127" s="199">
        <v>100</v>
      </c>
      <c r="R127" s="197" t="s">
        <v>445</v>
      </c>
      <c r="S127" s="197" t="s">
        <v>532</v>
      </c>
      <c r="T127" s="197" t="s">
        <v>445</v>
      </c>
      <c r="U127" s="197" t="s">
        <v>446</v>
      </c>
      <c r="V127" s="199" t="b">
        <v>1</v>
      </c>
      <c r="W127" s="199">
        <v>1989</v>
      </c>
      <c r="X127" s="199">
        <v>5</v>
      </c>
      <c r="Y127" s="199">
        <v>2</v>
      </c>
      <c r="Z127" s="199">
        <v>4</v>
      </c>
      <c r="AA127" s="197" t="s">
        <v>447</v>
      </c>
      <c r="AB127" s="197" t="s">
        <v>531</v>
      </c>
      <c r="AC127" s="197" t="s">
        <v>533</v>
      </c>
      <c r="AD127" s="199">
        <v>1.5225610000000001</v>
      </c>
      <c r="AE127" s="199">
        <v>529</v>
      </c>
      <c r="AF127" s="199">
        <v>26.780999999999999</v>
      </c>
      <c r="AG127" s="199">
        <v>-99</v>
      </c>
      <c r="AH127" s="197" t="s">
        <v>224</v>
      </c>
      <c r="AI127" s="197" t="s">
        <v>449</v>
      </c>
      <c r="AJ127" s="197" t="s">
        <v>271</v>
      </c>
      <c r="AK127" s="197" t="s">
        <v>531</v>
      </c>
      <c r="AL127" s="197" t="s">
        <v>376</v>
      </c>
      <c r="AM127" s="199" t="b">
        <v>0</v>
      </c>
      <c r="AN127" s="199" t="b">
        <v>0</v>
      </c>
      <c r="AO127" s="197" t="s">
        <v>272</v>
      </c>
      <c r="AP127" s="197" t="s">
        <v>531</v>
      </c>
      <c r="AQ127" s="199">
        <v>16.042459999999998</v>
      </c>
      <c r="AR127" s="199" t="b">
        <v>1</v>
      </c>
      <c r="AS127" s="197" t="s">
        <v>534</v>
      </c>
    </row>
    <row r="128" spans="1:45" s="219" customFormat="1" x14ac:dyDescent="0.25">
      <c r="A128" s="245">
        <f t="shared" si="15"/>
        <v>128</v>
      </c>
      <c r="B128" s="246" t="str">
        <f t="shared" si="8"/>
        <v>Oil Field - Separator</v>
      </c>
      <c r="C128" s="246" t="str">
        <f ca="1">IF(B128="","",VLOOKUP(D128,'Species Data'!B:E,4,FALSE))</f>
        <v>methcychex</v>
      </c>
      <c r="D128" s="246">
        <f t="shared" ca="1" si="9"/>
        <v>550</v>
      </c>
      <c r="E128" s="246">
        <f t="shared" ca="1" si="10"/>
        <v>1.1241000000000001</v>
      </c>
      <c r="F128" s="246" t="str">
        <f t="shared" ca="1" si="11"/>
        <v>Methylcyclohexane</v>
      </c>
      <c r="G128" s="246">
        <f t="shared" ca="1" si="12"/>
        <v>98.186059999999998</v>
      </c>
      <c r="H128" s="204">
        <f ca="1">IF(G128="","",IF(VLOOKUP(Separator!F128,'Species Data'!D:F,3,FALSE)=0,"X",IF(G128&lt;44.1,2,1)))</f>
        <v>1</v>
      </c>
      <c r="I128" s="204">
        <f t="shared" ca="1" si="13"/>
        <v>0.97356796475728624</v>
      </c>
      <c r="J128" s="247">
        <f ca="1">IF(I128="","",IF(COUNTIF($D$12:D128,D128)=1,IF(H128=1,I128*H128,IF(H128="X","X",0)),0))</f>
        <v>0</v>
      </c>
      <c r="K128" s="248">
        <f t="shared" ca="1" si="14"/>
        <v>0</v>
      </c>
      <c r="L128" s="197" t="s">
        <v>678</v>
      </c>
      <c r="M128" s="197" t="s">
        <v>448</v>
      </c>
      <c r="N128" s="197" t="s">
        <v>470</v>
      </c>
      <c r="O128" s="198">
        <v>41419</v>
      </c>
      <c r="P128" s="197" t="s">
        <v>531</v>
      </c>
      <c r="Q128" s="199">
        <v>100</v>
      </c>
      <c r="R128" s="197" t="s">
        <v>445</v>
      </c>
      <c r="S128" s="197" t="s">
        <v>532</v>
      </c>
      <c r="T128" s="197" t="s">
        <v>445</v>
      </c>
      <c r="U128" s="197" t="s">
        <v>446</v>
      </c>
      <c r="V128" s="199" t="b">
        <v>1</v>
      </c>
      <c r="W128" s="199">
        <v>1989</v>
      </c>
      <c r="X128" s="199">
        <v>5</v>
      </c>
      <c r="Y128" s="199">
        <v>2</v>
      </c>
      <c r="Z128" s="199">
        <v>4</v>
      </c>
      <c r="AA128" s="197" t="s">
        <v>447</v>
      </c>
      <c r="AB128" s="197" t="s">
        <v>531</v>
      </c>
      <c r="AC128" s="197" t="s">
        <v>533</v>
      </c>
      <c r="AD128" s="199">
        <v>1.5225610000000001</v>
      </c>
      <c r="AE128" s="199">
        <v>550</v>
      </c>
      <c r="AF128" s="199">
        <v>1.1241000000000001</v>
      </c>
      <c r="AG128" s="199">
        <v>-99</v>
      </c>
      <c r="AH128" s="197" t="s">
        <v>224</v>
      </c>
      <c r="AI128" s="197" t="s">
        <v>449</v>
      </c>
      <c r="AJ128" s="197" t="s">
        <v>348</v>
      </c>
      <c r="AK128" s="197" t="s">
        <v>531</v>
      </c>
      <c r="AL128" s="197" t="s">
        <v>396</v>
      </c>
      <c r="AM128" s="199" t="b">
        <v>1</v>
      </c>
      <c r="AN128" s="199" t="b">
        <v>0</v>
      </c>
      <c r="AO128" s="197" t="s">
        <v>349</v>
      </c>
      <c r="AP128" s="197" t="s">
        <v>350</v>
      </c>
      <c r="AQ128" s="199">
        <v>98.186059999999998</v>
      </c>
      <c r="AR128" s="199" t="b">
        <v>0</v>
      </c>
      <c r="AS128" s="197" t="s">
        <v>534</v>
      </c>
    </row>
    <row r="129" spans="1:45" s="219" customFormat="1" x14ac:dyDescent="0.25">
      <c r="A129" s="245">
        <f t="shared" si="15"/>
        <v>129</v>
      </c>
      <c r="B129" s="246" t="str">
        <f t="shared" si="8"/>
        <v>Oil Field - Separator</v>
      </c>
      <c r="C129" s="246" t="str">
        <f ca="1">IF(B129="","",VLOOKUP(D129,'Species Data'!B:E,4,FALSE))</f>
        <v>methcycpen</v>
      </c>
      <c r="D129" s="246">
        <f t="shared" ca="1" si="9"/>
        <v>551</v>
      </c>
      <c r="E129" s="246">
        <f t="shared" ca="1" si="10"/>
        <v>2.4687000000000001</v>
      </c>
      <c r="F129" s="246" t="str">
        <f t="shared" ca="1" si="11"/>
        <v>Methylcyclopentane</v>
      </c>
      <c r="G129" s="246">
        <f t="shared" ca="1" si="12"/>
        <v>84.159480000000002</v>
      </c>
      <c r="H129" s="204">
        <f ca="1">IF(G129="","",IF(VLOOKUP(Separator!F129,'Species Data'!D:F,3,FALSE)=0,"X",IF(G129&lt;44.1,2,1)))</f>
        <v>1</v>
      </c>
      <c r="I129" s="204">
        <f t="shared" ca="1" si="13"/>
        <v>1.9099358799145063</v>
      </c>
      <c r="J129" s="247">
        <f ca="1">IF(I129="","",IF(COUNTIF($D$12:D129,D129)=1,IF(H129=1,I129*H129,IF(H129="X","X",0)),0))</f>
        <v>0</v>
      </c>
      <c r="K129" s="248">
        <f t="shared" ca="1" si="14"/>
        <v>0</v>
      </c>
      <c r="L129" s="197" t="s">
        <v>678</v>
      </c>
      <c r="M129" s="197" t="s">
        <v>448</v>
      </c>
      <c r="N129" s="197" t="s">
        <v>470</v>
      </c>
      <c r="O129" s="198">
        <v>41419</v>
      </c>
      <c r="P129" s="197" t="s">
        <v>531</v>
      </c>
      <c r="Q129" s="199">
        <v>100</v>
      </c>
      <c r="R129" s="197" t="s">
        <v>445</v>
      </c>
      <c r="S129" s="197" t="s">
        <v>532</v>
      </c>
      <c r="T129" s="197" t="s">
        <v>445</v>
      </c>
      <c r="U129" s="197" t="s">
        <v>446</v>
      </c>
      <c r="V129" s="199" t="b">
        <v>1</v>
      </c>
      <c r="W129" s="199">
        <v>1989</v>
      </c>
      <c r="X129" s="199">
        <v>5</v>
      </c>
      <c r="Y129" s="199">
        <v>2</v>
      </c>
      <c r="Z129" s="199">
        <v>4</v>
      </c>
      <c r="AA129" s="197" t="s">
        <v>447</v>
      </c>
      <c r="AB129" s="197" t="s">
        <v>531</v>
      </c>
      <c r="AC129" s="197" t="s">
        <v>533</v>
      </c>
      <c r="AD129" s="199">
        <v>1.5225610000000001</v>
      </c>
      <c r="AE129" s="199">
        <v>551</v>
      </c>
      <c r="AF129" s="199">
        <v>2.4687000000000001</v>
      </c>
      <c r="AG129" s="199">
        <v>-99</v>
      </c>
      <c r="AH129" s="197" t="s">
        <v>224</v>
      </c>
      <c r="AI129" s="197" t="s">
        <v>449</v>
      </c>
      <c r="AJ129" s="197" t="s">
        <v>351</v>
      </c>
      <c r="AK129" s="197" t="s">
        <v>531</v>
      </c>
      <c r="AL129" s="197" t="s">
        <v>397</v>
      </c>
      <c r="AM129" s="199" t="b">
        <v>1</v>
      </c>
      <c r="AN129" s="199" t="b">
        <v>0</v>
      </c>
      <c r="AO129" s="197" t="s">
        <v>352</v>
      </c>
      <c r="AP129" s="197" t="s">
        <v>353</v>
      </c>
      <c r="AQ129" s="199">
        <v>84.159480000000002</v>
      </c>
      <c r="AR129" s="199" t="b">
        <v>0</v>
      </c>
      <c r="AS129" s="197" t="s">
        <v>534</v>
      </c>
    </row>
    <row r="130" spans="1:45" s="219" customFormat="1" ht="15" customHeight="1" x14ac:dyDescent="0.25">
      <c r="A130" s="245">
        <f t="shared" si="15"/>
        <v>130</v>
      </c>
      <c r="B130" s="246" t="str">
        <f t="shared" si="8"/>
        <v>Oil Field - Separator</v>
      </c>
      <c r="C130" s="246" t="str">
        <f ca="1">IF(B130="","",VLOOKUP(D130,'Species Data'!B:E,4,FALSE))</f>
        <v>N_but</v>
      </c>
      <c r="D130" s="246">
        <f t="shared" ca="1" si="9"/>
        <v>592</v>
      </c>
      <c r="E130" s="246">
        <f t="shared" ca="1" si="10"/>
        <v>13.204599999999999</v>
      </c>
      <c r="F130" s="246" t="str">
        <f t="shared" ca="1" si="11"/>
        <v>N-butane</v>
      </c>
      <c r="G130" s="246">
        <f t="shared" ca="1" si="12"/>
        <v>58.122199999999992</v>
      </c>
      <c r="H130" s="204">
        <f ca="1">IF(G130="","",IF(VLOOKUP(Separator!F130,'Species Data'!D:F,3,FALSE)=0,"X",IF(G130&lt;44.1,2,1)))</f>
        <v>1</v>
      </c>
      <c r="I130" s="204">
        <f t="shared" ca="1" si="13"/>
        <v>11.815882421176561</v>
      </c>
      <c r="J130" s="247">
        <f ca="1">IF(I130="","",IF(COUNTIF($D$12:D130,D130)=1,IF(H130=1,I130*H130,IF(H130="X","X",0)),0))</f>
        <v>0</v>
      </c>
      <c r="K130" s="248">
        <f t="shared" ca="1" si="14"/>
        <v>0</v>
      </c>
      <c r="L130" s="197" t="s">
        <v>678</v>
      </c>
      <c r="M130" s="197" t="s">
        <v>448</v>
      </c>
      <c r="N130" s="197" t="s">
        <v>470</v>
      </c>
      <c r="O130" s="198">
        <v>41419</v>
      </c>
      <c r="P130" s="197" t="s">
        <v>531</v>
      </c>
      <c r="Q130" s="199">
        <v>100</v>
      </c>
      <c r="R130" s="197" t="s">
        <v>445</v>
      </c>
      <c r="S130" s="197" t="s">
        <v>532</v>
      </c>
      <c r="T130" s="197" t="s">
        <v>445</v>
      </c>
      <c r="U130" s="197" t="s">
        <v>446</v>
      </c>
      <c r="V130" s="199" t="b">
        <v>1</v>
      </c>
      <c r="W130" s="199">
        <v>1989</v>
      </c>
      <c r="X130" s="199">
        <v>5</v>
      </c>
      <c r="Y130" s="199">
        <v>2</v>
      </c>
      <c r="Z130" s="199">
        <v>4</v>
      </c>
      <c r="AA130" s="197" t="s">
        <v>447</v>
      </c>
      <c r="AB130" s="197" t="s">
        <v>531</v>
      </c>
      <c r="AC130" s="197" t="s">
        <v>533</v>
      </c>
      <c r="AD130" s="199">
        <v>1.5225610000000001</v>
      </c>
      <c r="AE130" s="199">
        <v>592</v>
      </c>
      <c r="AF130" s="199">
        <v>13.204599999999999</v>
      </c>
      <c r="AG130" s="199">
        <v>-99</v>
      </c>
      <c r="AH130" s="197" t="s">
        <v>224</v>
      </c>
      <c r="AI130" s="197" t="s">
        <v>449</v>
      </c>
      <c r="AJ130" s="197" t="s">
        <v>273</v>
      </c>
      <c r="AK130" s="197" t="s">
        <v>531</v>
      </c>
      <c r="AL130" s="197" t="s">
        <v>377</v>
      </c>
      <c r="AM130" s="199" t="b">
        <v>1</v>
      </c>
      <c r="AN130" s="199" t="b">
        <v>0</v>
      </c>
      <c r="AO130" s="197" t="s">
        <v>274</v>
      </c>
      <c r="AP130" s="197" t="s">
        <v>275</v>
      </c>
      <c r="AQ130" s="199">
        <v>58.122199999999992</v>
      </c>
      <c r="AR130" s="199" t="b">
        <v>0</v>
      </c>
      <c r="AS130" s="197" t="s">
        <v>534</v>
      </c>
    </row>
    <row r="131" spans="1:45" s="219" customFormat="1" x14ac:dyDescent="0.25">
      <c r="A131" s="245">
        <f t="shared" si="15"/>
        <v>131</v>
      </c>
      <c r="B131" s="246" t="str">
        <f t="shared" si="8"/>
        <v>Oil Field - Separator</v>
      </c>
      <c r="C131" s="246" t="str">
        <f ca="1">IF(B131="","",VLOOKUP(D131,'Species Data'!B:E,4,FALSE))</f>
        <v>N_hep</v>
      </c>
      <c r="D131" s="246">
        <f t="shared" ca="1" si="9"/>
        <v>600</v>
      </c>
      <c r="E131" s="246">
        <f t="shared" ca="1" si="10"/>
        <v>0.73160000000000003</v>
      </c>
      <c r="F131" s="246" t="str">
        <f t="shared" ca="1" si="11"/>
        <v>N-heptane</v>
      </c>
      <c r="G131" s="246">
        <f t="shared" ca="1" si="12"/>
        <v>100.20194000000001</v>
      </c>
      <c r="H131" s="204">
        <f ca="1">IF(G131="","",IF(VLOOKUP(Separator!F131,'Species Data'!D:F,3,FALSE)=0,"X",IF(G131&lt;44.1,2,1)))</f>
        <v>1</v>
      </c>
      <c r="I131" s="204">
        <f t="shared" ca="1" si="13"/>
        <v>0.43486724648966191</v>
      </c>
      <c r="J131" s="247">
        <f ca="1">IF(I131="","",IF(COUNTIF($D$12:D131,D131)=1,IF(H131=1,I131*H131,IF(H131="X","X",0)),0))</f>
        <v>0</v>
      </c>
      <c r="K131" s="248">
        <f t="shared" ca="1" si="14"/>
        <v>0</v>
      </c>
      <c r="L131" s="197" t="s">
        <v>678</v>
      </c>
      <c r="M131" s="197" t="s">
        <v>448</v>
      </c>
      <c r="N131" s="197" t="s">
        <v>470</v>
      </c>
      <c r="O131" s="198">
        <v>41419</v>
      </c>
      <c r="P131" s="197" t="s">
        <v>531</v>
      </c>
      <c r="Q131" s="199">
        <v>100</v>
      </c>
      <c r="R131" s="197" t="s">
        <v>445</v>
      </c>
      <c r="S131" s="197" t="s">
        <v>532</v>
      </c>
      <c r="T131" s="197" t="s">
        <v>445</v>
      </c>
      <c r="U131" s="197" t="s">
        <v>446</v>
      </c>
      <c r="V131" s="199" t="b">
        <v>1</v>
      </c>
      <c r="W131" s="199">
        <v>1989</v>
      </c>
      <c r="X131" s="199">
        <v>5</v>
      </c>
      <c r="Y131" s="199">
        <v>2</v>
      </c>
      <c r="Z131" s="199">
        <v>4</v>
      </c>
      <c r="AA131" s="197" t="s">
        <v>447</v>
      </c>
      <c r="AB131" s="197" t="s">
        <v>531</v>
      </c>
      <c r="AC131" s="197" t="s">
        <v>533</v>
      </c>
      <c r="AD131" s="199">
        <v>1.5225610000000001</v>
      </c>
      <c r="AE131" s="199">
        <v>600</v>
      </c>
      <c r="AF131" s="199">
        <v>0.73160000000000003</v>
      </c>
      <c r="AG131" s="199">
        <v>-99</v>
      </c>
      <c r="AH131" s="197" t="s">
        <v>224</v>
      </c>
      <c r="AI131" s="197" t="s">
        <v>449</v>
      </c>
      <c r="AJ131" s="197" t="s">
        <v>276</v>
      </c>
      <c r="AK131" s="197" t="s">
        <v>531</v>
      </c>
      <c r="AL131" s="197" t="s">
        <v>378</v>
      </c>
      <c r="AM131" s="199" t="b">
        <v>1</v>
      </c>
      <c r="AN131" s="199" t="b">
        <v>0</v>
      </c>
      <c r="AO131" s="197" t="s">
        <v>277</v>
      </c>
      <c r="AP131" s="197" t="s">
        <v>278</v>
      </c>
      <c r="AQ131" s="199">
        <v>100.20194000000001</v>
      </c>
      <c r="AR131" s="199" t="b">
        <v>0</v>
      </c>
      <c r="AS131" s="197" t="s">
        <v>534</v>
      </c>
    </row>
    <row r="132" spans="1:45" s="219" customFormat="1" x14ac:dyDescent="0.25">
      <c r="A132" s="245">
        <f t="shared" si="15"/>
        <v>132</v>
      </c>
      <c r="B132" s="246" t="str">
        <f t="shared" si="8"/>
        <v>Oil Field - Separator</v>
      </c>
      <c r="C132" s="246" t="str">
        <f ca="1">IF(B132="","",VLOOKUP(D132,'Species Data'!B:E,4,FALSE))</f>
        <v>N_hex</v>
      </c>
      <c r="D132" s="246">
        <f t="shared" ca="1" si="9"/>
        <v>601</v>
      </c>
      <c r="E132" s="246">
        <f t="shared" ca="1" si="10"/>
        <v>2.3532999999999999</v>
      </c>
      <c r="F132" s="246" t="str">
        <f t="shared" ca="1" si="11"/>
        <v>N-hexane</v>
      </c>
      <c r="G132" s="246">
        <f t="shared" ca="1" si="12"/>
        <v>86.175359999999998</v>
      </c>
      <c r="H132" s="204">
        <f ca="1">IF(G132="","",IF(VLOOKUP(Separator!F132,'Species Data'!D:F,3,FALSE)=0,"X",IF(G132&lt;44.1,2,1)))</f>
        <v>1</v>
      </c>
      <c r="I132" s="204">
        <f t="shared" ca="1" si="13"/>
        <v>1.452235269647026</v>
      </c>
      <c r="J132" s="247">
        <f ca="1">IF(I132="","",IF(COUNTIF($D$12:D132,D132)=1,IF(H132=1,I132*H132,IF(H132="X","X",0)),0))</f>
        <v>0</v>
      </c>
      <c r="K132" s="248">
        <f t="shared" ca="1" si="14"/>
        <v>0</v>
      </c>
      <c r="L132" s="197" t="s">
        <v>678</v>
      </c>
      <c r="M132" s="197" t="s">
        <v>448</v>
      </c>
      <c r="N132" s="197" t="s">
        <v>470</v>
      </c>
      <c r="O132" s="198">
        <v>41419</v>
      </c>
      <c r="P132" s="197" t="s">
        <v>531</v>
      </c>
      <c r="Q132" s="199">
        <v>100</v>
      </c>
      <c r="R132" s="197" t="s">
        <v>445</v>
      </c>
      <c r="S132" s="197" t="s">
        <v>532</v>
      </c>
      <c r="T132" s="197" t="s">
        <v>445</v>
      </c>
      <c r="U132" s="197" t="s">
        <v>446</v>
      </c>
      <c r="V132" s="199" t="b">
        <v>1</v>
      </c>
      <c r="W132" s="199">
        <v>1989</v>
      </c>
      <c r="X132" s="199">
        <v>5</v>
      </c>
      <c r="Y132" s="199">
        <v>2</v>
      </c>
      <c r="Z132" s="199">
        <v>4</v>
      </c>
      <c r="AA132" s="197" t="s">
        <v>447</v>
      </c>
      <c r="AB132" s="197" t="s">
        <v>531</v>
      </c>
      <c r="AC132" s="197" t="s">
        <v>533</v>
      </c>
      <c r="AD132" s="199">
        <v>1.5225610000000001</v>
      </c>
      <c r="AE132" s="199">
        <v>601</v>
      </c>
      <c r="AF132" s="199">
        <v>2.3532999999999999</v>
      </c>
      <c r="AG132" s="199">
        <v>-99</v>
      </c>
      <c r="AH132" s="197" t="s">
        <v>224</v>
      </c>
      <c r="AI132" s="197" t="s">
        <v>449</v>
      </c>
      <c r="AJ132" s="197" t="s">
        <v>279</v>
      </c>
      <c r="AK132" s="197" t="s">
        <v>531</v>
      </c>
      <c r="AL132" s="197" t="s">
        <v>379</v>
      </c>
      <c r="AM132" s="199" t="b">
        <v>1</v>
      </c>
      <c r="AN132" s="199" t="b">
        <v>1</v>
      </c>
      <c r="AO132" s="197" t="s">
        <v>280</v>
      </c>
      <c r="AP132" s="197" t="s">
        <v>281</v>
      </c>
      <c r="AQ132" s="199">
        <v>86.175359999999998</v>
      </c>
      <c r="AR132" s="199" t="b">
        <v>0</v>
      </c>
      <c r="AS132" s="197" t="s">
        <v>534</v>
      </c>
    </row>
    <row r="133" spans="1:45" s="219" customFormat="1" x14ac:dyDescent="0.25">
      <c r="A133" s="245">
        <f t="shared" si="15"/>
        <v>133</v>
      </c>
      <c r="B133" s="246" t="str">
        <f t="shared" si="8"/>
        <v>Oil Field - Separator</v>
      </c>
      <c r="C133" s="246" t="str">
        <f ca="1">IF(B133="","",VLOOKUP(D133,'Species Data'!B:E,4,FALSE))</f>
        <v>N_nonane</v>
      </c>
      <c r="D133" s="246">
        <f t="shared" ca="1" si="9"/>
        <v>603</v>
      </c>
      <c r="E133" s="246">
        <f t="shared" ca="1" si="10"/>
        <v>2.1000000000000001E-2</v>
      </c>
      <c r="F133" s="246" t="str">
        <f t="shared" ca="1" si="11"/>
        <v>N-nonane</v>
      </c>
      <c r="G133" s="246">
        <f t="shared" ca="1" si="12"/>
        <v>128.2551</v>
      </c>
      <c r="H133" s="204">
        <f ca="1">IF(G133="","",IF(VLOOKUP(Separator!F133,'Species Data'!D:F,3,FALSE)=0,"X",IF(G133&lt;44.1,2,1)))</f>
        <v>1</v>
      </c>
      <c r="I133" s="204">
        <f t="shared" ca="1" si="13"/>
        <v>2.256669675559567E-2</v>
      </c>
      <c r="J133" s="247">
        <f ca="1">IF(I133="","",IF(COUNTIF($D$12:D133,D133)=1,IF(H133=1,I133*H133,IF(H133="X","X",0)),0))</f>
        <v>0</v>
      </c>
      <c r="K133" s="248">
        <f t="shared" ca="1" si="14"/>
        <v>0</v>
      </c>
      <c r="L133" s="197" t="s">
        <v>678</v>
      </c>
      <c r="M133" s="197" t="s">
        <v>448</v>
      </c>
      <c r="N133" s="197" t="s">
        <v>470</v>
      </c>
      <c r="O133" s="198">
        <v>41419</v>
      </c>
      <c r="P133" s="197" t="s">
        <v>531</v>
      </c>
      <c r="Q133" s="199">
        <v>100</v>
      </c>
      <c r="R133" s="197" t="s">
        <v>445</v>
      </c>
      <c r="S133" s="197" t="s">
        <v>532</v>
      </c>
      <c r="T133" s="197" t="s">
        <v>445</v>
      </c>
      <c r="U133" s="197" t="s">
        <v>446</v>
      </c>
      <c r="V133" s="199" t="b">
        <v>1</v>
      </c>
      <c r="W133" s="199">
        <v>1989</v>
      </c>
      <c r="X133" s="199">
        <v>5</v>
      </c>
      <c r="Y133" s="199">
        <v>2</v>
      </c>
      <c r="Z133" s="199">
        <v>4</v>
      </c>
      <c r="AA133" s="197" t="s">
        <v>447</v>
      </c>
      <c r="AB133" s="197" t="s">
        <v>531</v>
      </c>
      <c r="AC133" s="197" t="s">
        <v>533</v>
      </c>
      <c r="AD133" s="199">
        <v>1.5225610000000001</v>
      </c>
      <c r="AE133" s="199">
        <v>603</v>
      </c>
      <c r="AF133" s="199">
        <v>2.1000000000000001E-2</v>
      </c>
      <c r="AG133" s="199">
        <v>-99</v>
      </c>
      <c r="AH133" s="197" t="s">
        <v>224</v>
      </c>
      <c r="AI133" s="197" t="s">
        <v>449</v>
      </c>
      <c r="AJ133" s="197" t="s">
        <v>417</v>
      </c>
      <c r="AK133" s="197" t="s">
        <v>531</v>
      </c>
      <c r="AL133" s="197" t="s">
        <v>453</v>
      </c>
      <c r="AM133" s="199" t="b">
        <v>1</v>
      </c>
      <c r="AN133" s="199" t="b">
        <v>0</v>
      </c>
      <c r="AO133" s="197" t="s">
        <v>418</v>
      </c>
      <c r="AP133" s="197" t="s">
        <v>419</v>
      </c>
      <c r="AQ133" s="199">
        <v>128.2551</v>
      </c>
      <c r="AR133" s="199" t="b">
        <v>0</v>
      </c>
      <c r="AS133" s="197" t="s">
        <v>534</v>
      </c>
    </row>
    <row r="134" spans="1:45" s="219" customFormat="1" x14ac:dyDescent="0.25">
      <c r="A134" s="245">
        <f t="shared" si="15"/>
        <v>134</v>
      </c>
      <c r="B134" s="246" t="str">
        <f t="shared" si="8"/>
        <v>Oil Field - Separator</v>
      </c>
      <c r="C134" s="246" t="str">
        <f ca="1">IF(B134="","",VLOOKUP(D134,'Species Data'!B:E,4,FALSE))</f>
        <v>N_octane</v>
      </c>
      <c r="D134" s="246">
        <f t="shared" ca="1" si="9"/>
        <v>604</v>
      </c>
      <c r="E134" s="246">
        <f t="shared" ca="1" si="10"/>
        <v>0.1331</v>
      </c>
      <c r="F134" s="246" t="str">
        <f t="shared" ca="1" si="11"/>
        <v>N-octane</v>
      </c>
      <c r="G134" s="246">
        <f t="shared" ca="1" si="12"/>
        <v>114.22852</v>
      </c>
      <c r="H134" s="204">
        <f ca="1">IF(G134="","",IF(VLOOKUP(Separator!F134,'Species Data'!D:F,3,FALSE)=0,"X",IF(G134&lt;44.1,2,1)))</f>
        <v>1</v>
      </c>
      <c r="I134" s="204">
        <f t="shared" ca="1" si="13"/>
        <v>0.17603356804475737</v>
      </c>
      <c r="J134" s="247">
        <f ca="1">IF(I134="","",IF(COUNTIF($D$12:D134,D134)=1,IF(H134=1,I134*H134,IF(H134="X","X",0)),0))</f>
        <v>0</v>
      </c>
      <c r="K134" s="248">
        <f t="shared" ca="1" si="14"/>
        <v>0</v>
      </c>
      <c r="L134" s="197" t="s">
        <v>678</v>
      </c>
      <c r="M134" s="197" t="s">
        <v>448</v>
      </c>
      <c r="N134" s="197" t="s">
        <v>470</v>
      </c>
      <c r="O134" s="198">
        <v>41419</v>
      </c>
      <c r="P134" s="197" t="s">
        <v>531</v>
      </c>
      <c r="Q134" s="199">
        <v>100</v>
      </c>
      <c r="R134" s="197" t="s">
        <v>445</v>
      </c>
      <c r="S134" s="197" t="s">
        <v>532</v>
      </c>
      <c r="T134" s="197" t="s">
        <v>445</v>
      </c>
      <c r="U134" s="197" t="s">
        <v>446</v>
      </c>
      <c r="V134" s="199" t="b">
        <v>1</v>
      </c>
      <c r="W134" s="199">
        <v>1989</v>
      </c>
      <c r="X134" s="199">
        <v>5</v>
      </c>
      <c r="Y134" s="199">
        <v>2</v>
      </c>
      <c r="Z134" s="199">
        <v>4</v>
      </c>
      <c r="AA134" s="197" t="s">
        <v>447</v>
      </c>
      <c r="AB134" s="197" t="s">
        <v>531</v>
      </c>
      <c r="AC134" s="197" t="s">
        <v>533</v>
      </c>
      <c r="AD134" s="199">
        <v>1.5225610000000001</v>
      </c>
      <c r="AE134" s="199">
        <v>604</v>
      </c>
      <c r="AF134" s="199">
        <v>0.1331</v>
      </c>
      <c r="AG134" s="199">
        <v>-99</v>
      </c>
      <c r="AH134" s="197" t="s">
        <v>224</v>
      </c>
      <c r="AI134" s="197" t="s">
        <v>449</v>
      </c>
      <c r="AJ134" s="197" t="s">
        <v>282</v>
      </c>
      <c r="AK134" s="197" t="s">
        <v>531</v>
      </c>
      <c r="AL134" s="197" t="s">
        <v>380</v>
      </c>
      <c r="AM134" s="199" t="b">
        <v>1</v>
      </c>
      <c r="AN134" s="199" t="b">
        <v>0</v>
      </c>
      <c r="AO134" s="197" t="s">
        <v>283</v>
      </c>
      <c r="AP134" s="197" t="s">
        <v>284</v>
      </c>
      <c r="AQ134" s="199">
        <v>114.22852</v>
      </c>
      <c r="AR134" s="199" t="b">
        <v>0</v>
      </c>
      <c r="AS134" s="197" t="s">
        <v>534</v>
      </c>
    </row>
    <row r="135" spans="1:45" s="219" customFormat="1" x14ac:dyDescent="0.25">
      <c r="A135" s="245">
        <f t="shared" si="15"/>
        <v>135</v>
      </c>
      <c r="B135" s="246" t="str">
        <f t="shared" si="8"/>
        <v>Oil Field - Separator</v>
      </c>
      <c r="C135" s="246" t="str">
        <f ca="1">IF(B135="","",VLOOKUP(D135,'Species Data'!B:E,4,FALSE))</f>
        <v>N_pentane</v>
      </c>
      <c r="D135" s="246">
        <f t="shared" ca="1" si="9"/>
        <v>605</v>
      </c>
      <c r="E135" s="246">
        <f t="shared" ca="1" si="10"/>
        <v>3.0219999999999998</v>
      </c>
      <c r="F135" s="246" t="str">
        <f t="shared" ca="1" si="11"/>
        <v>N-pentane</v>
      </c>
      <c r="G135" s="246">
        <f t="shared" ca="1" si="12"/>
        <v>72.148780000000002</v>
      </c>
      <c r="H135" s="204">
        <f ca="1">IF(G135="","",IF(VLOOKUP(Separator!F135,'Species Data'!D:F,3,FALSE)=0,"X",IF(G135&lt;44.1,2,1)))</f>
        <v>1</v>
      </c>
      <c r="I135" s="204">
        <f t="shared" ca="1" si="13"/>
        <v>3.3001044001391997</v>
      </c>
      <c r="J135" s="247">
        <f ca="1">IF(I135="","",IF(COUNTIF($D$12:D135,D135)=1,IF(H135=1,I135*H135,IF(H135="X","X",0)),0))</f>
        <v>0</v>
      </c>
      <c r="K135" s="248">
        <f t="shared" ca="1" si="14"/>
        <v>0</v>
      </c>
      <c r="L135" s="197" t="s">
        <v>678</v>
      </c>
      <c r="M135" s="197" t="s">
        <v>448</v>
      </c>
      <c r="N135" s="197" t="s">
        <v>470</v>
      </c>
      <c r="O135" s="198">
        <v>41419</v>
      </c>
      <c r="P135" s="197" t="s">
        <v>531</v>
      </c>
      <c r="Q135" s="199">
        <v>100</v>
      </c>
      <c r="R135" s="197" t="s">
        <v>445</v>
      </c>
      <c r="S135" s="197" t="s">
        <v>532</v>
      </c>
      <c r="T135" s="197" t="s">
        <v>445</v>
      </c>
      <c r="U135" s="197" t="s">
        <v>446</v>
      </c>
      <c r="V135" s="199" t="b">
        <v>1</v>
      </c>
      <c r="W135" s="199">
        <v>1989</v>
      </c>
      <c r="X135" s="199">
        <v>5</v>
      </c>
      <c r="Y135" s="199">
        <v>2</v>
      </c>
      <c r="Z135" s="199">
        <v>4</v>
      </c>
      <c r="AA135" s="197" t="s">
        <v>447</v>
      </c>
      <c r="AB135" s="197" t="s">
        <v>531</v>
      </c>
      <c r="AC135" s="197" t="s">
        <v>533</v>
      </c>
      <c r="AD135" s="199">
        <v>1.5225610000000001</v>
      </c>
      <c r="AE135" s="199">
        <v>605</v>
      </c>
      <c r="AF135" s="199">
        <v>3.0219999999999998</v>
      </c>
      <c r="AG135" s="199">
        <v>-99</v>
      </c>
      <c r="AH135" s="197" t="s">
        <v>224</v>
      </c>
      <c r="AI135" s="197" t="s">
        <v>449</v>
      </c>
      <c r="AJ135" s="197" t="s">
        <v>285</v>
      </c>
      <c r="AK135" s="197" t="s">
        <v>531</v>
      </c>
      <c r="AL135" s="197" t="s">
        <v>381</v>
      </c>
      <c r="AM135" s="199" t="b">
        <v>1</v>
      </c>
      <c r="AN135" s="199" t="b">
        <v>0</v>
      </c>
      <c r="AO135" s="197" t="s">
        <v>286</v>
      </c>
      <c r="AP135" s="197" t="s">
        <v>287</v>
      </c>
      <c r="AQ135" s="199">
        <v>72.148780000000002</v>
      </c>
      <c r="AR135" s="199" t="b">
        <v>0</v>
      </c>
      <c r="AS135" s="197" t="s">
        <v>534</v>
      </c>
    </row>
    <row r="136" spans="1:45" s="219" customFormat="1" x14ac:dyDescent="0.25">
      <c r="A136" s="245">
        <f t="shared" si="15"/>
        <v>136</v>
      </c>
      <c r="B136" s="246" t="str">
        <f t="shared" si="8"/>
        <v>Oil Field - Separator</v>
      </c>
      <c r="C136" s="246" t="str">
        <f ca="1">IF(B136="","",VLOOKUP(D136,'Species Data'!B:E,4,FALSE))</f>
        <v>O_xylene</v>
      </c>
      <c r="D136" s="246">
        <f t="shared" ca="1" si="9"/>
        <v>620</v>
      </c>
      <c r="E136" s="246">
        <f t="shared" ca="1" si="10"/>
        <v>1.6E-2</v>
      </c>
      <c r="F136" s="246" t="str">
        <f t="shared" ca="1" si="11"/>
        <v>O-xylene</v>
      </c>
      <c r="G136" s="246">
        <f t="shared" ca="1" si="12"/>
        <v>106.16500000000001</v>
      </c>
      <c r="H136" s="204">
        <f ca="1">IF(G136="","",IF(VLOOKUP(Separator!F136,'Species Data'!D:F,3,FALSE)=0,"X",IF(G136&lt;44.1,2,1)))</f>
        <v>1</v>
      </c>
      <c r="I136" s="204">
        <f t="shared" ca="1" si="13"/>
        <v>2.0033360044480059E-2</v>
      </c>
      <c r="J136" s="247">
        <f ca="1">IF(I136="","",IF(COUNTIF($D$12:D136,D136)=1,IF(H136=1,I136*H136,IF(H136="X","X",0)),0))</f>
        <v>0</v>
      </c>
      <c r="K136" s="248">
        <f t="shared" ca="1" si="14"/>
        <v>0</v>
      </c>
      <c r="L136" s="197" t="s">
        <v>678</v>
      </c>
      <c r="M136" s="197" t="s">
        <v>448</v>
      </c>
      <c r="N136" s="197" t="s">
        <v>470</v>
      </c>
      <c r="O136" s="198">
        <v>41419</v>
      </c>
      <c r="P136" s="197" t="s">
        <v>531</v>
      </c>
      <c r="Q136" s="199">
        <v>100</v>
      </c>
      <c r="R136" s="197" t="s">
        <v>445</v>
      </c>
      <c r="S136" s="197" t="s">
        <v>532</v>
      </c>
      <c r="T136" s="197" t="s">
        <v>445</v>
      </c>
      <c r="U136" s="197" t="s">
        <v>446</v>
      </c>
      <c r="V136" s="199" t="b">
        <v>1</v>
      </c>
      <c r="W136" s="199">
        <v>1989</v>
      </c>
      <c r="X136" s="199">
        <v>5</v>
      </c>
      <c r="Y136" s="199">
        <v>2</v>
      </c>
      <c r="Z136" s="199">
        <v>4</v>
      </c>
      <c r="AA136" s="197" t="s">
        <v>447</v>
      </c>
      <c r="AB136" s="197" t="s">
        <v>531</v>
      </c>
      <c r="AC136" s="197" t="s">
        <v>533</v>
      </c>
      <c r="AD136" s="199">
        <v>1.5225610000000001</v>
      </c>
      <c r="AE136" s="199">
        <v>620</v>
      </c>
      <c r="AF136" s="199">
        <v>1.6E-2</v>
      </c>
      <c r="AG136" s="199">
        <v>-99</v>
      </c>
      <c r="AH136" s="197" t="s">
        <v>224</v>
      </c>
      <c r="AI136" s="197" t="s">
        <v>449</v>
      </c>
      <c r="AJ136" s="197" t="s">
        <v>354</v>
      </c>
      <c r="AK136" s="197" t="s">
        <v>531</v>
      </c>
      <c r="AL136" s="197" t="s">
        <v>398</v>
      </c>
      <c r="AM136" s="199" t="b">
        <v>1</v>
      </c>
      <c r="AN136" s="199" t="b">
        <v>1</v>
      </c>
      <c r="AO136" s="197" t="s">
        <v>355</v>
      </c>
      <c r="AP136" s="197" t="s">
        <v>356</v>
      </c>
      <c r="AQ136" s="199">
        <v>106.16500000000001</v>
      </c>
      <c r="AR136" s="199" t="b">
        <v>0</v>
      </c>
      <c r="AS136" s="197" t="s">
        <v>534</v>
      </c>
    </row>
    <row r="137" spans="1:45" s="219" customFormat="1" x14ac:dyDescent="0.25">
      <c r="A137" s="245">
        <f t="shared" si="15"/>
        <v>137</v>
      </c>
      <c r="B137" s="246" t="str">
        <f t="shared" si="8"/>
        <v>Oil Field - Separator</v>
      </c>
      <c r="C137" s="246" t="str">
        <f ca="1">IF(B137="","",VLOOKUP(D137,'Species Data'!B:E,4,FALSE))</f>
        <v>P_xylene</v>
      </c>
      <c r="D137" s="246">
        <f t="shared" ca="1" si="9"/>
        <v>648</v>
      </c>
      <c r="E137" s="246">
        <f t="shared" ca="1" si="10"/>
        <v>2.0799999999999999E-2</v>
      </c>
      <c r="F137" s="246" t="str">
        <f t="shared" ca="1" si="11"/>
        <v>P-xylene</v>
      </c>
      <c r="G137" s="246">
        <f t="shared" ca="1" si="12"/>
        <v>106.16500000000001</v>
      </c>
      <c r="H137" s="204">
        <f ca="1">IF(G137="","",IF(VLOOKUP(Separator!F137,'Species Data'!D:F,3,FALSE)=0,"X",IF(G137&lt;44.1,2,1)))</f>
        <v>1</v>
      </c>
      <c r="I137" s="204">
        <f t="shared" ca="1" si="13"/>
        <v>2.4166698888931849E-2</v>
      </c>
      <c r="J137" s="247">
        <f ca="1">IF(I137="","",IF(COUNTIF($D$12:D137,D137)=1,IF(H137=1,I137*H137,IF(H137="X","X",0)),0))</f>
        <v>0</v>
      </c>
      <c r="K137" s="248">
        <f t="shared" ca="1" si="14"/>
        <v>0</v>
      </c>
      <c r="L137" s="197" t="s">
        <v>678</v>
      </c>
      <c r="M137" s="197" t="s">
        <v>448</v>
      </c>
      <c r="N137" s="197" t="s">
        <v>470</v>
      </c>
      <c r="O137" s="198">
        <v>41419</v>
      </c>
      <c r="P137" s="197" t="s">
        <v>531</v>
      </c>
      <c r="Q137" s="199">
        <v>100</v>
      </c>
      <c r="R137" s="197" t="s">
        <v>445</v>
      </c>
      <c r="S137" s="197" t="s">
        <v>532</v>
      </c>
      <c r="T137" s="197" t="s">
        <v>445</v>
      </c>
      <c r="U137" s="197" t="s">
        <v>446</v>
      </c>
      <c r="V137" s="199" t="b">
        <v>1</v>
      </c>
      <c r="W137" s="199">
        <v>1989</v>
      </c>
      <c r="X137" s="199">
        <v>5</v>
      </c>
      <c r="Y137" s="199">
        <v>2</v>
      </c>
      <c r="Z137" s="199">
        <v>4</v>
      </c>
      <c r="AA137" s="197" t="s">
        <v>447</v>
      </c>
      <c r="AB137" s="197" t="s">
        <v>531</v>
      </c>
      <c r="AC137" s="197" t="s">
        <v>533</v>
      </c>
      <c r="AD137" s="199">
        <v>1.5225610000000001</v>
      </c>
      <c r="AE137" s="199">
        <v>648</v>
      </c>
      <c r="AF137" s="199">
        <v>2.0799999999999999E-2</v>
      </c>
      <c r="AG137" s="199">
        <v>-99</v>
      </c>
      <c r="AH137" s="197" t="s">
        <v>224</v>
      </c>
      <c r="AI137" s="197" t="s">
        <v>449</v>
      </c>
      <c r="AJ137" s="197" t="s">
        <v>433</v>
      </c>
      <c r="AK137" s="197" t="s">
        <v>531</v>
      </c>
      <c r="AL137" s="197" t="s">
        <v>459</v>
      </c>
      <c r="AM137" s="199" t="b">
        <v>0</v>
      </c>
      <c r="AN137" s="199" t="b">
        <v>1</v>
      </c>
      <c r="AO137" s="197" t="s">
        <v>434</v>
      </c>
      <c r="AP137" s="197" t="s">
        <v>435</v>
      </c>
      <c r="AQ137" s="199">
        <v>106.16500000000001</v>
      </c>
      <c r="AR137" s="199" t="b">
        <v>0</v>
      </c>
      <c r="AS137" s="197" t="s">
        <v>534</v>
      </c>
    </row>
    <row r="138" spans="1:45" s="219" customFormat="1" x14ac:dyDescent="0.25">
      <c r="A138" s="245">
        <f t="shared" si="15"/>
        <v>138</v>
      </c>
      <c r="B138" s="246" t="str">
        <f t="shared" si="8"/>
        <v>Oil Field - Separator</v>
      </c>
      <c r="C138" s="246" t="str">
        <f ca="1">IF(B138="","",VLOOKUP(D138,'Species Data'!B:E,4,FALSE))</f>
        <v>propane</v>
      </c>
      <c r="D138" s="246">
        <f t="shared" ca="1" si="9"/>
        <v>671</v>
      </c>
      <c r="E138" s="246">
        <f t="shared" ca="1" si="10"/>
        <v>14.182499999999999</v>
      </c>
      <c r="F138" s="246" t="str">
        <f t="shared" ca="1" si="11"/>
        <v>Propane</v>
      </c>
      <c r="G138" s="246">
        <f t="shared" ca="1" si="12"/>
        <v>44.095619999999997</v>
      </c>
      <c r="H138" s="204">
        <f ca="1">IF(G138="","",IF(VLOOKUP(Separator!F138,'Species Data'!D:F,3,FALSE)=0,"X",IF(G138&lt;44.1,2,1)))</f>
        <v>2</v>
      </c>
      <c r="I138" s="204">
        <f t="shared" ca="1" si="13"/>
        <v>16.398655198206928</v>
      </c>
      <c r="J138" s="247">
        <f ca="1">IF(I138="","",IF(COUNTIF($D$12:D138,D138)=1,IF(H138=1,I138*H138,IF(H138="X","X",0)),0))</f>
        <v>0</v>
      </c>
      <c r="K138" s="248">
        <f t="shared" ca="1" si="14"/>
        <v>0</v>
      </c>
      <c r="L138" s="197" t="s">
        <v>678</v>
      </c>
      <c r="M138" s="197" t="s">
        <v>448</v>
      </c>
      <c r="N138" s="197" t="s">
        <v>470</v>
      </c>
      <c r="O138" s="198">
        <v>41419</v>
      </c>
      <c r="P138" s="197" t="s">
        <v>531</v>
      </c>
      <c r="Q138" s="199">
        <v>100</v>
      </c>
      <c r="R138" s="197" t="s">
        <v>445</v>
      </c>
      <c r="S138" s="197" t="s">
        <v>532</v>
      </c>
      <c r="T138" s="197" t="s">
        <v>445</v>
      </c>
      <c r="U138" s="197" t="s">
        <v>446</v>
      </c>
      <c r="V138" s="199" t="b">
        <v>1</v>
      </c>
      <c r="W138" s="199">
        <v>1989</v>
      </c>
      <c r="X138" s="199">
        <v>5</v>
      </c>
      <c r="Y138" s="199">
        <v>2</v>
      </c>
      <c r="Z138" s="199">
        <v>4</v>
      </c>
      <c r="AA138" s="197" t="s">
        <v>447</v>
      </c>
      <c r="AB138" s="197" t="s">
        <v>531</v>
      </c>
      <c r="AC138" s="197" t="s">
        <v>533</v>
      </c>
      <c r="AD138" s="199">
        <v>1.5225610000000001</v>
      </c>
      <c r="AE138" s="199">
        <v>671</v>
      </c>
      <c r="AF138" s="199">
        <v>14.182499999999999</v>
      </c>
      <c r="AG138" s="199">
        <v>-99</v>
      </c>
      <c r="AH138" s="197" t="s">
        <v>224</v>
      </c>
      <c r="AI138" s="197" t="s">
        <v>449</v>
      </c>
      <c r="AJ138" s="197" t="s">
        <v>288</v>
      </c>
      <c r="AK138" s="197" t="s">
        <v>531</v>
      </c>
      <c r="AL138" s="197" t="s">
        <v>382</v>
      </c>
      <c r="AM138" s="199" t="b">
        <v>1</v>
      </c>
      <c r="AN138" s="199" t="b">
        <v>0</v>
      </c>
      <c r="AO138" s="197" t="s">
        <v>289</v>
      </c>
      <c r="AP138" s="197" t="s">
        <v>290</v>
      </c>
      <c r="AQ138" s="199">
        <v>44.095619999999997</v>
      </c>
      <c r="AR138" s="199" t="b">
        <v>0</v>
      </c>
      <c r="AS138" s="197" t="s">
        <v>534</v>
      </c>
    </row>
    <row r="139" spans="1:45" s="219" customFormat="1" ht="15" customHeight="1" x14ac:dyDescent="0.25">
      <c r="A139" s="245">
        <f t="shared" si="15"/>
        <v>139</v>
      </c>
      <c r="B139" s="246" t="str">
        <f t="shared" si="8"/>
        <v>Oil Field - Separator</v>
      </c>
      <c r="C139" s="246" t="str">
        <f ca="1">IF(B139="","",VLOOKUP(D139,'Species Data'!B:E,4,FALSE))</f>
        <v>toluene</v>
      </c>
      <c r="D139" s="246">
        <f t="shared" ca="1" si="9"/>
        <v>717</v>
      </c>
      <c r="E139" s="246">
        <f t="shared" ca="1" si="10"/>
        <v>0.24529999999999999</v>
      </c>
      <c r="F139" s="246" t="str">
        <f t="shared" ca="1" si="11"/>
        <v>Toluene</v>
      </c>
      <c r="G139" s="246">
        <f t="shared" ca="1" si="12"/>
        <v>92.138419999999996</v>
      </c>
      <c r="H139" s="204">
        <f ca="1">IF(G139="","",IF(VLOOKUP(Separator!F139,'Species Data'!D:F,3,FALSE)=0,"X",IF(G139&lt;44.1,2,1)))</f>
        <v>1</v>
      </c>
      <c r="I139" s="204">
        <f t="shared" ca="1" si="13"/>
        <v>0.1362668483557978</v>
      </c>
      <c r="J139" s="247">
        <f ca="1">IF(I139="","",IF(COUNTIF($D$12:D139,D139)=1,IF(H139=1,I139*H139,IF(H139="X","X",0)),0))</f>
        <v>0</v>
      </c>
      <c r="K139" s="248">
        <f t="shared" ca="1" si="14"/>
        <v>0</v>
      </c>
      <c r="L139" s="197" t="s">
        <v>678</v>
      </c>
      <c r="M139" s="197" t="s">
        <v>448</v>
      </c>
      <c r="N139" s="197" t="s">
        <v>470</v>
      </c>
      <c r="O139" s="198">
        <v>41419</v>
      </c>
      <c r="P139" s="197" t="s">
        <v>531</v>
      </c>
      <c r="Q139" s="199">
        <v>100</v>
      </c>
      <c r="R139" s="197" t="s">
        <v>445</v>
      </c>
      <c r="S139" s="197" t="s">
        <v>532</v>
      </c>
      <c r="T139" s="197" t="s">
        <v>445</v>
      </c>
      <c r="U139" s="197" t="s">
        <v>446</v>
      </c>
      <c r="V139" s="199" t="b">
        <v>1</v>
      </c>
      <c r="W139" s="199">
        <v>1989</v>
      </c>
      <c r="X139" s="199">
        <v>5</v>
      </c>
      <c r="Y139" s="199">
        <v>2</v>
      </c>
      <c r="Z139" s="199">
        <v>4</v>
      </c>
      <c r="AA139" s="197" t="s">
        <v>447</v>
      </c>
      <c r="AB139" s="197" t="s">
        <v>531</v>
      </c>
      <c r="AC139" s="197" t="s">
        <v>533</v>
      </c>
      <c r="AD139" s="199">
        <v>1.5225610000000001</v>
      </c>
      <c r="AE139" s="199">
        <v>717</v>
      </c>
      <c r="AF139" s="199">
        <v>0.24529999999999999</v>
      </c>
      <c r="AG139" s="199">
        <v>-99</v>
      </c>
      <c r="AH139" s="197" t="s">
        <v>224</v>
      </c>
      <c r="AI139" s="197" t="s">
        <v>449</v>
      </c>
      <c r="AJ139" s="197" t="s">
        <v>294</v>
      </c>
      <c r="AK139" s="197" t="s">
        <v>531</v>
      </c>
      <c r="AL139" s="197" t="s">
        <v>383</v>
      </c>
      <c r="AM139" s="199" t="b">
        <v>1</v>
      </c>
      <c r="AN139" s="199" t="b">
        <v>1</v>
      </c>
      <c r="AO139" s="197" t="s">
        <v>295</v>
      </c>
      <c r="AP139" s="197" t="s">
        <v>296</v>
      </c>
      <c r="AQ139" s="199">
        <v>92.138419999999996</v>
      </c>
      <c r="AR139" s="199" t="b">
        <v>0</v>
      </c>
      <c r="AS139" s="197" t="s">
        <v>534</v>
      </c>
    </row>
    <row r="140" spans="1:45" s="219" customFormat="1" x14ac:dyDescent="0.25">
      <c r="A140" s="245">
        <f t="shared" si="15"/>
        <v>140</v>
      </c>
      <c r="B140" s="246" t="str">
        <f t="shared" ref="B140:B203" si="16">IF(ROW(A140)-(ROW($A$12))&lt;$B$10,$B$9,"")</f>
        <v>Oil Field - Separator</v>
      </c>
      <c r="C140" s="246" t="str">
        <f ca="1">IF(B140="","",VLOOKUP(D140,'Species Data'!B:E,4,FALSE))</f>
        <v>c_4_comp</v>
      </c>
      <c r="D140" s="246">
        <f t="shared" ca="1" si="9"/>
        <v>1976</v>
      </c>
      <c r="E140" s="246">
        <f t="shared" ca="1" si="10"/>
        <v>2.5912999999999999</v>
      </c>
      <c r="F140" s="246" t="str">
        <f t="shared" ca="1" si="11"/>
        <v>C-4 Compounds</v>
      </c>
      <c r="G140" s="246">
        <f t="shared" ca="1" si="12"/>
        <v>56.106319999999997</v>
      </c>
      <c r="H140" s="204" t="str">
        <f ca="1">IF(G140="","",IF(VLOOKUP(Separator!F140,'Species Data'!D:F,3,FALSE)=0,"X",IF(G140&lt;44.1,2,1)))</f>
        <v>X</v>
      </c>
      <c r="I140" s="204">
        <f t="shared" ca="1" si="13"/>
        <v>0.88300117733490302</v>
      </c>
      <c r="J140" s="247">
        <f ca="1">IF(I140="","",IF(COUNTIF($D$12:D140,D140)=1,IF(H140=1,I140*H140,IF(H140="X","X",0)),0))</f>
        <v>0</v>
      </c>
      <c r="K140" s="248">
        <f t="shared" ca="1" si="14"/>
        <v>0</v>
      </c>
      <c r="L140" s="197" t="s">
        <v>678</v>
      </c>
      <c r="M140" s="197" t="s">
        <v>448</v>
      </c>
      <c r="N140" s="197" t="s">
        <v>470</v>
      </c>
      <c r="O140" s="198">
        <v>41419</v>
      </c>
      <c r="P140" s="197" t="s">
        <v>531</v>
      </c>
      <c r="Q140" s="199">
        <v>100</v>
      </c>
      <c r="R140" s="197" t="s">
        <v>445</v>
      </c>
      <c r="S140" s="197" t="s">
        <v>532</v>
      </c>
      <c r="T140" s="197" t="s">
        <v>445</v>
      </c>
      <c r="U140" s="197" t="s">
        <v>446</v>
      </c>
      <c r="V140" s="199" t="b">
        <v>1</v>
      </c>
      <c r="W140" s="199">
        <v>1989</v>
      </c>
      <c r="X140" s="199">
        <v>5</v>
      </c>
      <c r="Y140" s="199">
        <v>2</v>
      </c>
      <c r="Z140" s="199">
        <v>4</v>
      </c>
      <c r="AA140" s="197" t="s">
        <v>447</v>
      </c>
      <c r="AB140" s="197" t="s">
        <v>531</v>
      </c>
      <c r="AC140" s="197" t="s">
        <v>533</v>
      </c>
      <c r="AD140" s="199">
        <v>1.5225610000000001</v>
      </c>
      <c r="AE140" s="199">
        <v>1976</v>
      </c>
      <c r="AF140" s="199">
        <v>2.5912999999999999</v>
      </c>
      <c r="AG140" s="199">
        <v>-99</v>
      </c>
      <c r="AH140" s="197" t="s">
        <v>224</v>
      </c>
      <c r="AI140" s="197" t="s">
        <v>449</v>
      </c>
      <c r="AJ140" s="197" t="s">
        <v>224</v>
      </c>
      <c r="AK140" s="197" t="s">
        <v>531</v>
      </c>
      <c r="AL140" s="197" t="s">
        <v>465</v>
      </c>
      <c r="AM140" s="199" t="b">
        <v>0</v>
      </c>
      <c r="AN140" s="199" t="b">
        <v>0</v>
      </c>
      <c r="AO140" s="197" t="s">
        <v>551</v>
      </c>
      <c r="AP140" s="197" t="s">
        <v>552</v>
      </c>
      <c r="AQ140" s="199">
        <v>56.106319999999997</v>
      </c>
      <c r="AR140" s="199" t="b">
        <v>0</v>
      </c>
      <c r="AS140" s="197" t="s">
        <v>534</v>
      </c>
    </row>
    <row r="141" spans="1:45" s="219" customFormat="1" x14ac:dyDescent="0.25">
      <c r="A141" s="245">
        <f t="shared" si="15"/>
        <v>141</v>
      </c>
      <c r="B141" s="246" t="str">
        <f t="shared" si="16"/>
        <v>Oil Field - Separator</v>
      </c>
      <c r="C141" s="246" t="str">
        <f ca="1">IF(B141="","",VLOOKUP(D141,'Species Data'!B:E,4,FALSE))</f>
        <v>c5_comp</v>
      </c>
      <c r="D141" s="246">
        <f t="shared" ref="D141:D204" ca="1" si="17">IF(B141="","",INDIRECT("AE"&amp;$A141))</f>
        <v>1986</v>
      </c>
      <c r="E141" s="246">
        <f t="shared" ref="E141:E204" ca="1" si="18">IF(D141="","",INDIRECT("AF"&amp;$A141))</f>
        <v>6.2760999999999996</v>
      </c>
      <c r="F141" s="246" t="str">
        <f t="shared" ref="F141:F204" ca="1" si="19">IF(E141="","",INDIRECT("AO"&amp;$A141))</f>
        <v>C-5 Compounds</v>
      </c>
      <c r="G141" s="246">
        <f t="shared" ref="G141:G204" ca="1" si="20">IF(F141="","",INDIRECT("AQ"&amp;$A141))</f>
        <v>72.148780000000002</v>
      </c>
      <c r="H141" s="204" t="str">
        <f ca="1">IF(G141="","",IF(VLOOKUP(Separator!F141,'Species Data'!D:F,3,FALSE)=0,"X",IF(G141&lt;44.1,2,1)))</f>
        <v>X</v>
      </c>
      <c r="I141" s="204">
        <f t="shared" ref="I141:I204" ca="1" si="21">IF(H141="","",SUMIF(D:D,D141,E:E)/($E$9/100))</f>
        <v>2.7757370343160455</v>
      </c>
      <c r="J141" s="247">
        <f ca="1">IF(I141="","",IF(COUNTIF($D$12:D141,D141)=1,IF(H141=1,I141*H141,IF(H141="X","X",0)),0))</f>
        <v>0</v>
      </c>
      <c r="K141" s="248">
        <f t="shared" ref="K141:K204" ca="1" si="22">IF(J141="","",IF(J141="X",0,J141/$J$9*100))</f>
        <v>0</v>
      </c>
      <c r="L141" s="197" t="s">
        <v>678</v>
      </c>
      <c r="M141" s="197" t="s">
        <v>448</v>
      </c>
      <c r="N141" s="197" t="s">
        <v>470</v>
      </c>
      <c r="O141" s="198">
        <v>41419</v>
      </c>
      <c r="P141" s="197" t="s">
        <v>531</v>
      </c>
      <c r="Q141" s="199">
        <v>100</v>
      </c>
      <c r="R141" s="197" t="s">
        <v>445</v>
      </c>
      <c r="S141" s="197" t="s">
        <v>532</v>
      </c>
      <c r="T141" s="197" t="s">
        <v>445</v>
      </c>
      <c r="U141" s="197" t="s">
        <v>446</v>
      </c>
      <c r="V141" s="199" t="b">
        <v>1</v>
      </c>
      <c r="W141" s="199">
        <v>1989</v>
      </c>
      <c r="X141" s="199">
        <v>5</v>
      </c>
      <c r="Y141" s="199">
        <v>2</v>
      </c>
      <c r="Z141" s="199">
        <v>4</v>
      </c>
      <c r="AA141" s="197" t="s">
        <v>447</v>
      </c>
      <c r="AB141" s="197" t="s">
        <v>531</v>
      </c>
      <c r="AC141" s="197" t="s">
        <v>533</v>
      </c>
      <c r="AD141" s="199">
        <v>1.5225610000000001</v>
      </c>
      <c r="AE141" s="199">
        <v>1986</v>
      </c>
      <c r="AF141" s="199">
        <v>6.2760999999999996</v>
      </c>
      <c r="AG141" s="199">
        <v>-99</v>
      </c>
      <c r="AH141" s="197" t="s">
        <v>224</v>
      </c>
      <c r="AI141" s="197" t="s">
        <v>449</v>
      </c>
      <c r="AJ141" s="197" t="s">
        <v>224</v>
      </c>
      <c r="AK141" s="197" t="s">
        <v>531</v>
      </c>
      <c r="AL141" s="197" t="s">
        <v>537</v>
      </c>
      <c r="AM141" s="199" t="b">
        <v>0</v>
      </c>
      <c r="AN141" s="199" t="b">
        <v>0</v>
      </c>
      <c r="AO141" s="197" t="s">
        <v>538</v>
      </c>
      <c r="AP141" s="197" t="s">
        <v>539</v>
      </c>
      <c r="AQ141" s="199">
        <v>72.148780000000002</v>
      </c>
      <c r="AR141" s="199" t="b">
        <v>0</v>
      </c>
      <c r="AS141" s="197" t="s">
        <v>534</v>
      </c>
    </row>
    <row r="142" spans="1:45" s="219" customFormat="1" x14ac:dyDescent="0.25">
      <c r="A142" s="245">
        <f t="shared" ref="A142:A205" si="23">IF(B142="","",A141+1)</f>
        <v>142</v>
      </c>
      <c r="B142" s="246" t="str">
        <f t="shared" si="16"/>
        <v>Oil Field - Separator</v>
      </c>
      <c r="C142" s="246" t="str">
        <f ca="1">IF(B142="","",VLOOKUP(D142,'Species Data'!B:E,4,FALSE))</f>
        <v>c6_comp</v>
      </c>
      <c r="D142" s="246">
        <f t="shared" ca="1" si="17"/>
        <v>1999</v>
      </c>
      <c r="E142" s="246">
        <f t="shared" ca="1" si="18"/>
        <v>3.0360999999999998</v>
      </c>
      <c r="F142" s="246" t="str">
        <f t="shared" ca="1" si="19"/>
        <v>C-6 Compounds</v>
      </c>
      <c r="G142" s="246">
        <f t="shared" ca="1" si="20"/>
        <v>86.175359999999998</v>
      </c>
      <c r="H142" s="204" t="str">
        <f ca="1">IF(G142="","",IF(VLOOKUP(Separator!F142,'Species Data'!D:F,3,FALSE)=0,"X",IF(G142&lt;44.1,2,1)))</f>
        <v>X</v>
      </c>
      <c r="I142" s="204">
        <f t="shared" ca="1" si="21"/>
        <v>2.6818369091158787</v>
      </c>
      <c r="J142" s="247">
        <f ca="1">IF(I142="","",IF(COUNTIF($D$12:D142,D142)=1,IF(H142=1,I142*H142,IF(H142="X","X",0)),0))</f>
        <v>0</v>
      </c>
      <c r="K142" s="248">
        <f t="shared" ca="1" si="22"/>
        <v>0</v>
      </c>
      <c r="L142" s="197" t="s">
        <v>678</v>
      </c>
      <c r="M142" s="197" t="s">
        <v>448</v>
      </c>
      <c r="N142" s="197" t="s">
        <v>470</v>
      </c>
      <c r="O142" s="198">
        <v>41419</v>
      </c>
      <c r="P142" s="197" t="s">
        <v>531</v>
      </c>
      <c r="Q142" s="199">
        <v>100</v>
      </c>
      <c r="R142" s="197" t="s">
        <v>445</v>
      </c>
      <c r="S142" s="197" t="s">
        <v>532</v>
      </c>
      <c r="T142" s="197" t="s">
        <v>445</v>
      </c>
      <c r="U142" s="197" t="s">
        <v>446</v>
      </c>
      <c r="V142" s="199" t="b">
        <v>1</v>
      </c>
      <c r="W142" s="199">
        <v>1989</v>
      </c>
      <c r="X142" s="199">
        <v>5</v>
      </c>
      <c r="Y142" s="199">
        <v>2</v>
      </c>
      <c r="Z142" s="199">
        <v>4</v>
      </c>
      <c r="AA142" s="197" t="s">
        <v>447</v>
      </c>
      <c r="AB142" s="197" t="s">
        <v>531</v>
      </c>
      <c r="AC142" s="197" t="s">
        <v>533</v>
      </c>
      <c r="AD142" s="199">
        <v>1.5225610000000001</v>
      </c>
      <c r="AE142" s="199">
        <v>1999</v>
      </c>
      <c r="AF142" s="199">
        <v>3.0360999999999998</v>
      </c>
      <c r="AG142" s="199">
        <v>-99</v>
      </c>
      <c r="AH142" s="197" t="s">
        <v>224</v>
      </c>
      <c r="AI142" s="197" t="s">
        <v>449</v>
      </c>
      <c r="AJ142" s="197" t="s">
        <v>224</v>
      </c>
      <c r="AK142" s="197" t="s">
        <v>531</v>
      </c>
      <c r="AL142" s="197" t="s">
        <v>540</v>
      </c>
      <c r="AM142" s="199" t="b">
        <v>0</v>
      </c>
      <c r="AN142" s="199" t="b">
        <v>0</v>
      </c>
      <c r="AO142" s="197" t="s">
        <v>541</v>
      </c>
      <c r="AP142" s="197" t="s">
        <v>542</v>
      </c>
      <c r="AQ142" s="199">
        <v>86.175359999999998</v>
      </c>
      <c r="AR142" s="199" t="b">
        <v>0</v>
      </c>
      <c r="AS142" s="197" t="s">
        <v>534</v>
      </c>
    </row>
    <row r="143" spans="1:45" s="219" customFormat="1" ht="15" customHeight="1" x14ac:dyDescent="0.25">
      <c r="A143" s="245">
        <f t="shared" si="23"/>
        <v>143</v>
      </c>
      <c r="B143" s="246" t="str">
        <f t="shared" si="16"/>
        <v>Oil Field - Separator</v>
      </c>
      <c r="C143" s="246" t="str">
        <f ca="1">IF(B143="","",VLOOKUP(D143,'Species Data'!B:E,4,FALSE))</f>
        <v>c7_comp</v>
      </c>
      <c r="D143" s="246">
        <f t="shared" ca="1" si="17"/>
        <v>2005</v>
      </c>
      <c r="E143" s="246">
        <f t="shared" ca="1" si="18"/>
        <v>1.2699</v>
      </c>
      <c r="F143" s="246" t="str">
        <f t="shared" ca="1" si="19"/>
        <v>C-7 Compounds</v>
      </c>
      <c r="G143" s="246">
        <f t="shared" ca="1" si="20"/>
        <v>100.20194000000001</v>
      </c>
      <c r="H143" s="204" t="str">
        <f ca="1">IF(G143="","",IF(VLOOKUP(Separator!F143,'Species Data'!D:F,3,FALSE)=0,"X",IF(G143&lt;44.1,2,1)))</f>
        <v>X</v>
      </c>
      <c r="I143" s="204">
        <f t="shared" ca="1" si="21"/>
        <v>1.4050685400913865</v>
      </c>
      <c r="J143" s="247">
        <f ca="1">IF(I143="","",IF(COUNTIF($D$12:D143,D143)=1,IF(H143=1,I143*H143,IF(H143="X","X",0)),0))</f>
        <v>0</v>
      </c>
      <c r="K143" s="248">
        <f t="shared" ca="1" si="22"/>
        <v>0</v>
      </c>
      <c r="L143" s="197" t="s">
        <v>678</v>
      </c>
      <c r="M143" s="197" t="s">
        <v>448</v>
      </c>
      <c r="N143" s="197" t="s">
        <v>470</v>
      </c>
      <c r="O143" s="198">
        <v>41419</v>
      </c>
      <c r="P143" s="197" t="s">
        <v>531</v>
      </c>
      <c r="Q143" s="199">
        <v>100</v>
      </c>
      <c r="R143" s="197" t="s">
        <v>445</v>
      </c>
      <c r="S143" s="197" t="s">
        <v>532</v>
      </c>
      <c r="T143" s="197" t="s">
        <v>445</v>
      </c>
      <c r="U143" s="197" t="s">
        <v>446</v>
      </c>
      <c r="V143" s="199" t="b">
        <v>1</v>
      </c>
      <c r="W143" s="199">
        <v>1989</v>
      </c>
      <c r="X143" s="199">
        <v>5</v>
      </c>
      <c r="Y143" s="199">
        <v>2</v>
      </c>
      <c r="Z143" s="199">
        <v>4</v>
      </c>
      <c r="AA143" s="197" t="s">
        <v>447</v>
      </c>
      <c r="AB143" s="197" t="s">
        <v>531</v>
      </c>
      <c r="AC143" s="197" t="s">
        <v>533</v>
      </c>
      <c r="AD143" s="199">
        <v>1.5225610000000001</v>
      </c>
      <c r="AE143" s="199">
        <v>2005</v>
      </c>
      <c r="AF143" s="199">
        <v>1.2699</v>
      </c>
      <c r="AG143" s="199">
        <v>-99</v>
      </c>
      <c r="AH143" s="197" t="s">
        <v>224</v>
      </c>
      <c r="AI143" s="197" t="s">
        <v>449</v>
      </c>
      <c r="AJ143" s="197" t="s">
        <v>224</v>
      </c>
      <c r="AK143" s="197" t="s">
        <v>531</v>
      </c>
      <c r="AL143" s="197" t="s">
        <v>543</v>
      </c>
      <c r="AM143" s="199" t="b">
        <v>0</v>
      </c>
      <c r="AN143" s="199" t="b">
        <v>0</v>
      </c>
      <c r="AO143" s="197" t="s">
        <v>544</v>
      </c>
      <c r="AP143" s="197" t="s">
        <v>545</v>
      </c>
      <c r="AQ143" s="199">
        <v>100.20194000000001</v>
      </c>
      <c r="AR143" s="199" t="b">
        <v>0</v>
      </c>
      <c r="AS143" s="197" t="s">
        <v>534</v>
      </c>
    </row>
    <row r="144" spans="1:45" s="219" customFormat="1" ht="15" customHeight="1" x14ac:dyDescent="0.25">
      <c r="A144" s="245">
        <f t="shared" si="23"/>
        <v>144</v>
      </c>
      <c r="B144" s="246" t="str">
        <f t="shared" si="16"/>
        <v>Oil Field - Separator</v>
      </c>
      <c r="C144" s="246" t="str">
        <f ca="1">IF(B144="","",VLOOKUP(D144,'Species Data'!B:E,4,FALSE))</f>
        <v>c8_comp</v>
      </c>
      <c r="D144" s="246">
        <f t="shared" ca="1" si="17"/>
        <v>2011</v>
      </c>
      <c r="E144" s="246">
        <f t="shared" ca="1" si="18"/>
        <v>0.42580000000000001</v>
      </c>
      <c r="F144" s="246" t="str">
        <f t="shared" ca="1" si="19"/>
        <v>C-8 Compounds</v>
      </c>
      <c r="G144" s="246">
        <f t="shared" ca="1" si="20"/>
        <v>113.21160686946486</v>
      </c>
      <c r="H144" s="204" t="str">
        <f ca="1">IF(G144="","",IF(VLOOKUP(Separator!F144,'Species Data'!D:F,3,FALSE)=0,"X",IF(G144&lt;44.1,2,1)))</f>
        <v>X</v>
      </c>
      <c r="I144" s="204">
        <f t="shared" ca="1" si="21"/>
        <v>0.70320093760125013</v>
      </c>
      <c r="J144" s="247">
        <f ca="1">IF(I144="","",IF(COUNTIF($D$12:D144,D144)=1,IF(H144=1,I144*H144,IF(H144="X","X",0)),0))</f>
        <v>0</v>
      </c>
      <c r="K144" s="248">
        <f t="shared" ca="1" si="22"/>
        <v>0</v>
      </c>
      <c r="L144" s="197" t="s">
        <v>678</v>
      </c>
      <c r="M144" s="197" t="s">
        <v>448</v>
      </c>
      <c r="N144" s="197" t="s">
        <v>470</v>
      </c>
      <c r="O144" s="198">
        <v>41419</v>
      </c>
      <c r="P144" s="197" t="s">
        <v>531</v>
      </c>
      <c r="Q144" s="199">
        <v>100</v>
      </c>
      <c r="R144" s="197" t="s">
        <v>445</v>
      </c>
      <c r="S144" s="197" t="s">
        <v>532</v>
      </c>
      <c r="T144" s="197" t="s">
        <v>445</v>
      </c>
      <c r="U144" s="197" t="s">
        <v>446</v>
      </c>
      <c r="V144" s="199" t="b">
        <v>1</v>
      </c>
      <c r="W144" s="199">
        <v>1989</v>
      </c>
      <c r="X144" s="199">
        <v>5</v>
      </c>
      <c r="Y144" s="199">
        <v>2</v>
      </c>
      <c r="Z144" s="199">
        <v>4</v>
      </c>
      <c r="AA144" s="197" t="s">
        <v>447</v>
      </c>
      <c r="AB144" s="197" t="s">
        <v>531</v>
      </c>
      <c r="AC144" s="197" t="s">
        <v>533</v>
      </c>
      <c r="AD144" s="199">
        <v>1.5225610000000001</v>
      </c>
      <c r="AE144" s="199">
        <v>2011</v>
      </c>
      <c r="AF144" s="199">
        <v>0.42580000000000001</v>
      </c>
      <c r="AG144" s="199">
        <v>-99</v>
      </c>
      <c r="AH144" s="197" t="s">
        <v>224</v>
      </c>
      <c r="AI144" s="197" t="s">
        <v>449</v>
      </c>
      <c r="AJ144" s="197" t="s">
        <v>224</v>
      </c>
      <c r="AK144" s="197" t="s">
        <v>531</v>
      </c>
      <c r="AL144" s="197" t="s">
        <v>546</v>
      </c>
      <c r="AM144" s="199" t="b">
        <v>0</v>
      </c>
      <c r="AN144" s="199" t="b">
        <v>0</v>
      </c>
      <c r="AO144" s="197" t="s">
        <v>547</v>
      </c>
      <c r="AP144" s="197" t="s">
        <v>548</v>
      </c>
      <c r="AQ144" s="199">
        <v>113.21160686946486</v>
      </c>
      <c r="AR144" s="199" t="b">
        <v>0</v>
      </c>
      <c r="AS144" s="197" t="s">
        <v>534</v>
      </c>
    </row>
    <row r="145" spans="1:45" s="219" customFormat="1" ht="15" customHeight="1" x14ac:dyDescent="0.25">
      <c r="A145" s="245">
        <f t="shared" si="23"/>
        <v>145</v>
      </c>
      <c r="B145" s="246" t="str">
        <f t="shared" si="16"/>
        <v>Oil Field - Separator</v>
      </c>
      <c r="C145" s="246" t="str">
        <f ca="1">IF(B145="","",VLOOKUP(D145,'Species Data'!B:E,4,FALSE))</f>
        <v>c9_comp</v>
      </c>
      <c r="D145" s="246">
        <f t="shared" ca="1" si="17"/>
        <v>2018</v>
      </c>
      <c r="E145" s="246">
        <f t="shared" ca="1" si="18"/>
        <v>7.5300000000000006E-2</v>
      </c>
      <c r="F145" s="246" t="str">
        <f t="shared" ca="1" si="19"/>
        <v>C-9 Compounds</v>
      </c>
      <c r="G145" s="246">
        <f t="shared" ca="1" si="20"/>
        <v>127.23917598649743</v>
      </c>
      <c r="H145" s="204" t="str">
        <f ca="1">IF(G145="","",IF(VLOOKUP(Separator!F145,'Species Data'!D:F,3,FALSE)=0,"X",IF(G145&lt;44.1,2,1)))</f>
        <v>X</v>
      </c>
      <c r="I145" s="204">
        <f t="shared" ca="1" si="21"/>
        <v>0.26796702395603189</v>
      </c>
      <c r="J145" s="247">
        <f ca="1">IF(I145="","",IF(COUNTIF($D$12:D145,D145)=1,IF(H145=1,I145*H145,IF(H145="X","X",0)),0))</f>
        <v>0</v>
      </c>
      <c r="K145" s="248">
        <f t="shared" ca="1" si="22"/>
        <v>0</v>
      </c>
      <c r="L145" s="197" t="s">
        <v>678</v>
      </c>
      <c r="M145" s="197" t="s">
        <v>448</v>
      </c>
      <c r="N145" s="197" t="s">
        <v>470</v>
      </c>
      <c r="O145" s="198">
        <v>41419</v>
      </c>
      <c r="P145" s="197" t="s">
        <v>531</v>
      </c>
      <c r="Q145" s="199">
        <v>100</v>
      </c>
      <c r="R145" s="197" t="s">
        <v>445</v>
      </c>
      <c r="S145" s="197" t="s">
        <v>532</v>
      </c>
      <c r="T145" s="197" t="s">
        <v>445</v>
      </c>
      <c r="U145" s="197" t="s">
        <v>446</v>
      </c>
      <c r="V145" s="199" t="b">
        <v>1</v>
      </c>
      <c r="W145" s="199">
        <v>1989</v>
      </c>
      <c r="X145" s="199">
        <v>5</v>
      </c>
      <c r="Y145" s="199">
        <v>2</v>
      </c>
      <c r="Z145" s="199">
        <v>4</v>
      </c>
      <c r="AA145" s="197" t="s">
        <v>447</v>
      </c>
      <c r="AB145" s="197" t="s">
        <v>531</v>
      </c>
      <c r="AC145" s="197" t="s">
        <v>533</v>
      </c>
      <c r="AD145" s="199">
        <v>1.5225610000000001</v>
      </c>
      <c r="AE145" s="199">
        <v>2018</v>
      </c>
      <c r="AF145" s="199">
        <v>7.5300000000000006E-2</v>
      </c>
      <c r="AG145" s="199">
        <v>-99</v>
      </c>
      <c r="AH145" s="197" t="s">
        <v>224</v>
      </c>
      <c r="AI145" s="197" t="s">
        <v>449</v>
      </c>
      <c r="AJ145" s="197" t="s">
        <v>224</v>
      </c>
      <c r="AK145" s="197" t="s">
        <v>531</v>
      </c>
      <c r="AL145" s="197" t="s">
        <v>464</v>
      </c>
      <c r="AM145" s="199" t="b">
        <v>0</v>
      </c>
      <c r="AN145" s="199" t="b">
        <v>0</v>
      </c>
      <c r="AO145" s="197" t="s">
        <v>549</v>
      </c>
      <c r="AP145" s="197" t="s">
        <v>550</v>
      </c>
      <c r="AQ145" s="199">
        <v>127.23917598649743</v>
      </c>
      <c r="AR145" s="199" t="b">
        <v>0</v>
      </c>
      <c r="AS145" s="197" t="s">
        <v>534</v>
      </c>
    </row>
    <row r="146" spans="1:45" s="219" customFormat="1" ht="15" customHeight="1" x14ac:dyDescent="0.25">
      <c r="A146" s="245" t="str">
        <f t="shared" si="23"/>
        <v/>
      </c>
      <c r="B146" s="246" t="str">
        <f t="shared" si="16"/>
        <v/>
      </c>
      <c r="C146" s="246" t="str">
        <f>IF(B146="","",VLOOKUP(D146,'Species Data'!B:E,4,FALSE))</f>
        <v/>
      </c>
      <c r="D146" s="246" t="str">
        <f t="shared" ca="1" si="17"/>
        <v/>
      </c>
      <c r="E146" s="246" t="str">
        <f t="shared" ca="1" si="18"/>
        <v/>
      </c>
      <c r="F146" s="246" t="str">
        <f t="shared" ca="1" si="19"/>
        <v/>
      </c>
      <c r="G146" s="246" t="str">
        <f t="shared" ca="1" si="20"/>
        <v/>
      </c>
      <c r="H146" s="204" t="str">
        <f ca="1">IF(G146="","",IF(VLOOKUP(Separator!F146,'Species Data'!D:F,3,FALSE)=0,"X",IF(G146&lt;44.1,2,1)))</f>
        <v/>
      </c>
      <c r="I146" s="204" t="str">
        <f t="shared" ca="1" si="21"/>
        <v/>
      </c>
      <c r="J146" s="247" t="str">
        <f ca="1">IF(I146="","",IF(COUNTIF($D$12:D146,D146)=1,IF(H146=1,I146*H146,IF(H146="X","X",0)),0))</f>
        <v/>
      </c>
      <c r="K146" s="248" t="str">
        <f t="shared" ca="1" si="22"/>
        <v/>
      </c>
      <c r="L146" s="238"/>
      <c r="M146" s="212"/>
      <c r="N146" s="212"/>
      <c r="O146" s="213"/>
      <c r="P146" s="212"/>
      <c r="Q146" s="214"/>
      <c r="R146" s="212"/>
      <c r="S146" s="212"/>
      <c r="T146" s="212"/>
      <c r="U146" s="212"/>
      <c r="V146" s="214"/>
      <c r="W146" s="214"/>
      <c r="X146" s="214"/>
      <c r="Y146" s="214"/>
      <c r="Z146" s="214"/>
      <c r="AA146" s="212"/>
      <c r="AB146" s="212"/>
      <c r="AC146" s="212"/>
      <c r="AD146" s="214">
        <v>5.4219059999999999</v>
      </c>
      <c r="AE146" s="214">
        <v>608</v>
      </c>
      <c r="AF146" s="214">
        <v>7.0400000000000004E-2</v>
      </c>
      <c r="AG146" s="214">
        <v>-99</v>
      </c>
      <c r="AH146" s="212" t="s">
        <v>224</v>
      </c>
      <c r="AI146" s="212" t="s">
        <v>449</v>
      </c>
      <c r="AJ146" s="212" t="s">
        <v>420</v>
      </c>
      <c r="AK146" s="212" t="s">
        <v>531</v>
      </c>
      <c r="AL146" s="212" t="s">
        <v>454</v>
      </c>
      <c r="AM146" s="214" t="b">
        <v>1</v>
      </c>
      <c r="AN146" s="214" t="b">
        <v>0</v>
      </c>
      <c r="AO146" s="212" t="s">
        <v>421</v>
      </c>
      <c r="AP146" s="212" t="s">
        <v>422</v>
      </c>
      <c r="AQ146" s="214">
        <v>120.19158</v>
      </c>
      <c r="AR146" s="214" t="b">
        <v>0</v>
      </c>
      <c r="AS146" s="212" t="s">
        <v>534</v>
      </c>
    </row>
    <row r="147" spans="1:45" s="219" customFormat="1" x14ac:dyDescent="0.25">
      <c r="A147" s="245" t="str">
        <f t="shared" si="23"/>
        <v/>
      </c>
      <c r="B147" s="246" t="str">
        <f t="shared" si="16"/>
        <v/>
      </c>
      <c r="C147" s="246" t="str">
        <f>IF(B147="","",VLOOKUP(D147,'Species Data'!B:E,4,FALSE))</f>
        <v/>
      </c>
      <c r="D147" s="246" t="str">
        <f t="shared" ca="1" si="17"/>
        <v/>
      </c>
      <c r="E147" s="246" t="str">
        <f t="shared" ca="1" si="18"/>
        <v/>
      </c>
      <c r="F147" s="246" t="str">
        <f t="shared" ca="1" si="19"/>
        <v/>
      </c>
      <c r="G147" s="246" t="str">
        <f t="shared" ca="1" si="20"/>
        <v/>
      </c>
      <c r="H147" s="204" t="str">
        <f ca="1">IF(G147="","",IF(VLOOKUP(Separator!F147,'Species Data'!D:F,3,FALSE)=0,"X",IF(G147&lt;44.1,2,1)))</f>
        <v/>
      </c>
      <c r="I147" s="204" t="str">
        <f t="shared" ca="1" si="21"/>
        <v/>
      </c>
      <c r="J147" s="247" t="str">
        <f ca="1">IF(I147="","",IF(COUNTIF($D$12:D147,D147)=1,IF(H147=1,I147*H147,IF(H147="X","X",0)),0))</f>
        <v/>
      </c>
      <c r="K147" s="248" t="str">
        <f t="shared" ca="1" si="22"/>
        <v/>
      </c>
      <c r="L147" s="238"/>
      <c r="M147" s="212"/>
      <c r="N147" s="212"/>
      <c r="O147" s="213"/>
      <c r="P147" s="212"/>
      <c r="Q147" s="214"/>
      <c r="R147" s="212"/>
      <c r="S147" s="212"/>
      <c r="T147" s="212"/>
      <c r="U147" s="212"/>
      <c r="V147" s="214"/>
      <c r="W147" s="214"/>
      <c r="X147" s="214"/>
      <c r="Y147" s="214"/>
      <c r="Z147" s="214"/>
      <c r="AA147" s="212"/>
      <c r="AB147" s="212"/>
      <c r="AC147" s="212"/>
      <c r="AD147" s="214">
        <v>5.4219059999999999</v>
      </c>
      <c r="AE147" s="214">
        <v>620</v>
      </c>
      <c r="AF147" s="214">
        <v>0.13969999999999999</v>
      </c>
      <c r="AG147" s="214">
        <v>-99</v>
      </c>
      <c r="AH147" s="212" t="s">
        <v>224</v>
      </c>
      <c r="AI147" s="212" t="s">
        <v>449</v>
      </c>
      <c r="AJ147" s="212" t="s">
        <v>354</v>
      </c>
      <c r="AK147" s="212" t="s">
        <v>531</v>
      </c>
      <c r="AL147" s="212" t="s">
        <v>398</v>
      </c>
      <c r="AM147" s="214" t="b">
        <v>1</v>
      </c>
      <c r="AN147" s="214" t="b">
        <v>1</v>
      </c>
      <c r="AO147" s="212" t="s">
        <v>355</v>
      </c>
      <c r="AP147" s="212" t="s">
        <v>356</v>
      </c>
      <c r="AQ147" s="214">
        <v>106.16500000000001</v>
      </c>
      <c r="AR147" s="214" t="b">
        <v>0</v>
      </c>
      <c r="AS147" s="212" t="s">
        <v>534</v>
      </c>
    </row>
    <row r="148" spans="1:45" s="219" customFormat="1" ht="15" customHeight="1" x14ac:dyDescent="0.25">
      <c r="A148" s="245" t="str">
        <f t="shared" si="23"/>
        <v/>
      </c>
      <c r="B148" s="246" t="str">
        <f t="shared" si="16"/>
        <v/>
      </c>
      <c r="C148" s="246" t="str">
        <f>IF(B148="","",VLOOKUP(D148,'Species Data'!B:E,4,FALSE))</f>
        <v/>
      </c>
      <c r="D148" s="246" t="str">
        <f t="shared" ca="1" si="17"/>
        <v/>
      </c>
      <c r="E148" s="246" t="str">
        <f t="shared" ca="1" si="18"/>
        <v/>
      </c>
      <c r="F148" s="246" t="str">
        <f t="shared" ca="1" si="19"/>
        <v/>
      </c>
      <c r="G148" s="246" t="str">
        <f t="shared" ca="1" si="20"/>
        <v/>
      </c>
      <c r="H148" s="204" t="str">
        <f ca="1">IF(G148="","",IF(VLOOKUP(Separator!F148,'Species Data'!D:F,3,FALSE)=0,"X",IF(G148&lt;44.1,2,1)))</f>
        <v/>
      </c>
      <c r="I148" s="204" t="str">
        <f t="shared" ca="1" si="21"/>
        <v/>
      </c>
      <c r="J148" s="247" t="str">
        <f ca="1">IF(I148="","",IF(COUNTIF($D$12:D148,D148)=1,IF(H148=1,I148*H148,IF(H148="X","X",0)),0))</f>
        <v/>
      </c>
      <c r="K148" s="248" t="str">
        <f t="shared" ca="1" si="22"/>
        <v/>
      </c>
      <c r="L148" s="238"/>
      <c r="M148" s="212"/>
      <c r="N148" s="212"/>
      <c r="O148" s="213"/>
      <c r="P148" s="212"/>
      <c r="Q148" s="214"/>
      <c r="R148" s="212"/>
      <c r="S148" s="212"/>
      <c r="T148" s="212"/>
      <c r="U148" s="212"/>
      <c r="V148" s="214"/>
      <c r="W148" s="214"/>
      <c r="X148" s="214"/>
      <c r="Y148" s="214"/>
      <c r="Z148" s="214"/>
      <c r="AA148" s="212"/>
      <c r="AB148" s="212"/>
      <c r="AC148" s="212"/>
      <c r="AD148" s="214">
        <v>5.4219059999999999</v>
      </c>
      <c r="AE148" s="214">
        <v>648</v>
      </c>
      <c r="AF148" s="214">
        <v>1.55E-2</v>
      </c>
      <c r="AG148" s="214">
        <v>-99</v>
      </c>
      <c r="AH148" s="212" t="s">
        <v>224</v>
      </c>
      <c r="AI148" s="212" t="s">
        <v>449</v>
      </c>
      <c r="AJ148" s="212" t="s">
        <v>433</v>
      </c>
      <c r="AK148" s="212" t="s">
        <v>531</v>
      </c>
      <c r="AL148" s="212" t="s">
        <v>459</v>
      </c>
      <c r="AM148" s="214" t="b">
        <v>0</v>
      </c>
      <c r="AN148" s="214" t="b">
        <v>1</v>
      </c>
      <c r="AO148" s="212" t="s">
        <v>434</v>
      </c>
      <c r="AP148" s="212" t="s">
        <v>435</v>
      </c>
      <c r="AQ148" s="214">
        <v>106.16500000000001</v>
      </c>
      <c r="AR148" s="214" t="b">
        <v>0</v>
      </c>
      <c r="AS148" s="212" t="s">
        <v>534</v>
      </c>
    </row>
    <row r="149" spans="1:45" s="219" customFormat="1" x14ac:dyDescent="0.25">
      <c r="A149" s="245" t="str">
        <f t="shared" si="23"/>
        <v/>
      </c>
      <c r="B149" s="246" t="str">
        <f t="shared" si="16"/>
        <v/>
      </c>
      <c r="C149" s="246" t="str">
        <f>IF(B149="","",VLOOKUP(D149,'Species Data'!B:E,4,FALSE))</f>
        <v/>
      </c>
      <c r="D149" s="246" t="str">
        <f t="shared" ca="1" si="17"/>
        <v/>
      </c>
      <c r="E149" s="246" t="str">
        <f t="shared" ca="1" si="18"/>
        <v/>
      </c>
      <c r="F149" s="246" t="str">
        <f t="shared" ca="1" si="19"/>
        <v/>
      </c>
      <c r="G149" s="246" t="str">
        <f t="shared" ca="1" si="20"/>
        <v/>
      </c>
      <c r="H149" s="204" t="str">
        <f ca="1">IF(G149="","",IF(VLOOKUP(Separator!F149,'Species Data'!D:F,3,FALSE)=0,"X",IF(G149&lt;44.1,2,1)))</f>
        <v/>
      </c>
      <c r="I149" s="204" t="str">
        <f t="shared" ca="1" si="21"/>
        <v/>
      </c>
      <c r="J149" s="247" t="str">
        <f ca="1">IF(I149="","",IF(COUNTIF($D$12:D149,D149)=1,IF(H149=1,I149*H149,IF(H149="X","X",0)),0))</f>
        <v/>
      </c>
      <c r="K149" s="248" t="str">
        <f t="shared" ca="1" si="22"/>
        <v/>
      </c>
      <c r="L149" s="238"/>
      <c r="M149" s="212"/>
      <c r="N149" s="212"/>
      <c r="O149" s="213"/>
      <c r="P149" s="212"/>
      <c r="Q149" s="214"/>
      <c r="R149" s="212"/>
      <c r="S149" s="212"/>
      <c r="T149" s="212"/>
      <c r="U149" s="212"/>
      <c r="V149" s="214"/>
      <c r="W149" s="214"/>
      <c r="X149" s="214"/>
      <c r="Y149" s="214"/>
      <c r="Z149" s="214"/>
      <c r="AA149" s="212"/>
      <c r="AB149" s="212"/>
      <c r="AC149" s="212"/>
      <c r="AD149" s="214">
        <v>5.4219059999999999</v>
      </c>
      <c r="AE149" s="214">
        <v>671</v>
      </c>
      <c r="AF149" s="214">
        <v>9.5500000000000002E-2</v>
      </c>
      <c r="AG149" s="214">
        <v>-99</v>
      </c>
      <c r="AH149" s="212" t="s">
        <v>224</v>
      </c>
      <c r="AI149" s="212" t="s">
        <v>449</v>
      </c>
      <c r="AJ149" s="212" t="s">
        <v>288</v>
      </c>
      <c r="AK149" s="212" t="s">
        <v>531</v>
      </c>
      <c r="AL149" s="212" t="s">
        <v>382</v>
      </c>
      <c r="AM149" s="214" t="b">
        <v>1</v>
      </c>
      <c r="AN149" s="214" t="b">
        <v>0</v>
      </c>
      <c r="AO149" s="212" t="s">
        <v>289</v>
      </c>
      <c r="AP149" s="212" t="s">
        <v>290</v>
      </c>
      <c r="AQ149" s="214">
        <v>44.095619999999997</v>
      </c>
      <c r="AR149" s="214" t="b">
        <v>0</v>
      </c>
      <c r="AS149" s="212" t="s">
        <v>534</v>
      </c>
    </row>
    <row r="150" spans="1:45" s="219" customFormat="1" x14ac:dyDescent="0.25">
      <c r="A150" s="245" t="str">
        <f t="shared" si="23"/>
        <v/>
      </c>
      <c r="B150" s="246" t="str">
        <f t="shared" si="16"/>
        <v/>
      </c>
      <c r="C150" s="246" t="str">
        <f>IF(B150="","",VLOOKUP(D150,'Species Data'!B:E,4,FALSE))</f>
        <v/>
      </c>
      <c r="D150" s="246" t="str">
        <f t="shared" ca="1" si="17"/>
        <v/>
      </c>
      <c r="E150" s="246" t="str">
        <f t="shared" ca="1" si="18"/>
        <v/>
      </c>
      <c r="F150" s="246" t="str">
        <f t="shared" ca="1" si="19"/>
        <v/>
      </c>
      <c r="G150" s="246" t="str">
        <f t="shared" ca="1" si="20"/>
        <v/>
      </c>
      <c r="H150" s="204" t="str">
        <f ca="1">IF(G150="","",IF(VLOOKUP(Separator!F150,'Species Data'!D:F,3,FALSE)=0,"X",IF(G150&lt;44.1,2,1)))</f>
        <v/>
      </c>
      <c r="I150" s="204" t="str">
        <f t="shared" ca="1" si="21"/>
        <v/>
      </c>
      <c r="J150" s="247" t="str">
        <f ca="1">IF(I150="","",IF(COUNTIF($D$12:D150,D150)=1,IF(H150=1,I150*H150,IF(H150="X","X",0)),0))</f>
        <v/>
      </c>
      <c r="K150" s="248" t="str">
        <f t="shared" ca="1" si="22"/>
        <v/>
      </c>
      <c r="L150" s="238"/>
      <c r="M150" s="212"/>
      <c r="N150" s="212"/>
      <c r="O150" s="213"/>
      <c r="P150" s="212"/>
      <c r="Q150" s="214"/>
      <c r="R150" s="212"/>
      <c r="S150" s="212"/>
      <c r="T150" s="212"/>
      <c r="U150" s="212"/>
      <c r="V150" s="214"/>
      <c r="W150" s="214"/>
      <c r="X150" s="214"/>
      <c r="Y150" s="214"/>
      <c r="Z150" s="214"/>
      <c r="AA150" s="212"/>
      <c r="AB150" s="212"/>
      <c r="AC150" s="212"/>
      <c r="AD150" s="214">
        <v>5.4219059999999999</v>
      </c>
      <c r="AE150" s="214">
        <v>703</v>
      </c>
      <c r="AF150" s="214">
        <v>0.1515</v>
      </c>
      <c r="AG150" s="214">
        <v>-99</v>
      </c>
      <c r="AH150" s="212" t="s">
        <v>224</v>
      </c>
      <c r="AI150" s="212" t="s">
        <v>449</v>
      </c>
      <c r="AJ150" s="212" t="s">
        <v>423</v>
      </c>
      <c r="AK150" s="212" t="s">
        <v>531</v>
      </c>
      <c r="AL150" s="212" t="s">
        <v>455</v>
      </c>
      <c r="AM150" s="214" t="b">
        <v>0</v>
      </c>
      <c r="AN150" s="214" t="b">
        <v>0</v>
      </c>
      <c r="AO150" s="212" t="s">
        <v>424</v>
      </c>
      <c r="AP150" s="212" t="s">
        <v>531</v>
      </c>
      <c r="AQ150" s="214">
        <v>134.21816000000001</v>
      </c>
      <c r="AR150" s="214" t="b">
        <v>0</v>
      </c>
      <c r="AS150" s="212" t="s">
        <v>534</v>
      </c>
    </row>
    <row r="151" spans="1:45" s="219" customFormat="1" x14ac:dyDescent="0.25">
      <c r="A151" s="245" t="str">
        <f t="shared" si="23"/>
        <v/>
      </c>
      <c r="B151" s="246" t="str">
        <f t="shared" si="16"/>
        <v/>
      </c>
      <c r="C151" s="246" t="str">
        <f>IF(B151="","",VLOOKUP(D151,'Species Data'!B:E,4,FALSE))</f>
        <v/>
      </c>
      <c r="D151" s="246" t="str">
        <f t="shared" ca="1" si="17"/>
        <v/>
      </c>
      <c r="E151" s="246" t="str">
        <f t="shared" ca="1" si="18"/>
        <v/>
      </c>
      <c r="F151" s="246" t="str">
        <f t="shared" ca="1" si="19"/>
        <v/>
      </c>
      <c r="G151" s="246" t="str">
        <f t="shared" ca="1" si="20"/>
        <v/>
      </c>
      <c r="H151" s="204" t="str">
        <f ca="1">IF(G151="","",IF(VLOOKUP(Separator!F151,'Species Data'!D:F,3,FALSE)=0,"X",IF(G151&lt;44.1,2,1)))</f>
        <v/>
      </c>
      <c r="I151" s="204" t="str">
        <f t="shared" ca="1" si="21"/>
        <v/>
      </c>
      <c r="J151" s="247" t="str">
        <f ca="1">IF(I151="","",IF(COUNTIF($D$12:D151,D151)=1,IF(H151=1,I151*H151,IF(H151="X","X",0)),0))</f>
        <v/>
      </c>
      <c r="K151" s="248" t="str">
        <f t="shared" ca="1" si="22"/>
        <v/>
      </c>
      <c r="L151" s="238"/>
      <c r="M151" s="212"/>
      <c r="N151" s="212"/>
      <c r="O151" s="213"/>
      <c r="P151" s="212"/>
      <c r="Q151" s="214"/>
      <c r="R151" s="212"/>
      <c r="S151" s="212"/>
      <c r="T151" s="212"/>
      <c r="U151" s="212"/>
      <c r="V151" s="214"/>
      <c r="W151" s="214"/>
      <c r="X151" s="214"/>
      <c r="Y151" s="214"/>
      <c r="Z151" s="214"/>
      <c r="AA151" s="212"/>
      <c r="AB151" s="212"/>
      <c r="AC151" s="212"/>
      <c r="AD151" s="214">
        <v>5.4219059999999999</v>
      </c>
      <c r="AE151" s="214">
        <v>717</v>
      </c>
      <c r="AF151" s="214">
        <v>0.08</v>
      </c>
      <c r="AG151" s="214">
        <v>-99</v>
      </c>
      <c r="AH151" s="212" t="s">
        <v>224</v>
      </c>
      <c r="AI151" s="212" t="s">
        <v>449</v>
      </c>
      <c r="AJ151" s="212" t="s">
        <v>294</v>
      </c>
      <c r="AK151" s="212" t="s">
        <v>531</v>
      </c>
      <c r="AL151" s="212" t="s">
        <v>383</v>
      </c>
      <c r="AM151" s="214" t="b">
        <v>1</v>
      </c>
      <c r="AN151" s="214" t="b">
        <v>1</v>
      </c>
      <c r="AO151" s="212" t="s">
        <v>295</v>
      </c>
      <c r="AP151" s="212" t="s">
        <v>296</v>
      </c>
      <c r="AQ151" s="214">
        <v>92.138419999999996</v>
      </c>
      <c r="AR151" s="214" t="b">
        <v>0</v>
      </c>
      <c r="AS151" s="212" t="s">
        <v>534</v>
      </c>
    </row>
    <row r="152" spans="1:45" s="219" customFormat="1" ht="15" customHeight="1" x14ac:dyDescent="0.25">
      <c r="A152" s="245" t="str">
        <f t="shared" si="23"/>
        <v/>
      </c>
      <c r="B152" s="246" t="str">
        <f t="shared" si="16"/>
        <v/>
      </c>
      <c r="C152" s="246" t="str">
        <f>IF(B152="","",VLOOKUP(D152,'Species Data'!B:E,4,FALSE))</f>
        <v/>
      </c>
      <c r="D152" s="246" t="str">
        <f t="shared" ca="1" si="17"/>
        <v/>
      </c>
      <c r="E152" s="246" t="str">
        <f t="shared" ca="1" si="18"/>
        <v/>
      </c>
      <c r="F152" s="246" t="str">
        <f t="shared" ca="1" si="19"/>
        <v/>
      </c>
      <c r="G152" s="246" t="str">
        <f t="shared" ca="1" si="20"/>
        <v/>
      </c>
      <c r="H152" s="204" t="str">
        <f ca="1">IF(G152="","",IF(VLOOKUP(Separator!F152,'Species Data'!D:F,3,FALSE)=0,"X",IF(G152&lt;44.1,2,1)))</f>
        <v/>
      </c>
      <c r="I152" s="204" t="str">
        <f t="shared" ca="1" si="21"/>
        <v/>
      </c>
      <c r="J152" s="247" t="str">
        <f ca="1">IF(I152="","",IF(COUNTIF($D$12:D152,D152)=1,IF(H152=1,I152*H152,IF(H152="X","X",0)),0))</f>
        <v/>
      </c>
      <c r="K152" s="248" t="str">
        <f t="shared" ca="1" si="22"/>
        <v/>
      </c>
      <c r="L152" s="238"/>
      <c r="M152" s="212"/>
      <c r="N152" s="212"/>
      <c r="O152" s="213"/>
      <c r="P152" s="212"/>
      <c r="Q152" s="214"/>
      <c r="R152" s="212"/>
      <c r="S152" s="212"/>
      <c r="T152" s="212"/>
      <c r="U152" s="212"/>
      <c r="V152" s="214"/>
      <c r="W152" s="214"/>
      <c r="X152" s="214"/>
      <c r="Y152" s="214"/>
      <c r="Z152" s="214"/>
      <c r="AA152" s="212"/>
      <c r="AB152" s="212"/>
      <c r="AC152" s="212"/>
      <c r="AD152" s="214">
        <v>5.4219059999999999</v>
      </c>
      <c r="AE152" s="214">
        <v>981</v>
      </c>
      <c r="AF152" s="214">
        <v>2.7300000000000001E-2</v>
      </c>
      <c r="AG152" s="214">
        <v>-99</v>
      </c>
      <c r="AH152" s="212" t="s">
        <v>224</v>
      </c>
      <c r="AI152" s="212" t="s">
        <v>449</v>
      </c>
      <c r="AJ152" s="212" t="s">
        <v>645</v>
      </c>
      <c r="AK152" s="212" t="s">
        <v>531</v>
      </c>
      <c r="AL152" s="212" t="s">
        <v>531</v>
      </c>
      <c r="AM152" s="214" t="b">
        <v>0</v>
      </c>
      <c r="AN152" s="214" t="b">
        <v>0</v>
      </c>
      <c r="AO152" s="212" t="s">
        <v>646</v>
      </c>
      <c r="AP152" s="212" t="s">
        <v>647</v>
      </c>
      <c r="AQ152" s="214">
        <v>134.21816000000001</v>
      </c>
      <c r="AR152" s="214" t="b">
        <v>0</v>
      </c>
      <c r="AS152" s="212" t="s">
        <v>534</v>
      </c>
    </row>
    <row r="153" spans="1:45" s="219" customFormat="1" x14ac:dyDescent="0.25">
      <c r="A153" s="245" t="str">
        <f t="shared" si="23"/>
        <v/>
      </c>
      <c r="B153" s="246" t="str">
        <f t="shared" si="16"/>
        <v/>
      </c>
      <c r="C153" s="246" t="str">
        <f>IF(B153="","",VLOOKUP(D153,'Species Data'!B:E,4,FALSE))</f>
        <v/>
      </c>
      <c r="D153" s="246" t="str">
        <f t="shared" ca="1" si="17"/>
        <v/>
      </c>
      <c r="E153" s="246" t="str">
        <f t="shared" ca="1" si="18"/>
        <v/>
      </c>
      <c r="F153" s="246" t="str">
        <f t="shared" ca="1" si="19"/>
        <v/>
      </c>
      <c r="G153" s="246" t="str">
        <f t="shared" ca="1" si="20"/>
        <v/>
      </c>
      <c r="H153" s="204" t="str">
        <f ca="1">IF(G153="","",IF(VLOOKUP(Separator!F153,'Species Data'!D:F,3,FALSE)=0,"X",IF(G153&lt;44.1,2,1)))</f>
        <v/>
      </c>
      <c r="I153" s="204" t="str">
        <f t="shared" ca="1" si="21"/>
        <v/>
      </c>
      <c r="J153" s="247" t="str">
        <f ca="1">IF(I153="","",IF(COUNTIF($D$12:D153,D153)=1,IF(H153=1,I153*H153,IF(H153="X","X",0)),0))</f>
        <v/>
      </c>
      <c r="K153" s="248" t="str">
        <f t="shared" ca="1" si="22"/>
        <v/>
      </c>
      <c r="L153" s="238"/>
      <c r="M153" s="212"/>
      <c r="N153" s="212"/>
      <c r="O153" s="213"/>
      <c r="P153" s="212"/>
      <c r="Q153" s="214"/>
      <c r="R153" s="212"/>
      <c r="S153" s="212"/>
      <c r="T153" s="212"/>
      <c r="U153" s="212"/>
      <c r="V153" s="214"/>
      <c r="W153" s="214"/>
      <c r="X153" s="214"/>
      <c r="Y153" s="214"/>
      <c r="Z153" s="214"/>
      <c r="AA153" s="212"/>
      <c r="AB153" s="212"/>
      <c r="AC153" s="212"/>
      <c r="AD153" s="214">
        <v>5.4219059999999999</v>
      </c>
      <c r="AE153" s="214">
        <v>1924</v>
      </c>
      <c r="AF153" s="214">
        <v>1.8284</v>
      </c>
      <c r="AG153" s="214">
        <v>-99</v>
      </c>
      <c r="AH153" s="212" t="s">
        <v>224</v>
      </c>
      <c r="AI153" s="212" t="s">
        <v>449</v>
      </c>
      <c r="AJ153" s="212" t="s">
        <v>224</v>
      </c>
      <c r="AK153" s="212" t="s">
        <v>531</v>
      </c>
      <c r="AL153" s="212" t="s">
        <v>466</v>
      </c>
      <c r="AM153" s="214" t="b">
        <v>0</v>
      </c>
      <c r="AN153" s="214" t="b">
        <v>0</v>
      </c>
      <c r="AO153" s="212" t="s">
        <v>535</v>
      </c>
      <c r="AP153" s="212" t="s">
        <v>536</v>
      </c>
      <c r="AQ153" s="214">
        <v>142.28167999999999</v>
      </c>
      <c r="AR153" s="214" t="b">
        <v>0</v>
      </c>
      <c r="AS153" s="212" t="s">
        <v>534</v>
      </c>
    </row>
    <row r="154" spans="1:45" s="219" customFormat="1" ht="15" customHeight="1" x14ac:dyDescent="0.25">
      <c r="A154" s="245" t="str">
        <f t="shared" si="23"/>
        <v/>
      </c>
      <c r="B154" s="246" t="str">
        <f t="shared" si="16"/>
        <v/>
      </c>
      <c r="C154" s="246" t="str">
        <f>IF(B154="","",VLOOKUP(D154,'Species Data'!B:E,4,FALSE))</f>
        <v/>
      </c>
      <c r="D154" s="246" t="str">
        <f t="shared" ca="1" si="17"/>
        <v/>
      </c>
      <c r="E154" s="246" t="str">
        <f t="shared" ca="1" si="18"/>
        <v/>
      </c>
      <c r="F154" s="246" t="str">
        <f t="shared" ca="1" si="19"/>
        <v/>
      </c>
      <c r="G154" s="246" t="str">
        <f t="shared" ca="1" si="20"/>
        <v/>
      </c>
      <c r="H154" s="204" t="str">
        <f ca="1">IF(G154="","",IF(VLOOKUP(Separator!F154,'Species Data'!D:F,3,FALSE)=0,"X",IF(G154&lt;44.1,2,1)))</f>
        <v/>
      </c>
      <c r="I154" s="204" t="str">
        <f t="shared" ca="1" si="21"/>
        <v/>
      </c>
      <c r="J154" s="247" t="str">
        <f ca="1">IF(I154="","",IF(COUNTIF($D$12:D154,D154)=1,IF(H154=1,I154*H154,IF(H154="X","X",0)),0))</f>
        <v/>
      </c>
      <c r="K154" s="248" t="str">
        <f t="shared" ca="1" si="22"/>
        <v/>
      </c>
      <c r="L154" s="238"/>
      <c r="M154" s="212"/>
      <c r="N154" s="212"/>
      <c r="O154" s="213"/>
      <c r="P154" s="212"/>
      <c r="Q154" s="214"/>
      <c r="R154" s="212"/>
      <c r="S154" s="212"/>
      <c r="T154" s="212"/>
      <c r="U154" s="212"/>
      <c r="V154" s="214"/>
      <c r="W154" s="214"/>
      <c r="X154" s="214"/>
      <c r="Y154" s="214"/>
      <c r="Z154" s="214"/>
      <c r="AA154" s="212"/>
      <c r="AB154" s="212"/>
      <c r="AC154" s="212"/>
      <c r="AD154" s="214">
        <v>5.4219059999999999</v>
      </c>
      <c r="AE154" s="214">
        <v>1929</v>
      </c>
      <c r="AF154" s="214">
        <v>7.51E-2</v>
      </c>
      <c r="AG154" s="214">
        <v>-99</v>
      </c>
      <c r="AH154" s="212" t="s">
        <v>224</v>
      </c>
      <c r="AI154" s="212" t="s">
        <v>449</v>
      </c>
      <c r="AJ154" s="212" t="s">
        <v>224</v>
      </c>
      <c r="AK154" s="212" t="s">
        <v>531</v>
      </c>
      <c r="AL154" s="212" t="s">
        <v>467</v>
      </c>
      <c r="AM154" s="214" t="b">
        <v>0</v>
      </c>
      <c r="AN154" s="214" t="b">
        <v>0</v>
      </c>
      <c r="AO154" s="212" t="s">
        <v>468</v>
      </c>
      <c r="AP154" s="212" t="s">
        <v>469</v>
      </c>
      <c r="AQ154" s="214">
        <v>156.30826000000002</v>
      </c>
      <c r="AR154" s="214" t="b">
        <v>0</v>
      </c>
      <c r="AS154" s="212" t="s">
        <v>534</v>
      </c>
    </row>
    <row r="155" spans="1:45" s="219" customFormat="1" x14ac:dyDescent="0.25">
      <c r="A155" s="245" t="str">
        <f t="shared" si="23"/>
        <v/>
      </c>
      <c r="B155" s="246" t="str">
        <f t="shared" si="16"/>
        <v/>
      </c>
      <c r="C155" s="246" t="str">
        <f>IF(B155="","",VLOOKUP(D155,'Species Data'!B:E,4,FALSE))</f>
        <v/>
      </c>
      <c r="D155" s="246" t="str">
        <f t="shared" ca="1" si="17"/>
        <v/>
      </c>
      <c r="E155" s="246" t="str">
        <f t="shared" ca="1" si="18"/>
        <v/>
      </c>
      <c r="F155" s="246" t="str">
        <f t="shared" ca="1" si="19"/>
        <v/>
      </c>
      <c r="G155" s="246" t="str">
        <f t="shared" ca="1" si="20"/>
        <v/>
      </c>
      <c r="H155" s="204" t="str">
        <f ca="1">IF(G155="","",IF(VLOOKUP(Separator!F155,'Species Data'!D:F,3,FALSE)=0,"X",IF(G155&lt;44.1,2,1)))</f>
        <v/>
      </c>
      <c r="I155" s="204" t="str">
        <f t="shared" ca="1" si="21"/>
        <v/>
      </c>
      <c r="J155" s="247" t="str">
        <f ca="1">IF(I155="","",IF(COUNTIF($D$12:D155,D155)=1,IF(H155=1,I155*H155,IF(H155="X","X",0)),0))</f>
        <v/>
      </c>
      <c r="K155" s="248" t="str">
        <f t="shared" ca="1" si="22"/>
        <v/>
      </c>
      <c r="L155" s="238"/>
      <c r="M155" s="212"/>
      <c r="N155" s="212"/>
      <c r="O155" s="213"/>
      <c r="P155" s="212"/>
      <c r="Q155" s="214"/>
      <c r="R155" s="212"/>
      <c r="S155" s="212"/>
      <c r="T155" s="212"/>
      <c r="U155" s="212"/>
      <c r="V155" s="214"/>
      <c r="W155" s="214"/>
      <c r="X155" s="214"/>
      <c r="Y155" s="214"/>
      <c r="Z155" s="214"/>
      <c r="AA155" s="212"/>
      <c r="AB155" s="212"/>
      <c r="AC155" s="212"/>
      <c r="AD155" s="214">
        <v>5.4219059999999999</v>
      </c>
      <c r="AE155" s="214">
        <v>1999</v>
      </c>
      <c r="AF155" s="214">
        <v>0.66169999999999995</v>
      </c>
      <c r="AG155" s="214">
        <v>-99</v>
      </c>
      <c r="AH155" s="212" t="s">
        <v>224</v>
      </c>
      <c r="AI155" s="212" t="s">
        <v>449</v>
      </c>
      <c r="AJ155" s="212" t="s">
        <v>224</v>
      </c>
      <c r="AK155" s="212" t="s">
        <v>531</v>
      </c>
      <c r="AL155" s="212" t="s">
        <v>540</v>
      </c>
      <c r="AM155" s="214" t="b">
        <v>0</v>
      </c>
      <c r="AN155" s="214" t="b">
        <v>0</v>
      </c>
      <c r="AO155" s="212" t="s">
        <v>541</v>
      </c>
      <c r="AP155" s="212" t="s">
        <v>542</v>
      </c>
      <c r="AQ155" s="214">
        <v>86.175359999999998</v>
      </c>
      <c r="AR155" s="214" t="b">
        <v>0</v>
      </c>
      <c r="AS155" s="212" t="s">
        <v>534</v>
      </c>
    </row>
    <row r="156" spans="1:45" s="219" customFormat="1" x14ac:dyDescent="0.25">
      <c r="A156" s="245" t="str">
        <f t="shared" si="23"/>
        <v/>
      </c>
      <c r="B156" s="246" t="str">
        <f t="shared" si="16"/>
        <v/>
      </c>
      <c r="C156" s="246" t="str">
        <f>IF(B156="","",VLOOKUP(D156,'Species Data'!B:E,4,FALSE))</f>
        <v/>
      </c>
      <c r="D156" s="246" t="str">
        <f t="shared" ca="1" si="17"/>
        <v/>
      </c>
      <c r="E156" s="246" t="str">
        <f t="shared" ca="1" si="18"/>
        <v/>
      </c>
      <c r="F156" s="246" t="str">
        <f t="shared" ca="1" si="19"/>
        <v/>
      </c>
      <c r="G156" s="246" t="str">
        <f t="shared" ca="1" si="20"/>
        <v/>
      </c>
      <c r="H156" s="204" t="str">
        <f ca="1">IF(G156="","",IF(VLOOKUP(Separator!F156,'Species Data'!D:F,3,FALSE)=0,"X",IF(G156&lt;44.1,2,1)))</f>
        <v/>
      </c>
      <c r="I156" s="204" t="str">
        <f t="shared" ca="1" si="21"/>
        <v/>
      </c>
      <c r="J156" s="247" t="str">
        <f ca="1">IF(I156="","",IF(COUNTIF($D$12:D156,D156)=1,IF(H156=1,I156*H156,IF(H156="X","X",0)),0))</f>
        <v/>
      </c>
      <c r="K156" s="248" t="str">
        <f t="shared" ca="1" si="22"/>
        <v/>
      </c>
      <c r="L156" s="238"/>
      <c r="M156" s="212"/>
      <c r="N156" s="212"/>
      <c r="O156" s="213"/>
      <c r="P156" s="212"/>
      <c r="Q156" s="214"/>
      <c r="R156" s="212"/>
      <c r="S156" s="212"/>
      <c r="T156" s="212"/>
      <c r="U156" s="212"/>
      <c r="V156" s="214"/>
      <c r="W156" s="214"/>
      <c r="X156" s="214"/>
      <c r="Y156" s="214"/>
      <c r="Z156" s="214"/>
      <c r="AA156" s="212"/>
      <c r="AB156" s="212"/>
      <c r="AC156" s="212"/>
      <c r="AD156" s="214">
        <v>5.4219059999999999</v>
      </c>
      <c r="AE156" s="214">
        <v>2005</v>
      </c>
      <c r="AF156" s="214">
        <v>2.7837000000000001</v>
      </c>
      <c r="AG156" s="214">
        <v>-99</v>
      </c>
      <c r="AH156" s="212" t="s">
        <v>224</v>
      </c>
      <c r="AI156" s="212" t="s">
        <v>449</v>
      </c>
      <c r="AJ156" s="212" t="s">
        <v>224</v>
      </c>
      <c r="AK156" s="212" t="s">
        <v>531</v>
      </c>
      <c r="AL156" s="212" t="s">
        <v>543</v>
      </c>
      <c r="AM156" s="214" t="b">
        <v>0</v>
      </c>
      <c r="AN156" s="214" t="b">
        <v>0</v>
      </c>
      <c r="AO156" s="212" t="s">
        <v>544</v>
      </c>
      <c r="AP156" s="212" t="s">
        <v>545</v>
      </c>
      <c r="AQ156" s="214">
        <v>100.20194000000001</v>
      </c>
      <c r="AR156" s="214" t="b">
        <v>0</v>
      </c>
      <c r="AS156" s="212" t="s">
        <v>534</v>
      </c>
    </row>
    <row r="157" spans="1:45" s="219" customFormat="1" x14ac:dyDescent="0.25">
      <c r="A157" s="245" t="str">
        <f t="shared" si="23"/>
        <v/>
      </c>
      <c r="B157" s="246" t="str">
        <f t="shared" si="16"/>
        <v/>
      </c>
      <c r="C157" s="246" t="str">
        <f>IF(B157="","",VLOOKUP(D157,'Species Data'!B:E,4,FALSE))</f>
        <v/>
      </c>
      <c r="D157" s="246" t="str">
        <f t="shared" ca="1" si="17"/>
        <v/>
      </c>
      <c r="E157" s="246" t="str">
        <f t="shared" ca="1" si="18"/>
        <v/>
      </c>
      <c r="F157" s="246" t="str">
        <f t="shared" ca="1" si="19"/>
        <v/>
      </c>
      <c r="G157" s="246" t="str">
        <f t="shared" ca="1" si="20"/>
        <v/>
      </c>
      <c r="H157" s="204" t="str">
        <f ca="1">IF(G157="","",IF(VLOOKUP(Separator!F157,'Species Data'!D:F,3,FALSE)=0,"X",IF(G157&lt;44.1,2,1)))</f>
        <v/>
      </c>
      <c r="I157" s="204" t="str">
        <f t="shared" ca="1" si="21"/>
        <v/>
      </c>
      <c r="J157" s="247" t="str">
        <f ca="1">IF(I157="","",IF(COUNTIF($D$12:D157,D157)=1,IF(H157=1,I157*H157,IF(H157="X","X",0)),0))</f>
        <v/>
      </c>
      <c r="K157" s="248" t="str">
        <f t="shared" ca="1" si="22"/>
        <v/>
      </c>
      <c r="L157" s="238"/>
      <c r="M157" s="212"/>
      <c r="N157" s="212"/>
      <c r="O157" s="213"/>
      <c r="P157" s="212"/>
      <c r="Q157" s="214"/>
      <c r="R157" s="212"/>
      <c r="S157" s="212"/>
      <c r="T157" s="212"/>
      <c r="U157" s="212"/>
      <c r="V157" s="214"/>
      <c r="W157" s="214"/>
      <c r="X157" s="214"/>
      <c r="Y157" s="214"/>
      <c r="Z157" s="214"/>
      <c r="AA157" s="212"/>
      <c r="AB157" s="212"/>
      <c r="AC157" s="212"/>
      <c r="AD157" s="214">
        <v>5.4219059999999999</v>
      </c>
      <c r="AE157" s="214">
        <v>2011</v>
      </c>
      <c r="AF157" s="214">
        <v>3.1244000000000001</v>
      </c>
      <c r="AG157" s="214">
        <v>-99</v>
      </c>
      <c r="AH157" s="212" t="s">
        <v>224</v>
      </c>
      <c r="AI157" s="212" t="s">
        <v>449</v>
      </c>
      <c r="AJ157" s="212" t="s">
        <v>224</v>
      </c>
      <c r="AK157" s="212" t="s">
        <v>531</v>
      </c>
      <c r="AL157" s="212" t="s">
        <v>546</v>
      </c>
      <c r="AM157" s="214" t="b">
        <v>0</v>
      </c>
      <c r="AN157" s="214" t="b">
        <v>0</v>
      </c>
      <c r="AO157" s="212" t="s">
        <v>547</v>
      </c>
      <c r="AP157" s="212" t="s">
        <v>548</v>
      </c>
      <c r="AQ157" s="214">
        <v>113.21160686946486</v>
      </c>
      <c r="AR157" s="214" t="b">
        <v>0</v>
      </c>
      <c r="AS157" s="212" t="s">
        <v>534</v>
      </c>
    </row>
    <row r="158" spans="1:45" s="219" customFormat="1" x14ac:dyDescent="0.25">
      <c r="A158" s="245" t="str">
        <f t="shared" si="23"/>
        <v/>
      </c>
      <c r="B158" s="246" t="str">
        <f t="shared" si="16"/>
        <v/>
      </c>
      <c r="C158" s="246" t="str">
        <f>IF(B158="","",VLOOKUP(D158,'Species Data'!B:E,4,FALSE))</f>
        <v/>
      </c>
      <c r="D158" s="246" t="str">
        <f t="shared" ca="1" si="17"/>
        <v/>
      </c>
      <c r="E158" s="246" t="str">
        <f t="shared" ca="1" si="18"/>
        <v/>
      </c>
      <c r="F158" s="246" t="str">
        <f t="shared" ca="1" si="19"/>
        <v/>
      </c>
      <c r="G158" s="246" t="str">
        <f t="shared" ca="1" si="20"/>
        <v/>
      </c>
      <c r="H158" s="204" t="str">
        <f ca="1">IF(G158="","",IF(VLOOKUP(Separator!F158,'Species Data'!D:F,3,FALSE)=0,"X",IF(G158&lt;44.1,2,1)))</f>
        <v/>
      </c>
      <c r="I158" s="204" t="str">
        <f t="shared" ca="1" si="21"/>
        <v/>
      </c>
      <c r="J158" s="247" t="str">
        <f ca="1">IF(I158="","",IF(COUNTIF($D$12:D158,D158)=1,IF(H158=1,I158*H158,IF(H158="X","X",0)),0))</f>
        <v/>
      </c>
      <c r="K158" s="248" t="str">
        <f t="shared" ca="1" si="22"/>
        <v/>
      </c>
      <c r="L158" s="238"/>
      <c r="M158" s="212"/>
      <c r="N158" s="212"/>
      <c r="O158" s="213"/>
      <c r="P158" s="212"/>
      <c r="Q158" s="214"/>
      <c r="R158" s="212"/>
      <c r="S158" s="212"/>
      <c r="T158" s="212"/>
      <c r="U158" s="212"/>
      <c r="V158" s="214"/>
      <c r="W158" s="214"/>
      <c r="X158" s="214"/>
      <c r="Y158" s="214"/>
      <c r="Z158" s="214"/>
      <c r="AA158" s="212"/>
      <c r="AB158" s="212"/>
      <c r="AC158" s="212"/>
      <c r="AD158" s="214">
        <v>5.4219059999999999</v>
      </c>
      <c r="AE158" s="214">
        <v>2018</v>
      </c>
      <c r="AF158" s="214">
        <v>2.7101000000000002</v>
      </c>
      <c r="AG158" s="214">
        <v>-99</v>
      </c>
      <c r="AH158" s="212" t="s">
        <v>224</v>
      </c>
      <c r="AI158" s="212" t="s">
        <v>449</v>
      </c>
      <c r="AJ158" s="212" t="s">
        <v>224</v>
      </c>
      <c r="AK158" s="212" t="s">
        <v>531</v>
      </c>
      <c r="AL158" s="212" t="s">
        <v>464</v>
      </c>
      <c r="AM158" s="214" t="b">
        <v>0</v>
      </c>
      <c r="AN158" s="214" t="b">
        <v>0</v>
      </c>
      <c r="AO158" s="212" t="s">
        <v>549</v>
      </c>
      <c r="AP158" s="212" t="s">
        <v>550</v>
      </c>
      <c r="AQ158" s="214">
        <v>127.23917598649743</v>
      </c>
      <c r="AR158" s="214" t="b">
        <v>0</v>
      </c>
      <c r="AS158" s="212" t="s">
        <v>534</v>
      </c>
    </row>
    <row r="159" spans="1:45" s="219" customFormat="1" x14ac:dyDescent="0.25">
      <c r="A159" s="245" t="str">
        <f t="shared" si="23"/>
        <v/>
      </c>
      <c r="B159" s="246" t="str">
        <f t="shared" si="16"/>
        <v/>
      </c>
      <c r="C159" s="246" t="str">
        <f>IF(B159="","",VLOOKUP(D159,'Species Data'!B:E,4,FALSE))</f>
        <v/>
      </c>
      <c r="D159" s="246" t="str">
        <f t="shared" ca="1" si="17"/>
        <v/>
      </c>
      <c r="E159" s="246" t="str">
        <f t="shared" ca="1" si="18"/>
        <v/>
      </c>
      <c r="F159" s="246" t="str">
        <f t="shared" ca="1" si="19"/>
        <v/>
      </c>
      <c r="G159" s="246" t="str">
        <f t="shared" ca="1" si="20"/>
        <v/>
      </c>
      <c r="H159" s="204" t="str">
        <f ca="1">IF(G159="","",IF(VLOOKUP(Separator!F159,'Species Data'!D:F,3,FALSE)=0,"X",IF(G159&lt;44.1,2,1)))</f>
        <v/>
      </c>
      <c r="I159" s="204" t="str">
        <f t="shared" ca="1" si="21"/>
        <v/>
      </c>
      <c r="J159" s="247" t="str">
        <f ca="1">IF(I159="","",IF(COUNTIF($D$12:D159,D159)=1,IF(H159=1,I159*H159,IF(H159="X","X",0)),0))</f>
        <v/>
      </c>
      <c r="K159" s="248" t="str">
        <f t="shared" ca="1" si="22"/>
        <v/>
      </c>
      <c r="L159" s="238"/>
      <c r="M159" s="212"/>
      <c r="N159" s="212"/>
      <c r="O159" s="213"/>
      <c r="P159" s="212"/>
      <c r="Q159" s="214"/>
      <c r="R159" s="212"/>
      <c r="S159" s="212"/>
      <c r="T159" s="212"/>
      <c r="U159" s="212"/>
      <c r="V159" s="214"/>
      <c r="W159" s="214"/>
      <c r="X159" s="214"/>
      <c r="Y159" s="214"/>
      <c r="Z159" s="214"/>
      <c r="AA159" s="212"/>
      <c r="AB159" s="212"/>
      <c r="AC159" s="212"/>
      <c r="AD159" s="214">
        <v>2.6466440000000002</v>
      </c>
      <c r="AE159" s="214">
        <v>25</v>
      </c>
      <c r="AF159" s="214">
        <v>0.2233</v>
      </c>
      <c r="AG159" s="214">
        <v>-99</v>
      </c>
      <c r="AH159" s="212" t="s">
        <v>224</v>
      </c>
      <c r="AI159" s="212" t="s">
        <v>449</v>
      </c>
      <c r="AJ159" s="212" t="s">
        <v>627</v>
      </c>
      <c r="AK159" s="212" t="s">
        <v>531</v>
      </c>
      <c r="AL159" s="212" t="s">
        <v>628</v>
      </c>
      <c r="AM159" s="214" t="b">
        <v>1</v>
      </c>
      <c r="AN159" s="214" t="b">
        <v>0</v>
      </c>
      <c r="AO159" s="212" t="s">
        <v>629</v>
      </c>
      <c r="AP159" s="212" t="s">
        <v>630</v>
      </c>
      <c r="AQ159" s="214">
        <v>120.19158</v>
      </c>
      <c r="AR159" s="214" t="b">
        <v>0</v>
      </c>
      <c r="AS159" s="212" t="s">
        <v>534</v>
      </c>
    </row>
    <row r="160" spans="1:45" s="219" customFormat="1" x14ac:dyDescent="0.25">
      <c r="A160" s="245" t="str">
        <f t="shared" si="23"/>
        <v/>
      </c>
      <c r="B160" s="246" t="str">
        <f t="shared" si="16"/>
        <v/>
      </c>
      <c r="C160" s="246" t="str">
        <f>IF(B160="","",VLOOKUP(D160,'Species Data'!B:E,4,FALSE))</f>
        <v/>
      </c>
      <c r="D160" s="246" t="str">
        <f t="shared" ca="1" si="17"/>
        <v/>
      </c>
      <c r="E160" s="246" t="str">
        <f t="shared" ca="1" si="18"/>
        <v/>
      </c>
      <c r="F160" s="246" t="str">
        <f t="shared" ca="1" si="19"/>
        <v/>
      </c>
      <c r="G160" s="246" t="str">
        <f t="shared" ca="1" si="20"/>
        <v/>
      </c>
      <c r="H160" s="204" t="str">
        <f ca="1">IF(G160="","",IF(VLOOKUP(Separator!F160,'Species Data'!D:F,3,FALSE)=0,"X",IF(G160&lt;44.1,2,1)))</f>
        <v/>
      </c>
      <c r="I160" s="204" t="str">
        <f t="shared" ca="1" si="21"/>
        <v/>
      </c>
      <c r="J160" s="247" t="str">
        <f ca="1">IF(I160="","",IF(COUNTIF($D$12:D160,D160)=1,IF(H160=1,I160*H160,IF(H160="X","X",0)),0))</f>
        <v/>
      </c>
      <c r="K160" s="248" t="str">
        <f t="shared" ca="1" si="22"/>
        <v/>
      </c>
      <c r="L160" s="238"/>
      <c r="M160" s="212"/>
      <c r="N160" s="212"/>
      <c r="O160" s="213"/>
      <c r="P160" s="212"/>
      <c r="Q160" s="214"/>
      <c r="R160" s="212"/>
      <c r="S160" s="212"/>
      <c r="T160" s="212"/>
      <c r="U160" s="212"/>
      <c r="V160" s="214"/>
      <c r="W160" s="214"/>
      <c r="X160" s="214"/>
      <c r="Y160" s="214"/>
      <c r="Z160" s="214"/>
      <c r="AA160" s="212"/>
      <c r="AB160" s="212"/>
      <c r="AC160" s="212"/>
      <c r="AD160" s="214">
        <v>2.6466440000000002</v>
      </c>
      <c r="AE160" s="214">
        <v>30</v>
      </c>
      <c r="AF160" s="214">
        <v>0.32029999999999997</v>
      </c>
      <c r="AG160" s="214">
        <v>-99</v>
      </c>
      <c r="AH160" s="212" t="s">
        <v>224</v>
      </c>
      <c r="AI160" s="212" t="s">
        <v>449</v>
      </c>
      <c r="AJ160" s="212" t="s">
        <v>359</v>
      </c>
      <c r="AK160" s="212" t="s">
        <v>531</v>
      </c>
      <c r="AL160" s="212" t="s">
        <v>531</v>
      </c>
      <c r="AM160" s="214" t="b">
        <v>1</v>
      </c>
      <c r="AN160" s="214" t="b">
        <v>0</v>
      </c>
      <c r="AO160" s="212" t="s">
        <v>360</v>
      </c>
      <c r="AP160" s="212" t="s">
        <v>361</v>
      </c>
      <c r="AQ160" s="214">
        <v>120.19158</v>
      </c>
      <c r="AR160" s="214" t="b">
        <v>0</v>
      </c>
      <c r="AS160" s="212" t="s">
        <v>534</v>
      </c>
    </row>
    <row r="161" spans="1:45" s="219" customFormat="1" x14ac:dyDescent="0.25">
      <c r="A161" s="245" t="str">
        <f t="shared" si="23"/>
        <v/>
      </c>
      <c r="B161" s="246" t="str">
        <f t="shared" si="16"/>
        <v/>
      </c>
      <c r="C161" s="246" t="str">
        <f>IF(B161="","",VLOOKUP(D161,'Species Data'!B:E,4,FALSE))</f>
        <v/>
      </c>
      <c r="D161" s="246" t="str">
        <f t="shared" ca="1" si="17"/>
        <v/>
      </c>
      <c r="E161" s="246" t="str">
        <f t="shared" ca="1" si="18"/>
        <v/>
      </c>
      <c r="F161" s="246" t="str">
        <f t="shared" ca="1" si="19"/>
        <v/>
      </c>
      <c r="G161" s="246" t="str">
        <f t="shared" ca="1" si="20"/>
        <v/>
      </c>
      <c r="H161" s="204" t="str">
        <f ca="1">IF(G161="","",IF(VLOOKUP(Separator!F161,'Species Data'!D:F,3,FALSE)=0,"X",IF(G161&lt;44.1,2,1)))</f>
        <v/>
      </c>
      <c r="I161" s="204" t="str">
        <f t="shared" ca="1" si="21"/>
        <v/>
      </c>
      <c r="J161" s="247" t="str">
        <f ca="1">IF(I161="","",IF(COUNTIF($D$12:D161,D161)=1,IF(H161=1,I161*H161,IF(H161="X","X",0)),0))</f>
        <v/>
      </c>
      <c r="K161" s="248" t="str">
        <f t="shared" ca="1" si="22"/>
        <v/>
      </c>
      <c r="L161" s="238"/>
      <c r="M161" s="212"/>
      <c r="N161" s="212"/>
      <c r="O161" s="213"/>
      <c r="P161" s="212"/>
      <c r="Q161" s="214"/>
      <c r="R161" s="212"/>
      <c r="S161" s="212"/>
      <c r="T161" s="212"/>
      <c r="U161" s="212"/>
      <c r="V161" s="214"/>
      <c r="W161" s="214"/>
      <c r="X161" s="214"/>
      <c r="Y161" s="214"/>
      <c r="Z161" s="214"/>
      <c r="AA161" s="212"/>
      <c r="AB161" s="212"/>
      <c r="AC161" s="212"/>
      <c r="AD161" s="214">
        <v>2.6466440000000002</v>
      </c>
      <c r="AE161" s="214">
        <v>36</v>
      </c>
      <c r="AF161" s="214">
        <v>0.15440000000000001</v>
      </c>
      <c r="AG161" s="214">
        <v>-99</v>
      </c>
      <c r="AH161" s="212" t="s">
        <v>224</v>
      </c>
      <c r="AI161" s="212" t="s">
        <v>449</v>
      </c>
      <c r="AJ161" s="212" t="s">
        <v>631</v>
      </c>
      <c r="AK161" s="212" t="s">
        <v>531</v>
      </c>
      <c r="AL161" s="212" t="s">
        <v>632</v>
      </c>
      <c r="AM161" s="214" t="b">
        <v>0</v>
      </c>
      <c r="AN161" s="214" t="b">
        <v>0</v>
      </c>
      <c r="AO161" s="212" t="s">
        <v>633</v>
      </c>
      <c r="AP161" s="212" t="s">
        <v>531</v>
      </c>
      <c r="AQ161" s="214">
        <v>134.21816000000001</v>
      </c>
      <c r="AR161" s="214" t="b">
        <v>0</v>
      </c>
      <c r="AS161" s="212" t="s">
        <v>534</v>
      </c>
    </row>
    <row r="162" spans="1:45" s="219" customFormat="1" x14ac:dyDescent="0.25">
      <c r="A162" s="245" t="str">
        <f t="shared" si="23"/>
        <v/>
      </c>
      <c r="B162" s="246" t="str">
        <f t="shared" si="16"/>
        <v/>
      </c>
      <c r="C162" s="246" t="str">
        <f>IF(B162="","",VLOOKUP(D162,'Species Data'!B:E,4,FALSE))</f>
        <v/>
      </c>
      <c r="D162" s="246" t="str">
        <f t="shared" ca="1" si="17"/>
        <v/>
      </c>
      <c r="E162" s="246" t="str">
        <f t="shared" ca="1" si="18"/>
        <v/>
      </c>
      <c r="F162" s="246" t="str">
        <f t="shared" ca="1" si="19"/>
        <v/>
      </c>
      <c r="G162" s="246" t="str">
        <f t="shared" ca="1" si="20"/>
        <v/>
      </c>
      <c r="H162" s="204" t="str">
        <f ca="1">IF(G162="","",IF(VLOOKUP(Separator!F162,'Species Data'!D:F,3,FALSE)=0,"X",IF(G162&lt;44.1,2,1)))</f>
        <v/>
      </c>
      <c r="I162" s="204" t="str">
        <f t="shared" ca="1" si="21"/>
        <v/>
      </c>
      <c r="J162" s="247" t="str">
        <f ca="1">IF(I162="","",IF(COUNTIF($D$12:D162,D162)=1,IF(H162=1,I162*H162,IF(H162="X","X",0)),0))</f>
        <v/>
      </c>
      <c r="K162" s="248" t="str">
        <f t="shared" ca="1" si="22"/>
        <v/>
      </c>
      <c r="L162" s="238"/>
      <c r="M162" s="212"/>
      <c r="N162" s="212"/>
      <c r="O162" s="213"/>
      <c r="P162" s="212"/>
      <c r="Q162" s="214"/>
      <c r="R162" s="212"/>
      <c r="S162" s="212"/>
      <c r="T162" s="212"/>
      <c r="U162" s="212"/>
      <c r="V162" s="214"/>
      <c r="W162" s="214"/>
      <c r="X162" s="214"/>
      <c r="Y162" s="214"/>
      <c r="Z162" s="214"/>
      <c r="AA162" s="212"/>
      <c r="AB162" s="212"/>
      <c r="AC162" s="212"/>
      <c r="AD162" s="214">
        <v>2.6466440000000002</v>
      </c>
      <c r="AE162" s="214">
        <v>44</v>
      </c>
      <c r="AF162" s="214">
        <v>0.23250000000000001</v>
      </c>
      <c r="AG162" s="214">
        <v>-99</v>
      </c>
      <c r="AH162" s="212" t="s">
        <v>224</v>
      </c>
      <c r="AI162" s="212" t="s">
        <v>449</v>
      </c>
      <c r="AJ162" s="212" t="s">
        <v>400</v>
      </c>
      <c r="AK162" s="212" t="s">
        <v>531</v>
      </c>
      <c r="AL162" s="212" t="s">
        <v>401</v>
      </c>
      <c r="AM162" s="214" t="b">
        <v>1</v>
      </c>
      <c r="AN162" s="214" t="b">
        <v>0</v>
      </c>
      <c r="AO162" s="212" t="s">
        <v>402</v>
      </c>
      <c r="AP162" s="212" t="s">
        <v>403</v>
      </c>
      <c r="AQ162" s="214">
        <v>120.19158</v>
      </c>
      <c r="AR162" s="214" t="b">
        <v>0</v>
      </c>
      <c r="AS162" s="212" t="s">
        <v>534</v>
      </c>
    </row>
    <row r="163" spans="1:45" s="219" customFormat="1" x14ac:dyDescent="0.25">
      <c r="A163" s="245" t="str">
        <f t="shared" si="23"/>
        <v/>
      </c>
      <c r="B163" s="246" t="str">
        <f t="shared" si="16"/>
        <v/>
      </c>
      <c r="C163" s="246" t="str">
        <f>IF(B163="","",VLOOKUP(D163,'Species Data'!B:E,4,FALSE))</f>
        <v/>
      </c>
      <c r="D163" s="246" t="str">
        <f t="shared" ca="1" si="17"/>
        <v/>
      </c>
      <c r="E163" s="246" t="str">
        <f t="shared" ca="1" si="18"/>
        <v/>
      </c>
      <c r="F163" s="246" t="str">
        <f t="shared" ca="1" si="19"/>
        <v/>
      </c>
      <c r="G163" s="246" t="str">
        <f t="shared" ca="1" si="20"/>
        <v/>
      </c>
      <c r="H163" s="204" t="str">
        <f ca="1">IF(G163="","",IF(VLOOKUP(Separator!F163,'Species Data'!D:F,3,FALSE)=0,"X",IF(G163&lt;44.1,2,1)))</f>
        <v/>
      </c>
      <c r="I163" s="204" t="str">
        <f t="shared" ca="1" si="21"/>
        <v/>
      </c>
      <c r="J163" s="247" t="str">
        <f ca="1">IF(I163="","",IF(COUNTIF($D$12:D163,D163)=1,IF(H163=1,I163*H163,IF(H163="X","X",0)),0))</f>
        <v/>
      </c>
      <c r="K163" s="248" t="str">
        <f t="shared" ca="1" si="22"/>
        <v/>
      </c>
      <c r="L163" s="238"/>
      <c r="M163" s="212"/>
      <c r="N163" s="212"/>
      <c r="O163" s="213"/>
      <c r="P163" s="212"/>
      <c r="Q163" s="214"/>
      <c r="R163" s="212"/>
      <c r="S163" s="212"/>
      <c r="T163" s="212"/>
      <c r="U163" s="212"/>
      <c r="V163" s="214"/>
      <c r="W163" s="214"/>
      <c r="X163" s="214"/>
      <c r="Y163" s="214"/>
      <c r="Z163" s="214"/>
      <c r="AA163" s="212"/>
      <c r="AB163" s="212"/>
      <c r="AC163" s="212"/>
      <c r="AD163" s="214">
        <v>2.6466440000000002</v>
      </c>
      <c r="AE163" s="214">
        <v>51</v>
      </c>
      <c r="AF163" s="214">
        <v>0.21329999999999999</v>
      </c>
      <c r="AG163" s="214">
        <v>-99</v>
      </c>
      <c r="AH163" s="212" t="s">
        <v>224</v>
      </c>
      <c r="AI163" s="212" t="s">
        <v>449</v>
      </c>
      <c r="AJ163" s="212" t="s">
        <v>634</v>
      </c>
      <c r="AK163" s="212" t="s">
        <v>531</v>
      </c>
      <c r="AL163" s="212" t="s">
        <v>635</v>
      </c>
      <c r="AM163" s="214" t="b">
        <v>1</v>
      </c>
      <c r="AN163" s="214" t="b">
        <v>0</v>
      </c>
      <c r="AO163" s="212" t="s">
        <v>636</v>
      </c>
      <c r="AP163" s="212" t="s">
        <v>637</v>
      </c>
      <c r="AQ163" s="214">
        <v>134.21816000000001</v>
      </c>
      <c r="AR163" s="214" t="b">
        <v>0</v>
      </c>
      <c r="AS163" s="212" t="s">
        <v>534</v>
      </c>
    </row>
    <row r="164" spans="1:45" s="219" customFormat="1" x14ac:dyDescent="0.25">
      <c r="A164" s="245" t="str">
        <f t="shared" si="23"/>
        <v/>
      </c>
      <c r="B164" s="246" t="str">
        <f t="shared" si="16"/>
        <v/>
      </c>
      <c r="C164" s="246" t="str">
        <f>IF(B164="","",VLOOKUP(D164,'Species Data'!B:E,4,FALSE))</f>
        <v/>
      </c>
      <c r="D164" s="246" t="str">
        <f t="shared" ca="1" si="17"/>
        <v/>
      </c>
      <c r="E164" s="246" t="str">
        <f t="shared" ca="1" si="18"/>
        <v/>
      </c>
      <c r="F164" s="246" t="str">
        <f t="shared" ca="1" si="19"/>
        <v/>
      </c>
      <c r="G164" s="246" t="str">
        <f t="shared" ca="1" si="20"/>
        <v/>
      </c>
      <c r="H164" s="204" t="str">
        <f ca="1">IF(G164="","",IF(VLOOKUP(Separator!F164,'Species Data'!D:F,3,FALSE)=0,"X",IF(G164&lt;44.1,2,1)))</f>
        <v/>
      </c>
      <c r="I164" s="204" t="str">
        <f t="shared" ca="1" si="21"/>
        <v/>
      </c>
      <c r="J164" s="247" t="str">
        <f ca="1">IF(I164="","",IF(COUNTIF($D$12:D164,D164)=1,IF(H164=1,I164*H164,IF(H164="X","X",0)),0))</f>
        <v/>
      </c>
      <c r="K164" s="248" t="str">
        <f t="shared" ca="1" si="22"/>
        <v/>
      </c>
      <c r="L164" s="238"/>
      <c r="M164" s="212"/>
      <c r="N164" s="212"/>
      <c r="O164" s="213"/>
      <c r="P164" s="212"/>
      <c r="Q164" s="214"/>
      <c r="R164" s="212"/>
      <c r="S164" s="212"/>
      <c r="T164" s="212"/>
      <c r="U164" s="212"/>
      <c r="V164" s="214"/>
      <c r="W164" s="214"/>
      <c r="X164" s="214"/>
      <c r="Y164" s="214"/>
      <c r="Z164" s="214"/>
      <c r="AA164" s="212"/>
      <c r="AB164" s="212"/>
      <c r="AC164" s="212"/>
      <c r="AD164" s="214">
        <v>2.6466440000000002</v>
      </c>
      <c r="AE164" s="214">
        <v>59</v>
      </c>
      <c r="AF164" s="214">
        <v>0.2261</v>
      </c>
      <c r="AG164" s="214">
        <v>-99</v>
      </c>
      <c r="AH164" s="212" t="s">
        <v>224</v>
      </c>
      <c r="AI164" s="212" t="s">
        <v>449</v>
      </c>
      <c r="AJ164" s="212" t="s">
        <v>638</v>
      </c>
      <c r="AK164" s="212" t="s">
        <v>531</v>
      </c>
      <c r="AL164" s="212" t="s">
        <v>639</v>
      </c>
      <c r="AM164" s="214" t="b">
        <v>1</v>
      </c>
      <c r="AN164" s="214" t="b">
        <v>0</v>
      </c>
      <c r="AO164" s="212" t="s">
        <v>640</v>
      </c>
      <c r="AP164" s="212" t="s">
        <v>641</v>
      </c>
      <c r="AQ164" s="214">
        <v>134.21816000000001</v>
      </c>
      <c r="AR164" s="214" t="b">
        <v>0</v>
      </c>
      <c r="AS164" s="212" t="s">
        <v>534</v>
      </c>
    </row>
    <row r="165" spans="1:45" s="219" customFormat="1" x14ac:dyDescent="0.25">
      <c r="A165" s="245" t="str">
        <f t="shared" si="23"/>
        <v/>
      </c>
      <c r="B165" s="246" t="str">
        <f t="shared" si="16"/>
        <v/>
      </c>
      <c r="C165" s="246" t="str">
        <f>IF(B165="","",VLOOKUP(D165,'Species Data'!B:E,4,FALSE))</f>
        <v/>
      </c>
      <c r="D165" s="246" t="str">
        <f t="shared" ca="1" si="17"/>
        <v/>
      </c>
      <c r="E165" s="246" t="str">
        <f t="shared" ca="1" si="18"/>
        <v/>
      </c>
      <c r="F165" s="246" t="str">
        <f t="shared" ca="1" si="19"/>
        <v/>
      </c>
      <c r="G165" s="246" t="str">
        <f t="shared" ca="1" si="20"/>
        <v/>
      </c>
      <c r="H165" s="204" t="str">
        <f ca="1">IF(G165="","",IF(VLOOKUP(Separator!F165,'Species Data'!D:F,3,FALSE)=0,"X",IF(G165&lt;44.1,2,1)))</f>
        <v/>
      </c>
      <c r="I165" s="204" t="str">
        <f t="shared" ca="1" si="21"/>
        <v/>
      </c>
      <c r="J165" s="247" t="str">
        <f ca="1">IF(I165="","",IF(COUNTIF($D$12:D165,D165)=1,IF(H165=1,I165*H165,IF(H165="X","X",0)),0))</f>
        <v/>
      </c>
      <c r="K165" s="248" t="str">
        <f t="shared" ca="1" si="22"/>
        <v/>
      </c>
      <c r="L165" s="238"/>
      <c r="M165" s="212"/>
      <c r="N165" s="212"/>
      <c r="O165" s="213"/>
      <c r="P165" s="212"/>
      <c r="Q165" s="214"/>
      <c r="R165" s="212"/>
      <c r="S165" s="212"/>
      <c r="T165" s="212"/>
      <c r="U165" s="212"/>
      <c r="V165" s="214"/>
      <c r="W165" s="214"/>
      <c r="X165" s="214"/>
      <c r="Y165" s="214"/>
      <c r="Z165" s="214"/>
      <c r="AA165" s="212"/>
      <c r="AB165" s="212"/>
      <c r="AC165" s="212"/>
      <c r="AD165" s="214">
        <v>2.6466440000000002</v>
      </c>
      <c r="AE165" s="214">
        <v>80</v>
      </c>
      <c r="AF165" s="214">
        <v>0.2072</v>
      </c>
      <c r="AG165" s="214">
        <v>-99</v>
      </c>
      <c r="AH165" s="212" t="s">
        <v>224</v>
      </c>
      <c r="AI165" s="212" t="s">
        <v>449</v>
      </c>
      <c r="AJ165" s="212" t="s">
        <v>408</v>
      </c>
      <c r="AK165" s="212" t="s">
        <v>531</v>
      </c>
      <c r="AL165" s="212" t="s">
        <v>450</v>
      </c>
      <c r="AM165" s="214" t="b">
        <v>1</v>
      </c>
      <c r="AN165" s="214" t="b">
        <v>0</v>
      </c>
      <c r="AO165" s="212" t="s">
        <v>409</v>
      </c>
      <c r="AP165" s="212" t="s">
        <v>410</v>
      </c>
      <c r="AQ165" s="214">
        <v>120.19158</v>
      </c>
      <c r="AR165" s="214" t="b">
        <v>0</v>
      </c>
      <c r="AS165" s="212" t="s">
        <v>534</v>
      </c>
    </row>
    <row r="166" spans="1:45" s="219" customFormat="1" ht="13.5" customHeight="1" x14ac:dyDescent="0.25">
      <c r="A166" s="245" t="str">
        <f t="shared" si="23"/>
        <v/>
      </c>
      <c r="B166" s="246" t="str">
        <f t="shared" si="16"/>
        <v/>
      </c>
      <c r="C166" s="246" t="str">
        <f>IF(B166="","",VLOOKUP(D166,'Species Data'!B:E,4,FALSE))</f>
        <v/>
      </c>
      <c r="D166" s="246" t="str">
        <f t="shared" ca="1" si="17"/>
        <v/>
      </c>
      <c r="E166" s="246" t="str">
        <f t="shared" ca="1" si="18"/>
        <v/>
      </c>
      <c r="F166" s="246" t="str">
        <f t="shared" ca="1" si="19"/>
        <v/>
      </c>
      <c r="G166" s="246" t="str">
        <f t="shared" ca="1" si="20"/>
        <v/>
      </c>
      <c r="H166" s="204" t="str">
        <f ca="1">IF(G166="","",IF(VLOOKUP(Separator!F166,'Species Data'!D:F,3,FALSE)=0,"X",IF(G166&lt;44.1,2,1)))</f>
        <v/>
      </c>
      <c r="I166" s="204" t="str">
        <f t="shared" ca="1" si="21"/>
        <v/>
      </c>
      <c r="J166" s="247" t="str">
        <f ca="1">IF(I166="","",IF(COUNTIF($D$12:D166,D166)=1,IF(H166=1,I166*H166,IF(H166="X","X",0)),0))</f>
        <v/>
      </c>
      <c r="K166" s="248" t="str">
        <f t="shared" ca="1" si="22"/>
        <v/>
      </c>
      <c r="L166" s="238"/>
      <c r="M166" s="212"/>
      <c r="N166" s="212"/>
      <c r="O166" s="213"/>
      <c r="P166" s="212"/>
      <c r="Q166" s="214"/>
      <c r="R166" s="212"/>
      <c r="S166" s="212"/>
      <c r="T166" s="212"/>
      <c r="U166" s="212"/>
      <c r="V166" s="214"/>
      <c r="W166" s="214"/>
      <c r="X166" s="214"/>
      <c r="Y166" s="214"/>
      <c r="Z166" s="214"/>
      <c r="AA166" s="212"/>
      <c r="AB166" s="212"/>
      <c r="AC166" s="212"/>
      <c r="AD166" s="214">
        <v>2.6466440000000002</v>
      </c>
      <c r="AE166" s="214">
        <v>89</v>
      </c>
      <c r="AF166" s="214">
        <v>7.0099999999999996E-2</v>
      </c>
      <c r="AG166" s="214">
        <v>-99</v>
      </c>
      <c r="AH166" s="212" t="s">
        <v>224</v>
      </c>
      <c r="AI166" s="212" t="s">
        <v>449</v>
      </c>
      <c r="AJ166" s="212" t="s">
        <v>411</v>
      </c>
      <c r="AK166" s="212" t="s">
        <v>531</v>
      </c>
      <c r="AL166" s="212" t="s">
        <v>451</v>
      </c>
      <c r="AM166" s="214" t="b">
        <v>1</v>
      </c>
      <c r="AN166" s="214" t="b">
        <v>0</v>
      </c>
      <c r="AO166" s="212" t="s">
        <v>412</v>
      </c>
      <c r="AP166" s="212" t="s">
        <v>413</v>
      </c>
      <c r="AQ166" s="214">
        <v>120.19158</v>
      </c>
      <c r="AR166" s="214" t="b">
        <v>0</v>
      </c>
      <c r="AS166" s="212" t="s">
        <v>534</v>
      </c>
    </row>
    <row r="167" spans="1:45" s="263" customFormat="1" ht="13.5" customHeight="1" x14ac:dyDescent="0.25">
      <c r="A167" s="245" t="str">
        <f t="shared" si="23"/>
        <v/>
      </c>
      <c r="B167" s="246" t="str">
        <f t="shared" si="16"/>
        <v/>
      </c>
      <c r="C167" s="246" t="str">
        <f>IF(B167="","",VLOOKUP(D167,'Species Data'!B:E,4,FALSE))</f>
        <v/>
      </c>
      <c r="D167" s="246" t="str">
        <f t="shared" ca="1" si="17"/>
        <v/>
      </c>
      <c r="E167" s="246" t="str">
        <f t="shared" ca="1" si="18"/>
        <v/>
      </c>
      <c r="F167" s="246" t="str">
        <f t="shared" ca="1" si="19"/>
        <v/>
      </c>
      <c r="G167" s="246" t="str">
        <f t="shared" ca="1" si="20"/>
        <v/>
      </c>
      <c r="H167" s="204" t="str">
        <f ca="1">IF(G167="","",IF(VLOOKUP(Separator!F167,'Species Data'!D:F,3,FALSE)=0,"X",IF(G167&lt;44.1,2,1)))</f>
        <v/>
      </c>
      <c r="I167" s="204" t="str">
        <f t="shared" ca="1" si="21"/>
        <v/>
      </c>
      <c r="J167" s="247" t="str">
        <f ca="1">IF(I167="","",IF(COUNTIF($D$12:D167,D167)=1,IF(H167=1,I167*H167,IF(H167="X","X",0)),0))</f>
        <v/>
      </c>
      <c r="K167" s="248" t="str">
        <f t="shared" ca="1" si="22"/>
        <v/>
      </c>
      <c r="L167" s="238"/>
      <c r="M167" s="212"/>
      <c r="N167" s="212"/>
      <c r="O167" s="213"/>
      <c r="P167" s="212"/>
      <c r="Q167" s="214"/>
      <c r="R167" s="212"/>
      <c r="S167" s="212"/>
      <c r="T167" s="212"/>
      <c r="U167" s="212"/>
      <c r="V167" s="214"/>
      <c r="W167" s="214"/>
      <c r="X167" s="214"/>
      <c r="Y167" s="214"/>
      <c r="Z167" s="214"/>
      <c r="AA167" s="212"/>
      <c r="AB167" s="212"/>
      <c r="AC167" s="212"/>
      <c r="AD167" s="214">
        <v>2.6466440000000002</v>
      </c>
      <c r="AE167" s="214">
        <v>122</v>
      </c>
      <c r="AF167" s="214">
        <v>0.34870000000000001</v>
      </c>
      <c r="AG167" s="214">
        <v>-99</v>
      </c>
      <c r="AH167" s="212" t="s">
        <v>224</v>
      </c>
      <c r="AI167" s="212" t="s">
        <v>449</v>
      </c>
      <c r="AJ167" s="212" t="s">
        <v>301</v>
      </c>
      <c r="AK167" s="212" t="s">
        <v>531</v>
      </c>
      <c r="AL167" s="212" t="s">
        <v>384</v>
      </c>
      <c r="AM167" s="214" t="b">
        <v>1</v>
      </c>
      <c r="AN167" s="214" t="b">
        <v>0</v>
      </c>
      <c r="AO167" s="212" t="s">
        <v>302</v>
      </c>
      <c r="AP167" s="212" t="s">
        <v>303</v>
      </c>
      <c r="AQ167" s="214">
        <v>86.175359999999998</v>
      </c>
      <c r="AR167" s="214" t="b">
        <v>0</v>
      </c>
      <c r="AS167" s="212" t="s">
        <v>534</v>
      </c>
    </row>
    <row r="168" spans="1:45" s="263" customFormat="1" ht="13.5" customHeight="1" x14ac:dyDescent="0.25">
      <c r="A168" s="245" t="str">
        <f t="shared" si="23"/>
        <v/>
      </c>
      <c r="B168" s="246" t="str">
        <f t="shared" si="16"/>
        <v/>
      </c>
      <c r="C168" s="246" t="str">
        <f>IF(B168="","",VLOOKUP(D168,'Species Data'!B:E,4,FALSE))</f>
        <v/>
      </c>
      <c r="D168" s="246" t="str">
        <f t="shared" ca="1" si="17"/>
        <v/>
      </c>
      <c r="E168" s="246" t="str">
        <f t="shared" ca="1" si="18"/>
        <v/>
      </c>
      <c r="F168" s="246" t="str">
        <f t="shared" ca="1" si="19"/>
        <v/>
      </c>
      <c r="G168" s="246" t="str">
        <f t="shared" ca="1" si="20"/>
        <v/>
      </c>
      <c r="H168" s="204" t="str">
        <f ca="1">IF(G168="","",IF(VLOOKUP(Separator!F168,'Species Data'!D:F,3,FALSE)=0,"X",IF(G168&lt;44.1,2,1)))</f>
        <v/>
      </c>
      <c r="I168" s="204" t="str">
        <f t="shared" ca="1" si="21"/>
        <v/>
      </c>
      <c r="J168" s="247" t="str">
        <f ca="1">IF(I168="","",IF(COUNTIF($D$12:D168,D168)=1,IF(H168=1,I168*H168,IF(H168="X","X",0)),0))</f>
        <v/>
      </c>
      <c r="K168" s="248" t="str">
        <f t="shared" ca="1" si="22"/>
        <v/>
      </c>
      <c r="L168" s="238"/>
      <c r="M168" s="212"/>
      <c r="N168" s="212"/>
      <c r="O168" s="213"/>
      <c r="P168" s="212"/>
      <c r="Q168" s="214"/>
      <c r="R168" s="212"/>
      <c r="S168" s="212"/>
      <c r="T168" s="212"/>
      <c r="U168" s="212"/>
      <c r="V168" s="214"/>
      <c r="W168" s="214"/>
      <c r="X168" s="214"/>
      <c r="Y168" s="214"/>
      <c r="Z168" s="214"/>
      <c r="AA168" s="212"/>
      <c r="AB168" s="212"/>
      <c r="AC168" s="212"/>
      <c r="AD168" s="214">
        <v>2.6466440000000002</v>
      </c>
      <c r="AE168" s="214">
        <v>127</v>
      </c>
      <c r="AF168" s="214">
        <v>0.251</v>
      </c>
      <c r="AG168" s="214">
        <v>-99</v>
      </c>
      <c r="AH168" s="212" t="s">
        <v>224</v>
      </c>
      <c r="AI168" s="212" t="s">
        <v>449</v>
      </c>
      <c r="AJ168" s="212" t="s">
        <v>441</v>
      </c>
      <c r="AK168" s="212" t="s">
        <v>531</v>
      </c>
      <c r="AL168" s="212" t="s">
        <v>462</v>
      </c>
      <c r="AM168" s="214" t="b">
        <v>0</v>
      </c>
      <c r="AN168" s="214" t="b">
        <v>0</v>
      </c>
      <c r="AO168" s="212" t="s">
        <v>442</v>
      </c>
      <c r="AP168" s="212" t="s">
        <v>531</v>
      </c>
      <c r="AQ168" s="214">
        <v>72.148780000000002</v>
      </c>
      <c r="AR168" s="214" t="b">
        <v>0</v>
      </c>
      <c r="AS168" s="212" t="s">
        <v>534</v>
      </c>
    </row>
    <row r="169" spans="1:45" s="263" customFormat="1" ht="13.5" customHeight="1" x14ac:dyDescent="0.25">
      <c r="A169" s="245" t="str">
        <f t="shared" si="23"/>
        <v/>
      </c>
      <c r="B169" s="246" t="str">
        <f t="shared" si="16"/>
        <v/>
      </c>
      <c r="C169" s="246" t="str">
        <f>IF(B169="","",VLOOKUP(D169,'Species Data'!B:E,4,FALSE))</f>
        <v/>
      </c>
      <c r="D169" s="246" t="str">
        <f t="shared" ca="1" si="17"/>
        <v/>
      </c>
      <c r="E169" s="246" t="str">
        <f t="shared" ca="1" si="18"/>
        <v/>
      </c>
      <c r="F169" s="246" t="str">
        <f t="shared" ca="1" si="19"/>
        <v/>
      </c>
      <c r="G169" s="246" t="str">
        <f t="shared" ca="1" si="20"/>
        <v/>
      </c>
      <c r="H169" s="204" t="str">
        <f ca="1">IF(G169="","",IF(VLOOKUP(Separator!F169,'Species Data'!D:F,3,FALSE)=0,"X",IF(G169&lt;44.1,2,1)))</f>
        <v/>
      </c>
      <c r="I169" s="204" t="str">
        <f t="shared" ca="1" si="21"/>
        <v/>
      </c>
      <c r="J169" s="247" t="str">
        <f ca="1">IF(I169="","",IF(COUNTIF($D$12:D169,D169)=1,IF(H169=1,I169*H169,IF(H169="X","X",0)),0))</f>
        <v/>
      </c>
      <c r="K169" s="248" t="str">
        <f t="shared" ca="1" si="22"/>
        <v/>
      </c>
      <c r="L169" s="238"/>
      <c r="M169" s="212"/>
      <c r="N169" s="212"/>
      <c r="O169" s="213"/>
      <c r="P169" s="212"/>
      <c r="Q169" s="214"/>
      <c r="R169" s="212"/>
      <c r="S169" s="212"/>
      <c r="T169" s="212"/>
      <c r="U169" s="212"/>
      <c r="V169" s="214"/>
      <c r="W169" s="214"/>
      <c r="X169" s="214"/>
      <c r="Y169" s="214"/>
      <c r="Z169" s="214"/>
      <c r="AA169" s="212"/>
      <c r="AB169" s="212"/>
      <c r="AC169" s="212"/>
      <c r="AD169" s="214">
        <v>2.6466440000000002</v>
      </c>
      <c r="AE169" s="214">
        <v>130</v>
      </c>
      <c r="AF169" s="214">
        <v>0.29509999999999997</v>
      </c>
      <c r="AG169" s="214">
        <v>-99</v>
      </c>
      <c r="AH169" s="212" t="s">
        <v>224</v>
      </c>
      <c r="AI169" s="212" t="s">
        <v>449</v>
      </c>
      <c r="AJ169" s="212" t="s">
        <v>404</v>
      </c>
      <c r="AK169" s="212" t="s">
        <v>531</v>
      </c>
      <c r="AL169" s="212" t="s">
        <v>405</v>
      </c>
      <c r="AM169" s="214" t="b">
        <v>1</v>
      </c>
      <c r="AN169" s="214" t="b">
        <v>0</v>
      </c>
      <c r="AO169" s="212" t="s">
        <v>406</v>
      </c>
      <c r="AP169" s="212" t="s">
        <v>407</v>
      </c>
      <c r="AQ169" s="214">
        <v>114.22852</v>
      </c>
      <c r="AR169" s="214" t="b">
        <v>0</v>
      </c>
      <c r="AS169" s="212" t="s">
        <v>534</v>
      </c>
    </row>
    <row r="170" spans="1:45" s="263" customFormat="1" ht="13.5" customHeight="1" x14ac:dyDescent="0.25">
      <c r="A170" s="245" t="str">
        <f t="shared" si="23"/>
        <v/>
      </c>
      <c r="B170" s="246" t="str">
        <f t="shared" si="16"/>
        <v/>
      </c>
      <c r="C170" s="246" t="str">
        <f>IF(B170="","",VLOOKUP(D170,'Species Data'!B:E,4,FALSE))</f>
        <v/>
      </c>
      <c r="D170" s="246" t="str">
        <f t="shared" ca="1" si="17"/>
        <v/>
      </c>
      <c r="E170" s="246" t="str">
        <f t="shared" ca="1" si="18"/>
        <v/>
      </c>
      <c r="F170" s="246" t="str">
        <f t="shared" ca="1" si="19"/>
        <v/>
      </c>
      <c r="G170" s="246" t="str">
        <f t="shared" ca="1" si="20"/>
        <v/>
      </c>
      <c r="H170" s="204" t="str">
        <f ca="1">IF(G170="","",IF(VLOOKUP(Separator!F170,'Species Data'!D:F,3,FALSE)=0,"X",IF(G170&lt;44.1,2,1)))</f>
        <v/>
      </c>
      <c r="I170" s="204" t="str">
        <f t="shared" ca="1" si="21"/>
        <v/>
      </c>
      <c r="J170" s="247" t="str">
        <f ca="1">IF(I170="","",IF(COUNTIF($D$12:D170,D170)=1,IF(H170=1,I170*H170,IF(H170="X","X",0)),0))</f>
        <v/>
      </c>
      <c r="K170" s="248" t="str">
        <f t="shared" ca="1" si="22"/>
        <v/>
      </c>
      <c r="L170" s="238"/>
      <c r="M170" s="212"/>
      <c r="N170" s="212"/>
      <c r="O170" s="213"/>
      <c r="P170" s="212"/>
      <c r="Q170" s="214"/>
      <c r="R170" s="212"/>
      <c r="S170" s="212"/>
      <c r="T170" s="212"/>
      <c r="U170" s="212"/>
      <c r="V170" s="214"/>
      <c r="W170" s="214"/>
      <c r="X170" s="214"/>
      <c r="Y170" s="214"/>
      <c r="Z170" s="214"/>
      <c r="AA170" s="212"/>
      <c r="AB170" s="212"/>
      <c r="AC170" s="212"/>
      <c r="AD170" s="214">
        <v>2.6466440000000002</v>
      </c>
      <c r="AE170" s="214">
        <v>136</v>
      </c>
      <c r="AF170" s="214">
        <v>1.2881</v>
      </c>
      <c r="AG170" s="214">
        <v>-99</v>
      </c>
      <c r="AH170" s="212" t="s">
        <v>224</v>
      </c>
      <c r="AI170" s="212" t="s">
        <v>449</v>
      </c>
      <c r="AJ170" s="212" t="s">
        <v>304</v>
      </c>
      <c r="AK170" s="212" t="s">
        <v>531</v>
      </c>
      <c r="AL170" s="212" t="s">
        <v>620</v>
      </c>
      <c r="AM170" s="214" t="b">
        <v>1</v>
      </c>
      <c r="AN170" s="214" t="b">
        <v>0</v>
      </c>
      <c r="AO170" s="212" t="s">
        <v>305</v>
      </c>
      <c r="AP170" s="212" t="s">
        <v>306</v>
      </c>
      <c r="AQ170" s="214">
        <v>86.175359999999998</v>
      </c>
      <c r="AR170" s="214" t="b">
        <v>0</v>
      </c>
      <c r="AS170" s="212" t="s">
        <v>534</v>
      </c>
    </row>
    <row r="171" spans="1:45" s="263" customFormat="1" ht="13.5" customHeight="1" x14ac:dyDescent="0.25">
      <c r="A171" s="245" t="str">
        <f t="shared" si="23"/>
        <v/>
      </c>
      <c r="B171" s="246" t="str">
        <f t="shared" si="16"/>
        <v/>
      </c>
      <c r="C171" s="246" t="str">
        <f>IF(B171="","",VLOOKUP(D171,'Species Data'!B:E,4,FALSE))</f>
        <v/>
      </c>
      <c r="D171" s="246" t="str">
        <f t="shared" ca="1" si="17"/>
        <v/>
      </c>
      <c r="E171" s="246" t="str">
        <f t="shared" ca="1" si="18"/>
        <v/>
      </c>
      <c r="F171" s="246" t="str">
        <f t="shared" ca="1" si="19"/>
        <v/>
      </c>
      <c r="G171" s="246" t="str">
        <f t="shared" ca="1" si="20"/>
        <v/>
      </c>
      <c r="H171" s="204" t="str">
        <f ca="1">IF(G171="","",IF(VLOOKUP(Separator!F171,'Species Data'!D:F,3,FALSE)=0,"X",IF(G171&lt;44.1,2,1)))</f>
        <v/>
      </c>
      <c r="I171" s="204" t="str">
        <f t="shared" ca="1" si="21"/>
        <v/>
      </c>
      <c r="J171" s="247" t="str">
        <f ca="1">IF(I171="","",IF(COUNTIF($D$12:D171,D171)=1,IF(H171=1,I171*H171,IF(H171="X","X",0)),0))</f>
        <v/>
      </c>
      <c r="K171" s="248" t="str">
        <f t="shared" ca="1" si="22"/>
        <v/>
      </c>
      <c r="L171" s="238"/>
      <c r="M171" s="212"/>
      <c r="N171" s="212"/>
      <c r="O171" s="213"/>
      <c r="P171" s="212"/>
      <c r="Q171" s="214"/>
      <c r="R171" s="212"/>
      <c r="S171" s="212"/>
      <c r="T171" s="212"/>
      <c r="U171" s="212"/>
      <c r="V171" s="214"/>
      <c r="W171" s="214"/>
      <c r="X171" s="214"/>
      <c r="Y171" s="214"/>
      <c r="Z171" s="214"/>
      <c r="AA171" s="212"/>
      <c r="AB171" s="212"/>
      <c r="AC171" s="212"/>
      <c r="AD171" s="214">
        <v>2.6466440000000002</v>
      </c>
      <c r="AE171" s="214">
        <v>138</v>
      </c>
      <c r="AF171" s="214">
        <v>5.6599999999999998E-2</v>
      </c>
      <c r="AG171" s="214">
        <v>-99</v>
      </c>
      <c r="AH171" s="212" t="s">
        <v>224</v>
      </c>
      <c r="AI171" s="212" t="s">
        <v>449</v>
      </c>
      <c r="AJ171" s="212" t="s">
        <v>443</v>
      </c>
      <c r="AK171" s="212" t="s">
        <v>531</v>
      </c>
      <c r="AL171" s="212" t="s">
        <v>463</v>
      </c>
      <c r="AM171" s="214" t="b">
        <v>0</v>
      </c>
      <c r="AN171" s="214" t="b">
        <v>0</v>
      </c>
      <c r="AO171" s="212" t="s">
        <v>444</v>
      </c>
      <c r="AP171" s="212" t="s">
        <v>531</v>
      </c>
      <c r="AQ171" s="214">
        <v>114.22852</v>
      </c>
      <c r="AR171" s="214" t="b">
        <v>0</v>
      </c>
      <c r="AS171" s="212" t="s">
        <v>534</v>
      </c>
    </row>
    <row r="172" spans="1:45" s="263" customFormat="1" ht="13.5" customHeight="1" x14ac:dyDescent="0.25">
      <c r="A172" s="245" t="str">
        <f t="shared" si="23"/>
        <v/>
      </c>
      <c r="B172" s="246" t="str">
        <f t="shared" si="16"/>
        <v/>
      </c>
      <c r="C172" s="246" t="str">
        <f>IF(B172="","",VLOOKUP(D172,'Species Data'!B:E,4,FALSE))</f>
        <v/>
      </c>
      <c r="D172" s="246" t="str">
        <f t="shared" ca="1" si="17"/>
        <v/>
      </c>
      <c r="E172" s="246" t="str">
        <f t="shared" ca="1" si="18"/>
        <v/>
      </c>
      <c r="F172" s="246" t="str">
        <f t="shared" ca="1" si="19"/>
        <v/>
      </c>
      <c r="G172" s="246" t="str">
        <f t="shared" ca="1" si="20"/>
        <v/>
      </c>
      <c r="H172" s="204" t="str">
        <f ca="1">IF(G172="","",IF(VLOOKUP(Separator!F172,'Species Data'!D:F,3,FALSE)=0,"X",IF(G172&lt;44.1,2,1)))</f>
        <v/>
      </c>
      <c r="I172" s="204" t="str">
        <f t="shared" ca="1" si="21"/>
        <v/>
      </c>
      <c r="J172" s="247" t="str">
        <f ca="1">IF(I172="","",IF(COUNTIF($D$12:D172,D172)=1,IF(H172=1,I172*H172,IF(H172="X","X",0)),0))</f>
        <v/>
      </c>
      <c r="K172" s="248" t="str">
        <f t="shared" ca="1" si="22"/>
        <v/>
      </c>
      <c r="L172" s="238"/>
      <c r="M172" s="212"/>
      <c r="N172" s="212"/>
      <c r="O172" s="213"/>
      <c r="P172" s="212"/>
      <c r="Q172" s="214"/>
      <c r="R172" s="212"/>
      <c r="S172" s="212"/>
      <c r="T172" s="212"/>
      <c r="U172" s="212"/>
      <c r="V172" s="214"/>
      <c r="W172" s="214"/>
      <c r="X172" s="214"/>
      <c r="Y172" s="214"/>
      <c r="Z172" s="214"/>
      <c r="AA172" s="212"/>
      <c r="AB172" s="212"/>
      <c r="AC172" s="212"/>
      <c r="AD172" s="214">
        <v>2.6466440000000002</v>
      </c>
      <c r="AE172" s="214">
        <v>149</v>
      </c>
      <c r="AF172" s="214">
        <v>0.25800000000000001</v>
      </c>
      <c r="AG172" s="214">
        <v>-99</v>
      </c>
      <c r="AH172" s="212" t="s">
        <v>224</v>
      </c>
      <c r="AI172" s="212" t="s">
        <v>449</v>
      </c>
      <c r="AJ172" s="212" t="s">
        <v>427</v>
      </c>
      <c r="AK172" s="212" t="s">
        <v>531</v>
      </c>
      <c r="AL172" s="212" t="s">
        <v>457</v>
      </c>
      <c r="AM172" s="214" t="b">
        <v>0</v>
      </c>
      <c r="AN172" s="214" t="b">
        <v>0</v>
      </c>
      <c r="AO172" s="212" t="s">
        <v>428</v>
      </c>
      <c r="AP172" s="212" t="s">
        <v>429</v>
      </c>
      <c r="AQ172" s="214">
        <v>114.22852</v>
      </c>
      <c r="AR172" s="214" t="b">
        <v>0</v>
      </c>
      <c r="AS172" s="212" t="s">
        <v>534</v>
      </c>
    </row>
    <row r="173" spans="1:45" s="263" customFormat="1" ht="13.5" customHeight="1" x14ac:dyDescent="0.25">
      <c r="A173" s="245" t="str">
        <f t="shared" si="23"/>
        <v/>
      </c>
      <c r="B173" s="246" t="str">
        <f t="shared" si="16"/>
        <v/>
      </c>
      <c r="C173" s="246" t="str">
        <f>IF(B173="","",VLOOKUP(D173,'Species Data'!B:E,4,FALSE))</f>
        <v/>
      </c>
      <c r="D173" s="246" t="str">
        <f t="shared" ca="1" si="17"/>
        <v/>
      </c>
      <c r="E173" s="246" t="str">
        <f t="shared" ca="1" si="18"/>
        <v/>
      </c>
      <c r="F173" s="246" t="str">
        <f t="shared" ca="1" si="19"/>
        <v/>
      </c>
      <c r="G173" s="246" t="str">
        <f t="shared" ca="1" si="20"/>
        <v/>
      </c>
      <c r="H173" s="204" t="str">
        <f ca="1">IF(G173="","",IF(VLOOKUP(Separator!F173,'Species Data'!D:F,3,FALSE)=0,"X",IF(G173&lt;44.1,2,1)))</f>
        <v/>
      </c>
      <c r="I173" s="204" t="str">
        <f t="shared" ca="1" si="21"/>
        <v/>
      </c>
      <c r="J173" s="247" t="str">
        <f ca="1">IF(I173="","",IF(COUNTIF($D$12:D173,D173)=1,IF(H173=1,I173*H173,IF(H173="X","X",0)),0))</f>
        <v/>
      </c>
      <c r="K173" s="248" t="str">
        <f t="shared" ca="1" si="22"/>
        <v/>
      </c>
      <c r="L173" s="238"/>
      <c r="M173" s="212"/>
      <c r="N173" s="212"/>
      <c r="O173" s="213"/>
      <c r="P173" s="212"/>
      <c r="Q173" s="214"/>
      <c r="R173" s="212"/>
      <c r="S173" s="212"/>
      <c r="T173" s="212"/>
      <c r="U173" s="212"/>
      <c r="V173" s="214"/>
      <c r="W173" s="214"/>
      <c r="X173" s="214"/>
      <c r="Y173" s="214"/>
      <c r="Z173" s="214"/>
      <c r="AA173" s="212"/>
      <c r="AB173" s="212"/>
      <c r="AC173" s="212"/>
      <c r="AD173" s="214">
        <v>2.6466440000000002</v>
      </c>
      <c r="AE173" s="214">
        <v>152</v>
      </c>
      <c r="AF173" s="214">
        <v>0.26540000000000002</v>
      </c>
      <c r="AG173" s="214">
        <v>-99</v>
      </c>
      <c r="AH173" s="212" t="s">
        <v>224</v>
      </c>
      <c r="AI173" s="212" t="s">
        <v>449</v>
      </c>
      <c r="AJ173" s="212" t="s">
        <v>310</v>
      </c>
      <c r="AK173" s="212" t="s">
        <v>531</v>
      </c>
      <c r="AL173" s="212" t="s">
        <v>386</v>
      </c>
      <c r="AM173" s="214" t="b">
        <v>1</v>
      </c>
      <c r="AN173" s="214" t="b">
        <v>0</v>
      </c>
      <c r="AO173" s="212" t="s">
        <v>311</v>
      </c>
      <c r="AP173" s="212" t="s">
        <v>312</v>
      </c>
      <c r="AQ173" s="214">
        <v>100.20194000000001</v>
      </c>
      <c r="AR173" s="214" t="b">
        <v>0</v>
      </c>
      <c r="AS173" s="212" t="s">
        <v>534</v>
      </c>
    </row>
    <row r="174" spans="1:45" s="263" customFormat="1" ht="13.5" customHeight="1" x14ac:dyDescent="0.25">
      <c r="A174" s="245" t="str">
        <f t="shared" si="23"/>
        <v/>
      </c>
      <c r="B174" s="246" t="str">
        <f t="shared" si="16"/>
        <v/>
      </c>
      <c r="C174" s="246" t="str">
        <f>IF(B174="","",VLOOKUP(D174,'Species Data'!B:E,4,FALSE))</f>
        <v/>
      </c>
      <c r="D174" s="246" t="str">
        <f t="shared" ca="1" si="17"/>
        <v/>
      </c>
      <c r="E174" s="246" t="str">
        <f t="shared" ca="1" si="18"/>
        <v/>
      </c>
      <c r="F174" s="246" t="str">
        <f t="shared" ca="1" si="19"/>
        <v/>
      </c>
      <c r="G174" s="246" t="str">
        <f t="shared" ca="1" si="20"/>
        <v/>
      </c>
      <c r="H174" s="204" t="str">
        <f ca="1">IF(G174="","",IF(VLOOKUP(Separator!F174,'Species Data'!D:F,3,FALSE)=0,"X",IF(G174&lt;44.1,2,1)))</f>
        <v/>
      </c>
      <c r="I174" s="204" t="str">
        <f t="shared" ca="1" si="21"/>
        <v/>
      </c>
      <c r="J174" s="247" t="str">
        <f ca="1">IF(I174="","",IF(COUNTIF($D$12:D174,D174)=1,IF(H174=1,I174*H174,IF(H174="X","X",0)),0))</f>
        <v/>
      </c>
      <c r="K174" s="248" t="str">
        <f t="shared" ca="1" si="22"/>
        <v/>
      </c>
      <c r="L174" s="238"/>
      <c r="M174" s="212"/>
      <c r="N174" s="212"/>
      <c r="O174" s="213"/>
      <c r="P174" s="212"/>
      <c r="Q174" s="214"/>
      <c r="R174" s="212"/>
      <c r="S174" s="212"/>
      <c r="T174" s="212"/>
      <c r="U174" s="212"/>
      <c r="V174" s="214"/>
      <c r="W174" s="214"/>
      <c r="X174" s="214"/>
      <c r="Y174" s="214"/>
      <c r="Z174" s="214"/>
      <c r="AA174" s="212"/>
      <c r="AB174" s="212"/>
      <c r="AC174" s="212"/>
      <c r="AD174" s="214">
        <v>2.6466440000000002</v>
      </c>
      <c r="AE174" s="214">
        <v>193</v>
      </c>
      <c r="AF174" s="214">
        <v>5.1299999999999998E-2</v>
      </c>
      <c r="AG174" s="214">
        <v>-99</v>
      </c>
      <c r="AH174" s="212" t="s">
        <v>224</v>
      </c>
      <c r="AI174" s="212" t="s">
        <v>449</v>
      </c>
      <c r="AJ174" s="212" t="s">
        <v>313</v>
      </c>
      <c r="AK174" s="212" t="s">
        <v>531</v>
      </c>
      <c r="AL174" s="212" t="s">
        <v>387</v>
      </c>
      <c r="AM174" s="214" t="b">
        <v>1</v>
      </c>
      <c r="AN174" s="214" t="b">
        <v>0</v>
      </c>
      <c r="AO174" s="212" t="s">
        <v>314</v>
      </c>
      <c r="AP174" s="212" t="s">
        <v>315</v>
      </c>
      <c r="AQ174" s="214">
        <v>114.22852</v>
      </c>
      <c r="AR174" s="214" t="b">
        <v>0</v>
      </c>
      <c r="AS174" s="212" t="s">
        <v>534</v>
      </c>
    </row>
    <row r="175" spans="1:45" s="263" customFormat="1" ht="13.5" customHeight="1" x14ac:dyDescent="0.25">
      <c r="A175" s="245" t="str">
        <f t="shared" si="23"/>
        <v/>
      </c>
      <c r="B175" s="246" t="str">
        <f t="shared" si="16"/>
        <v/>
      </c>
      <c r="C175" s="246" t="str">
        <f>IF(B175="","",VLOOKUP(D175,'Species Data'!B:E,4,FALSE))</f>
        <v/>
      </c>
      <c r="D175" s="246" t="str">
        <f t="shared" ca="1" si="17"/>
        <v/>
      </c>
      <c r="E175" s="246" t="str">
        <f t="shared" ca="1" si="18"/>
        <v/>
      </c>
      <c r="F175" s="246" t="str">
        <f t="shared" ca="1" si="19"/>
        <v/>
      </c>
      <c r="G175" s="246" t="str">
        <f t="shared" ca="1" si="20"/>
        <v/>
      </c>
      <c r="H175" s="204" t="str">
        <f ca="1">IF(G175="","",IF(VLOOKUP(Separator!F175,'Species Data'!D:F,3,FALSE)=0,"X",IF(G175&lt;44.1,2,1)))</f>
        <v/>
      </c>
      <c r="I175" s="204" t="str">
        <f t="shared" ca="1" si="21"/>
        <v/>
      </c>
      <c r="J175" s="247" t="str">
        <f ca="1">IF(I175="","",IF(COUNTIF($D$12:D175,D175)=1,IF(H175=1,I175*H175,IF(H175="X","X",0)),0))</f>
        <v/>
      </c>
      <c r="K175" s="248" t="str">
        <f t="shared" ca="1" si="22"/>
        <v/>
      </c>
      <c r="L175" s="238"/>
      <c r="M175" s="212"/>
      <c r="N175" s="212"/>
      <c r="O175" s="213"/>
      <c r="P175" s="212"/>
      <c r="Q175" s="214"/>
      <c r="R175" s="212"/>
      <c r="S175" s="212"/>
      <c r="T175" s="212"/>
      <c r="U175" s="212"/>
      <c r="V175" s="214"/>
      <c r="W175" s="214"/>
      <c r="X175" s="214"/>
      <c r="Y175" s="214"/>
      <c r="Z175" s="214"/>
      <c r="AA175" s="212"/>
      <c r="AB175" s="212"/>
      <c r="AC175" s="212"/>
      <c r="AD175" s="214">
        <v>2.6466440000000002</v>
      </c>
      <c r="AE175" s="214">
        <v>194</v>
      </c>
      <c r="AF175" s="214">
        <v>0.7923</v>
      </c>
      <c r="AG175" s="214">
        <v>-99</v>
      </c>
      <c r="AH175" s="212" t="s">
        <v>224</v>
      </c>
      <c r="AI175" s="212" t="s">
        <v>449</v>
      </c>
      <c r="AJ175" s="212" t="s">
        <v>316</v>
      </c>
      <c r="AK175" s="212" t="s">
        <v>531</v>
      </c>
      <c r="AL175" s="212" t="s">
        <v>388</v>
      </c>
      <c r="AM175" s="214" t="b">
        <v>1</v>
      </c>
      <c r="AN175" s="214" t="b">
        <v>0</v>
      </c>
      <c r="AO175" s="212" t="s">
        <v>317</v>
      </c>
      <c r="AP175" s="212" t="s">
        <v>318</v>
      </c>
      <c r="AQ175" s="214">
        <v>100.20194000000001</v>
      </c>
      <c r="AR175" s="214" t="b">
        <v>0</v>
      </c>
      <c r="AS175" s="212" t="s">
        <v>534</v>
      </c>
    </row>
    <row r="176" spans="1:45" s="263" customFormat="1" ht="13.5" customHeight="1" x14ac:dyDescent="0.25">
      <c r="A176" s="245" t="str">
        <f t="shared" si="23"/>
        <v/>
      </c>
      <c r="B176" s="246" t="str">
        <f t="shared" si="16"/>
        <v/>
      </c>
      <c r="C176" s="246" t="str">
        <f>IF(B176="","",VLOOKUP(D176,'Species Data'!B:E,4,FALSE))</f>
        <v/>
      </c>
      <c r="D176" s="246" t="str">
        <f t="shared" ca="1" si="17"/>
        <v/>
      </c>
      <c r="E176" s="246" t="str">
        <f t="shared" ca="1" si="18"/>
        <v/>
      </c>
      <c r="F176" s="246" t="str">
        <f t="shared" ca="1" si="19"/>
        <v/>
      </c>
      <c r="G176" s="246" t="str">
        <f t="shared" ca="1" si="20"/>
        <v/>
      </c>
      <c r="H176" s="204" t="str">
        <f ca="1">IF(G176="","",IF(VLOOKUP(Separator!F176,'Species Data'!D:F,3,FALSE)=0,"X",IF(G176&lt;44.1,2,1)))</f>
        <v/>
      </c>
      <c r="I176" s="204" t="str">
        <f t="shared" ca="1" si="21"/>
        <v/>
      </c>
      <c r="J176" s="247" t="str">
        <f ca="1">IF(I176="","",IF(COUNTIF($D$12:D176,D176)=1,IF(H176=1,I176*H176,IF(H176="X","X",0)),0))</f>
        <v/>
      </c>
      <c r="K176" s="248" t="str">
        <f t="shared" ca="1" si="22"/>
        <v/>
      </c>
      <c r="L176" s="238"/>
      <c r="M176" s="212"/>
      <c r="N176" s="212"/>
      <c r="O176" s="213"/>
      <c r="P176" s="212"/>
      <c r="Q176" s="214"/>
      <c r="R176" s="212"/>
      <c r="S176" s="212"/>
      <c r="T176" s="212"/>
      <c r="U176" s="212"/>
      <c r="V176" s="214"/>
      <c r="W176" s="214"/>
      <c r="X176" s="214"/>
      <c r="Y176" s="214"/>
      <c r="Z176" s="214"/>
      <c r="AA176" s="212"/>
      <c r="AB176" s="212"/>
      <c r="AC176" s="212"/>
      <c r="AD176" s="214">
        <v>2.6466440000000002</v>
      </c>
      <c r="AE176" s="214">
        <v>199</v>
      </c>
      <c r="AF176" s="214">
        <v>1.7399999999999999E-2</v>
      </c>
      <c r="AG176" s="214">
        <v>-99</v>
      </c>
      <c r="AH176" s="212" t="s">
        <v>224</v>
      </c>
      <c r="AI176" s="212" t="s">
        <v>449</v>
      </c>
      <c r="AJ176" s="212" t="s">
        <v>319</v>
      </c>
      <c r="AK176" s="212" t="s">
        <v>531</v>
      </c>
      <c r="AL176" s="212" t="s">
        <v>389</v>
      </c>
      <c r="AM176" s="214" t="b">
        <v>1</v>
      </c>
      <c r="AN176" s="214" t="b">
        <v>0</v>
      </c>
      <c r="AO176" s="212" t="s">
        <v>320</v>
      </c>
      <c r="AP176" s="212" t="s">
        <v>321</v>
      </c>
      <c r="AQ176" s="214">
        <v>86.175359999999998</v>
      </c>
      <c r="AR176" s="214" t="b">
        <v>0</v>
      </c>
      <c r="AS176" s="212" t="s">
        <v>534</v>
      </c>
    </row>
    <row r="177" spans="1:45" s="263" customFormat="1" ht="13.5" customHeight="1" x14ac:dyDescent="0.25">
      <c r="A177" s="245" t="str">
        <f t="shared" si="23"/>
        <v/>
      </c>
      <c r="B177" s="246" t="str">
        <f t="shared" si="16"/>
        <v/>
      </c>
      <c r="C177" s="246" t="str">
        <f>IF(B177="","",VLOOKUP(D177,'Species Data'!B:E,4,FALSE))</f>
        <v/>
      </c>
      <c r="D177" s="246" t="str">
        <f t="shared" ca="1" si="17"/>
        <v/>
      </c>
      <c r="E177" s="246" t="str">
        <f t="shared" ca="1" si="18"/>
        <v/>
      </c>
      <c r="F177" s="246" t="str">
        <f t="shared" ca="1" si="19"/>
        <v/>
      </c>
      <c r="G177" s="246" t="str">
        <f t="shared" ca="1" si="20"/>
        <v/>
      </c>
      <c r="H177" s="204" t="str">
        <f ca="1">IF(G177="","",IF(VLOOKUP(Separator!F177,'Species Data'!D:F,3,FALSE)=0,"X",IF(G177&lt;44.1,2,1)))</f>
        <v/>
      </c>
      <c r="I177" s="204" t="str">
        <f t="shared" ca="1" si="21"/>
        <v/>
      </c>
      <c r="J177" s="247" t="str">
        <f ca="1">IF(I177="","",IF(COUNTIF($D$12:D177,D177)=1,IF(H177=1,I177*H177,IF(H177="X","X",0)),0))</f>
        <v/>
      </c>
      <c r="K177" s="248" t="str">
        <f t="shared" ca="1" si="22"/>
        <v/>
      </c>
      <c r="L177" s="238"/>
      <c r="M177" s="212"/>
      <c r="N177" s="212"/>
      <c r="O177" s="213"/>
      <c r="P177" s="212"/>
      <c r="Q177" s="214"/>
      <c r="R177" s="212"/>
      <c r="S177" s="212"/>
      <c r="T177" s="212"/>
      <c r="U177" s="212"/>
      <c r="V177" s="214"/>
      <c r="W177" s="214"/>
      <c r="X177" s="214"/>
      <c r="Y177" s="214"/>
      <c r="Z177" s="214"/>
      <c r="AA177" s="212"/>
      <c r="AB177" s="212"/>
      <c r="AC177" s="212"/>
      <c r="AD177" s="214">
        <v>2.6466440000000002</v>
      </c>
      <c r="AE177" s="214">
        <v>226</v>
      </c>
      <c r="AF177" s="214">
        <v>0.17749999999999999</v>
      </c>
      <c r="AG177" s="214">
        <v>-99</v>
      </c>
      <c r="AH177" s="212" t="s">
        <v>224</v>
      </c>
      <c r="AI177" s="212" t="s">
        <v>449</v>
      </c>
      <c r="AJ177" s="212" t="s">
        <v>439</v>
      </c>
      <c r="AK177" s="212" t="s">
        <v>531</v>
      </c>
      <c r="AL177" s="212" t="s">
        <v>461</v>
      </c>
      <c r="AM177" s="214" t="b">
        <v>0</v>
      </c>
      <c r="AN177" s="214" t="b">
        <v>0</v>
      </c>
      <c r="AO177" s="212" t="s">
        <v>440</v>
      </c>
      <c r="AP177" s="212" t="s">
        <v>531</v>
      </c>
      <c r="AQ177" s="214">
        <v>114.22852</v>
      </c>
      <c r="AR177" s="214" t="b">
        <v>0</v>
      </c>
      <c r="AS177" s="212" t="s">
        <v>534</v>
      </c>
    </row>
    <row r="178" spans="1:45" s="263" customFormat="1" ht="13.5" customHeight="1" x14ac:dyDescent="0.25">
      <c r="A178" s="245" t="str">
        <f t="shared" si="23"/>
        <v/>
      </c>
      <c r="B178" s="246" t="str">
        <f t="shared" si="16"/>
        <v/>
      </c>
      <c r="C178" s="246" t="str">
        <f>IF(B178="","",VLOOKUP(D178,'Species Data'!B:E,4,FALSE))</f>
        <v/>
      </c>
      <c r="D178" s="246" t="str">
        <f t="shared" ca="1" si="17"/>
        <v/>
      </c>
      <c r="E178" s="246" t="str">
        <f t="shared" ca="1" si="18"/>
        <v/>
      </c>
      <c r="F178" s="246" t="str">
        <f t="shared" ca="1" si="19"/>
        <v/>
      </c>
      <c r="G178" s="246" t="str">
        <f t="shared" ca="1" si="20"/>
        <v/>
      </c>
      <c r="H178" s="204" t="str">
        <f ca="1">IF(G178="","",IF(VLOOKUP(Separator!F178,'Species Data'!D:F,3,FALSE)=0,"X",IF(G178&lt;44.1,2,1)))</f>
        <v/>
      </c>
      <c r="I178" s="204" t="str">
        <f t="shared" ca="1" si="21"/>
        <v/>
      </c>
      <c r="J178" s="247" t="str">
        <f ca="1">IF(I178="","",IF(COUNTIF($D$12:D178,D178)=1,IF(H178=1,I178*H178,IF(H178="X","X",0)),0))</f>
        <v/>
      </c>
      <c r="K178" s="248" t="str">
        <f t="shared" ca="1" si="22"/>
        <v/>
      </c>
      <c r="L178" s="238"/>
      <c r="M178" s="212"/>
      <c r="N178" s="212"/>
      <c r="O178" s="213"/>
      <c r="P178" s="212"/>
      <c r="Q178" s="214"/>
      <c r="R178" s="212"/>
      <c r="S178" s="212"/>
      <c r="T178" s="212"/>
      <c r="U178" s="212"/>
      <c r="V178" s="214"/>
      <c r="W178" s="214"/>
      <c r="X178" s="214"/>
      <c r="Y178" s="214"/>
      <c r="Z178" s="214"/>
      <c r="AA178" s="212"/>
      <c r="AB178" s="212"/>
      <c r="AC178" s="212"/>
      <c r="AD178" s="214">
        <v>2.6466440000000002</v>
      </c>
      <c r="AE178" s="214">
        <v>245</v>
      </c>
      <c r="AF178" s="214">
        <v>2.2800000000000001E-2</v>
      </c>
      <c r="AG178" s="214">
        <v>-99</v>
      </c>
      <c r="AH178" s="212" t="s">
        <v>224</v>
      </c>
      <c r="AI178" s="212" t="s">
        <v>449</v>
      </c>
      <c r="AJ178" s="212" t="s">
        <v>325</v>
      </c>
      <c r="AK178" s="212" t="s">
        <v>531</v>
      </c>
      <c r="AL178" s="212" t="s">
        <v>390</v>
      </c>
      <c r="AM178" s="214" t="b">
        <v>1</v>
      </c>
      <c r="AN178" s="214" t="b">
        <v>0</v>
      </c>
      <c r="AO178" s="212" t="s">
        <v>326</v>
      </c>
      <c r="AP178" s="212" t="s">
        <v>327</v>
      </c>
      <c r="AQ178" s="214">
        <v>100.20194000000001</v>
      </c>
      <c r="AR178" s="214" t="b">
        <v>0</v>
      </c>
      <c r="AS178" s="212" t="s">
        <v>534</v>
      </c>
    </row>
    <row r="179" spans="1:45" s="263" customFormat="1" ht="13.5" customHeight="1" x14ac:dyDescent="0.25">
      <c r="A179" s="245" t="str">
        <f t="shared" si="23"/>
        <v/>
      </c>
      <c r="B179" s="246" t="str">
        <f t="shared" si="16"/>
        <v/>
      </c>
      <c r="C179" s="246" t="str">
        <f>IF(B179="","",VLOOKUP(D179,'Species Data'!B:E,4,FALSE))</f>
        <v/>
      </c>
      <c r="D179" s="246" t="str">
        <f t="shared" ca="1" si="17"/>
        <v/>
      </c>
      <c r="E179" s="246" t="str">
        <f t="shared" ca="1" si="18"/>
        <v/>
      </c>
      <c r="F179" s="246" t="str">
        <f t="shared" ca="1" si="19"/>
        <v/>
      </c>
      <c r="G179" s="246" t="str">
        <f t="shared" ca="1" si="20"/>
        <v/>
      </c>
      <c r="H179" s="204" t="str">
        <f ca="1">IF(G179="","",IF(VLOOKUP(Separator!F179,'Species Data'!D:F,3,FALSE)=0,"X",IF(G179&lt;44.1,2,1)))</f>
        <v/>
      </c>
      <c r="I179" s="204" t="str">
        <f t="shared" ca="1" si="21"/>
        <v/>
      </c>
      <c r="J179" s="247" t="str">
        <f ca="1">IF(I179="","",IF(COUNTIF($D$12:D179,D179)=1,IF(H179=1,I179*H179,IF(H179="X","X",0)),0))</f>
        <v/>
      </c>
      <c r="K179" s="248" t="str">
        <f t="shared" ca="1" si="22"/>
        <v/>
      </c>
      <c r="L179" s="238"/>
      <c r="M179" s="212"/>
      <c r="N179" s="212"/>
      <c r="O179" s="213"/>
      <c r="P179" s="212"/>
      <c r="Q179" s="214"/>
      <c r="R179" s="212"/>
      <c r="S179" s="212"/>
      <c r="T179" s="212"/>
      <c r="U179" s="212"/>
      <c r="V179" s="214"/>
      <c r="W179" s="214"/>
      <c r="X179" s="214"/>
      <c r="Y179" s="214"/>
      <c r="Z179" s="214"/>
      <c r="AA179" s="212"/>
      <c r="AB179" s="212"/>
      <c r="AC179" s="212"/>
      <c r="AD179" s="214">
        <v>2.6466440000000002</v>
      </c>
      <c r="AE179" s="214">
        <v>248</v>
      </c>
      <c r="AF179" s="214">
        <v>7.1199999999999999E-2</v>
      </c>
      <c r="AG179" s="214">
        <v>-99</v>
      </c>
      <c r="AH179" s="212" t="s">
        <v>224</v>
      </c>
      <c r="AI179" s="212" t="s">
        <v>449</v>
      </c>
      <c r="AJ179" s="212" t="s">
        <v>328</v>
      </c>
      <c r="AK179" s="212" t="s">
        <v>531</v>
      </c>
      <c r="AL179" s="212" t="s">
        <v>391</v>
      </c>
      <c r="AM179" s="214" t="b">
        <v>1</v>
      </c>
      <c r="AN179" s="214" t="b">
        <v>0</v>
      </c>
      <c r="AO179" s="212" t="s">
        <v>329</v>
      </c>
      <c r="AP179" s="212" t="s">
        <v>330</v>
      </c>
      <c r="AQ179" s="214">
        <v>86.175359999999998</v>
      </c>
      <c r="AR179" s="214" t="b">
        <v>0</v>
      </c>
      <c r="AS179" s="212" t="s">
        <v>534</v>
      </c>
    </row>
    <row r="180" spans="1:45" s="263" customFormat="1" ht="13.5" customHeight="1" x14ac:dyDescent="0.25">
      <c r="A180" s="245" t="str">
        <f t="shared" si="23"/>
        <v/>
      </c>
      <c r="B180" s="246" t="str">
        <f t="shared" si="16"/>
        <v/>
      </c>
      <c r="C180" s="246" t="str">
        <f>IF(B180="","",VLOOKUP(D180,'Species Data'!B:E,4,FALSE))</f>
        <v/>
      </c>
      <c r="D180" s="246" t="str">
        <f t="shared" ca="1" si="17"/>
        <v/>
      </c>
      <c r="E180" s="246" t="str">
        <f t="shared" ca="1" si="18"/>
        <v/>
      </c>
      <c r="F180" s="246" t="str">
        <f t="shared" ca="1" si="19"/>
        <v/>
      </c>
      <c r="G180" s="246" t="str">
        <f t="shared" ca="1" si="20"/>
        <v/>
      </c>
      <c r="H180" s="204" t="str">
        <f ca="1">IF(G180="","",IF(VLOOKUP(Separator!F180,'Species Data'!D:F,3,FALSE)=0,"X",IF(G180&lt;44.1,2,1)))</f>
        <v/>
      </c>
      <c r="I180" s="204" t="str">
        <f t="shared" ca="1" si="21"/>
        <v/>
      </c>
      <c r="J180" s="247" t="str">
        <f ca="1">IF(I180="","",IF(COUNTIF($D$12:D180,D180)=1,IF(H180=1,I180*H180,IF(H180="X","X",0)),0))</f>
        <v/>
      </c>
      <c r="K180" s="248" t="str">
        <f t="shared" ca="1" si="22"/>
        <v/>
      </c>
      <c r="L180" s="238"/>
      <c r="M180" s="212"/>
      <c r="N180" s="212"/>
      <c r="O180" s="213"/>
      <c r="P180" s="212"/>
      <c r="Q180" s="214"/>
      <c r="R180" s="212"/>
      <c r="S180" s="212"/>
      <c r="T180" s="212"/>
      <c r="U180" s="212"/>
      <c r="V180" s="214"/>
      <c r="W180" s="214"/>
      <c r="X180" s="214"/>
      <c r="Y180" s="214"/>
      <c r="Z180" s="214"/>
      <c r="AA180" s="212"/>
      <c r="AB180" s="212"/>
      <c r="AC180" s="212"/>
      <c r="AD180" s="214">
        <v>2.6466440000000002</v>
      </c>
      <c r="AE180" s="214">
        <v>385</v>
      </c>
      <c r="AF180" s="214">
        <v>0.15640000000000001</v>
      </c>
      <c r="AG180" s="214">
        <v>-99</v>
      </c>
      <c r="AH180" s="212" t="s">
        <v>224</v>
      </c>
      <c r="AI180" s="212" t="s">
        <v>449</v>
      </c>
      <c r="AJ180" s="212" t="s">
        <v>331</v>
      </c>
      <c r="AK180" s="212" t="s">
        <v>531</v>
      </c>
      <c r="AL180" s="212" t="s">
        <v>392</v>
      </c>
      <c r="AM180" s="214" t="b">
        <v>1</v>
      </c>
      <c r="AN180" s="214" t="b">
        <v>0</v>
      </c>
      <c r="AO180" s="212" t="s">
        <v>332</v>
      </c>
      <c r="AP180" s="212" t="s">
        <v>333</v>
      </c>
      <c r="AQ180" s="214">
        <v>84.159480000000002</v>
      </c>
      <c r="AR180" s="214" t="b">
        <v>0</v>
      </c>
      <c r="AS180" s="212" t="s">
        <v>534</v>
      </c>
    </row>
    <row r="181" spans="1:45" s="263" customFormat="1" ht="13.5" customHeight="1" x14ac:dyDescent="0.25">
      <c r="A181" s="245" t="str">
        <f t="shared" si="23"/>
        <v/>
      </c>
      <c r="B181" s="246" t="str">
        <f t="shared" si="16"/>
        <v/>
      </c>
      <c r="C181" s="246" t="str">
        <f>IF(B181="","",VLOOKUP(D181,'Species Data'!B:E,4,FALSE))</f>
        <v/>
      </c>
      <c r="D181" s="246" t="str">
        <f t="shared" ca="1" si="17"/>
        <v/>
      </c>
      <c r="E181" s="246" t="str">
        <f t="shared" ca="1" si="18"/>
        <v/>
      </c>
      <c r="F181" s="246" t="str">
        <f t="shared" ca="1" si="19"/>
        <v/>
      </c>
      <c r="G181" s="246" t="str">
        <f t="shared" ca="1" si="20"/>
        <v/>
      </c>
      <c r="H181" s="204" t="str">
        <f ca="1">IF(G181="","",IF(VLOOKUP(Separator!F181,'Species Data'!D:F,3,FALSE)=0,"X",IF(G181&lt;44.1,2,1)))</f>
        <v/>
      </c>
      <c r="I181" s="204" t="str">
        <f t="shared" ca="1" si="21"/>
        <v/>
      </c>
      <c r="J181" s="247" t="str">
        <f ca="1">IF(I181="","",IF(COUNTIF($D$12:D181,D181)=1,IF(H181=1,I181*H181,IF(H181="X","X",0)),0))</f>
        <v/>
      </c>
      <c r="K181" s="248" t="str">
        <f t="shared" ca="1" si="22"/>
        <v/>
      </c>
      <c r="L181" s="238"/>
      <c r="M181" s="212"/>
      <c r="N181" s="212"/>
      <c r="O181" s="213"/>
      <c r="P181" s="212"/>
      <c r="Q181" s="214"/>
      <c r="R181" s="212"/>
      <c r="S181" s="212"/>
      <c r="T181" s="212"/>
      <c r="U181" s="212"/>
      <c r="V181" s="214"/>
      <c r="W181" s="214"/>
      <c r="X181" s="214"/>
      <c r="Y181" s="214"/>
      <c r="Z181" s="214"/>
      <c r="AA181" s="212"/>
      <c r="AB181" s="212"/>
      <c r="AC181" s="212"/>
      <c r="AD181" s="214">
        <v>2.6466440000000002</v>
      </c>
      <c r="AE181" s="214">
        <v>438</v>
      </c>
      <c r="AF181" s="214">
        <v>0.12139999999999999</v>
      </c>
      <c r="AG181" s="214">
        <v>-99</v>
      </c>
      <c r="AH181" s="212" t="s">
        <v>224</v>
      </c>
      <c r="AI181" s="212" t="s">
        <v>449</v>
      </c>
      <c r="AJ181" s="212" t="s">
        <v>265</v>
      </c>
      <c r="AK181" s="212" t="s">
        <v>531</v>
      </c>
      <c r="AL181" s="212" t="s">
        <v>374</v>
      </c>
      <c r="AM181" s="214" t="b">
        <v>1</v>
      </c>
      <c r="AN181" s="214" t="b">
        <v>0</v>
      </c>
      <c r="AO181" s="212" t="s">
        <v>266</v>
      </c>
      <c r="AP181" s="212" t="s">
        <v>267</v>
      </c>
      <c r="AQ181" s="214">
        <v>30.069040000000005</v>
      </c>
      <c r="AR181" s="214" t="b">
        <v>1</v>
      </c>
      <c r="AS181" s="212" t="s">
        <v>534</v>
      </c>
    </row>
    <row r="182" spans="1:45" s="263" customFormat="1" ht="13.5" customHeight="1" x14ac:dyDescent="0.25">
      <c r="A182" s="245" t="str">
        <f t="shared" si="23"/>
        <v/>
      </c>
      <c r="B182" s="246" t="str">
        <f t="shared" si="16"/>
        <v/>
      </c>
      <c r="C182" s="246" t="str">
        <f>IF(B182="","",VLOOKUP(D182,'Species Data'!B:E,4,FALSE))</f>
        <v/>
      </c>
      <c r="D182" s="246" t="str">
        <f t="shared" ca="1" si="17"/>
        <v/>
      </c>
      <c r="E182" s="246" t="str">
        <f t="shared" ca="1" si="18"/>
        <v/>
      </c>
      <c r="F182" s="246" t="str">
        <f t="shared" ca="1" si="19"/>
        <v/>
      </c>
      <c r="G182" s="246" t="str">
        <f t="shared" ca="1" si="20"/>
        <v/>
      </c>
      <c r="H182" s="204" t="str">
        <f ca="1">IF(G182="","",IF(VLOOKUP(Separator!F182,'Species Data'!D:F,3,FALSE)=0,"X",IF(G182&lt;44.1,2,1)))</f>
        <v/>
      </c>
      <c r="I182" s="204" t="str">
        <f t="shared" ca="1" si="21"/>
        <v/>
      </c>
      <c r="J182" s="247" t="str">
        <f ca="1">IF(I182="","",IF(COUNTIF($D$12:D182,D182)=1,IF(H182=1,I182*H182,IF(H182="X","X",0)),0))</f>
        <v/>
      </c>
      <c r="K182" s="248" t="str">
        <f t="shared" ca="1" si="22"/>
        <v/>
      </c>
      <c r="L182" s="238"/>
      <c r="M182" s="212"/>
      <c r="N182" s="212"/>
      <c r="O182" s="213"/>
      <c r="P182" s="212"/>
      <c r="Q182" s="214"/>
      <c r="R182" s="212"/>
      <c r="S182" s="212"/>
      <c r="T182" s="212"/>
      <c r="U182" s="212"/>
      <c r="V182" s="214"/>
      <c r="W182" s="214"/>
      <c r="X182" s="214"/>
      <c r="Y182" s="214"/>
      <c r="Z182" s="214"/>
      <c r="AA182" s="212"/>
      <c r="AB182" s="212"/>
      <c r="AC182" s="212"/>
      <c r="AD182" s="214">
        <v>2.6466440000000002</v>
      </c>
      <c r="AE182" s="214">
        <v>449</v>
      </c>
      <c r="AF182" s="214">
        <v>0.79630000000000001</v>
      </c>
      <c r="AG182" s="214">
        <v>-99</v>
      </c>
      <c r="AH182" s="212" t="s">
        <v>224</v>
      </c>
      <c r="AI182" s="212" t="s">
        <v>449</v>
      </c>
      <c r="AJ182" s="212" t="s">
        <v>337</v>
      </c>
      <c r="AK182" s="212" t="s">
        <v>531</v>
      </c>
      <c r="AL182" s="212" t="s">
        <v>394</v>
      </c>
      <c r="AM182" s="214" t="b">
        <v>1</v>
      </c>
      <c r="AN182" s="214" t="b">
        <v>1</v>
      </c>
      <c r="AO182" s="212" t="s">
        <v>338</v>
      </c>
      <c r="AP182" s="212" t="s">
        <v>339</v>
      </c>
      <c r="AQ182" s="214">
        <v>106.16500000000001</v>
      </c>
      <c r="AR182" s="214" t="b">
        <v>0</v>
      </c>
      <c r="AS182" s="212" t="s">
        <v>534</v>
      </c>
    </row>
    <row r="183" spans="1:45" s="263" customFormat="1" ht="13.5" customHeight="1" x14ac:dyDescent="0.25">
      <c r="A183" s="245" t="str">
        <f t="shared" si="23"/>
        <v/>
      </c>
      <c r="B183" s="246" t="str">
        <f t="shared" si="16"/>
        <v/>
      </c>
      <c r="C183" s="246" t="str">
        <f>IF(B183="","",VLOOKUP(D183,'Species Data'!B:E,4,FALSE))</f>
        <v/>
      </c>
      <c r="D183" s="246" t="str">
        <f t="shared" ca="1" si="17"/>
        <v/>
      </c>
      <c r="E183" s="246" t="str">
        <f t="shared" ca="1" si="18"/>
        <v/>
      </c>
      <c r="F183" s="246" t="str">
        <f t="shared" ca="1" si="19"/>
        <v/>
      </c>
      <c r="G183" s="246" t="str">
        <f t="shared" ca="1" si="20"/>
        <v/>
      </c>
      <c r="H183" s="204" t="str">
        <f ca="1">IF(G183="","",IF(VLOOKUP(Separator!F183,'Species Data'!D:F,3,FALSE)=0,"X",IF(G183&lt;44.1,2,1)))</f>
        <v/>
      </c>
      <c r="I183" s="204" t="str">
        <f t="shared" ca="1" si="21"/>
        <v/>
      </c>
      <c r="J183" s="247" t="str">
        <f ca="1">IF(I183="","",IF(COUNTIF($D$12:D183,D183)=1,IF(H183=1,I183*H183,IF(H183="X","X",0)),0))</f>
        <v/>
      </c>
      <c r="K183" s="248" t="str">
        <f t="shared" ca="1" si="22"/>
        <v/>
      </c>
      <c r="L183" s="238"/>
      <c r="M183" s="212"/>
      <c r="N183" s="212"/>
      <c r="O183" s="213"/>
      <c r="P183" s="212"/>
      <c r="Q183" s="214"/>
      <c r="R183" s="212"/>
      <c r="S183" s="212"/>
      <c r="T183" s="212"/>
      <c r="U183" s="212"/>
      <c r="V183" s="214"/>
      <c r="W183" s="214"/>
      <c r="X183" s="214"/>
      <c r="Y183" s="214"/>
      <c r="Z183" s="214"/>
      <c r="AA183" s="212"/>
      <c r="AB183" s="212"/>
      <c r="AC183" s="212"/>
      <c r="AD183" s="214">
        <v>2.6466440000000002</v>
      </c>
      <c r="AE183" s="214">
        <v>491</v>
      </c>
      <c r="AF183" s="214">
        <v>5.3100000000000001E-2</v>
      </c>
      <c r="AG183" s="214">
        <v>-99</v>
      </c>
      <c r="AH183" s="212" t="s">
        <v>224</v>
      </c>
      <c r="AI183" s="212" t="s">
        <v>449</v>
      </c>
      <c r="AJ183" s="212" t="s">
        <v>268</v>
      </c>
      <c r="AK183" s="212" t="s">
        <v>531</v>
      </c>
      <c r="AL183" s="212" t="s">
        <v>375</v>
      </c>
      <c r="AM183" s="214" t="b">
        <v>1</v>
      </c>
      <c r="AN183" s="214" t="b">
        <v>0</v>
      </c>
      <c r="AO183" s="212" t="s">
        <v>269</v>
      </c>
      <c r="AP183" s="212" t="s">
        <v>270</v>
      </c>
      <c r="AQ183" s="214">
        <v>58.122199999999992</v>
      </c>
      <c r="AR183" s="214" t="b">
        <v>0</v>
      </c>
      <c r="AS183" s="212" t="s">
        <v>534</v>
      </c>
    </row>
    <row r="184" spans="1:45" s="263" customFormat="1" ht="13.5" customHeight="1" x14ac:dyDescent="0.25">
      <c r="A184" s="245" t="str">
        <f t="shared" si="23"/>
        <v/>
      </c>
      <c r="B184" s="246" t="str">
        <f t="shared" si="16"/>
        <v/>
      </c>
      <c r="C184" s="246" t="str">
        <f>IF(B184="","",VLOOKUP(D184,'Species Data'!B:E,4,FALSE))</f>
        <v/>
      </c>
      <c r="D184" s="246" t="str">
        <f t="shared" ca="1" si="17"/>
        <v/>
      </c>
      <c r="E184" s="246" t="str">
        <f t="shared" ca="1" si="18"/>
        <v/>
      </c>
      <c r="F184" s="246" t="str">
        <f t="shared" ca="1" si="19"/>
        <v/>
      </c>
      <c r="G184" s="246" t="str">
        <f t="shared" ca="1" si="20"/>
        <v/>
      </c>
      <c r="H184" s="204" t="str">
        <f ca="1">IF(G184="","",IF(VLOOKUP(Separator!F184,'Species Data'!D:F,3,FALSE)=0,"X",IF(G184&lt;44.1,2,1)))</f>
        <v/>
      </c>
      <c r="I184" s="204" t="str">
        <f t="shared" ca="1" si="21"/>
        <v/>
      </c>
      <c r="J184" s="247" t="str">
        <f ca="1">IF(I184="","",IF(COUNTIF($D$12:D184,D184)=1,IF(H184=1,I184*H184,IF(H184="X","X",0)),0))</f>
        <v/>
      </c>
      <c r="K184" s="248" t="str">
        <f t="shared" ca="1" si="22"/>
        <v/>
      </c>
      <c r="L184" s="238"/>
      <c r="M184" s="212"/>
      <c r="N184" s="212"/>
      <c r="O184" s="213"/>
      <c r="P184" s="212"/>
      <c r="Q184" s="214"/>
      <c r="R184" s="212"/>
      <c r="S184" s="212"/>
      <c r="T184" s="212"/>
      <c r="U184" s="212"/>
      <c r="V184" s="214"/>
      <c r="W184" s="214"/>
      <c r="X184" s="214"/>
      <c r="Y184" s="214"/>
      <c r="Z184" s="214"/>
      <c r="AA184" s="212"/>
      <c r="AB184" s="212"/>
      <c r="AC184" s="212"/>
      <c r="AD184" s="214">
        <v>2.6466440000000002</v>
      </c>
      <c r="AE184" s="214">
        <v>499</v>
      </c>
      <c r="AF184" s="214">
        <v>0.2455</v>
      </c>
      <c r="AG184" s="214">
        <v>-99</v>
      </c>
      <c r="AH184" s="212" t="s">
        <v>224</v>
      </c>
      <c r="AI184" s="212" t="s">
        <v>449</v>
      </c>
      <c r="AJ184" s="212" t="s">
        <v>531</v>
      </c>
      <c r="AK184" s="212" t="s">
        <v>642</v>
      </c>
      <c r="AL184" s="212" t="s">
        <v>643</v>
      </c>
      <c r="AM184" s="214" t="b">
        <v>0</v>
      </c>
      <c r="AN184" s="214" t="b">
        <v>0</v>
      </c>
      <c r="AO184" s="212" t="s">
        <v>644</v>
      </c>
      <c r="AP184" s="212" t="s">
        <v>531</v>
      </c>
      <c r="AQ184" s="214">
        <v>134.21816000000001</v>
      </c>
      <c r="AR184" s="214" t="b">
        <v>0</v>
      </c>
      <c r="AS184" s="212" t="s">
        <v>534</v>
      </c>
    </row>
    <row r="185" spans="1:45" s="263" customFormat="1" ht="13.5" customHeight="1" x14ac:dyDescent="0.25">
      <c r="A185" s="245" t="str">
        <f t="shared" si="23"/>
        <v/>
      </c>
      <c r="B185" s="246" t="str">
        <f t="shared" si="16"/>
        <v/>
      </c>
      <c r="C185" s="246" t="str">
        <f>IF(B185="","",VLOOKUP(D185,'Species Data'!B:E,4,FALSE))</f>
        <v/>
      </c>
      <c r="D185" s="246" t="str">
        <f t="shared" ca="1" si="17"/>
        <v/>
      </c>
      <c r="E185" s="246" t="str">
        <f t="shared" ca="1" si="18"/>
        <v/>
      </c>
      <c r="F185" s="246" t="str">
        <f t="shared" ca="1" si="19"/>
        <v/>
      </c>
      <c r="G185" s="246" t="str">
        <f t="shared" ca="1" si="20"/>
        <v/>
      </c>
      <c r="H185" s="204" t="str">
        <f ca="1">IF(G185="","",IF(VLOOKUP(Separator!F185,'Species Data'!D:F,3,FALSE)=0,"X",IF(G185&lt;44.1,2,1)))</f>
        <v/>
      </c>
      <c r="I185" s="204" t="str">
        <f t="shared" ca="1" si="21"/>
        <v/>
      </c>
      <c r="J185" s="247" t="str">
        <f ca="1">IF(I185="","",IF(COUNTIF($D$12:D185,D185)=1,IF(H185=1,I185*H185,IF(H185="X","X",0)),0))</f>
        <v/>
      </c>
      <c r="K185" s="248" t="str">
        <f t="shared" ca="1" si="22"/>
        <v/>
      </c>
      <c r="L185" s="238"/>
      <c r="M185" s="212"/>
      <c r="N185" s="212"/>
      <c r="O185" s="213"/>
      <c r="P185" s="212"/>
      <c r="Q185" s="214"/>
      <c r="R185" s="212"/>
      <c r="S185" s="212"/>
      <c r="T185" s="212"/>
      <c r="U185" s="212"/>
      <c r="V185" s="214"/>
      <c r="W185" s="214"/>
      <c r="X185" s="214"/>
      <c r="Y185" s="214"/>
      <c r="Z185" s="214"/>
      <c r="AA185" s="212"/>
      <c r="AB185" s="212"/>
      <c r="AC185" s="212"/>
      <c r="AD185" s="214">
        <v>2.6466440000000002</v>
      </c>
      <c r="AE185" s="214">
        <v>508</v>
      </c>
      <c r="AF185" s="214">
        <v>0.15579999999999999</v>
      </c>
      <c r="AG185" s="214">
        <v>-99</v>
      </c>
      <c r="AH185" s="212" t="s">
        <v>224</v>
      </c>
      <c r="AI185" s="212" t="s">
        <v>449</v>
      </c>
      <c r="AJ185" s="212" t="s">
        <v>342</v>
      </c>
      <c r="AK185" s="212" t="s">
        <v>531</v>
      </c>
      <c r="AL185" s="212" t="s">
        <v>395</v>
      </c>
      <c r="AM185" s="214" t="b">
        <v>1</v>
      </c>
      <c r="AN185" s="214" t="b">
        <v>0</v>
      </c>
      <c r="AO185" s="212" t="s">
        <v>343</v>
      </c>
      <c r="AP185" s="212" t="s">
        <v>344</v>
      </c>
      <c r="AQ185" s="214">
        <v>72.148780000000002</v>
      </c>
      <c r="AR185" s="214" t="b">
        <v>0</v>
      </c>
      <c r="AS185" s="212" t="s">
        <v>534</v>
      </c>
    </row>
    <row r="186" spans="1:45" s="263" customFormat="1" ht="13.5" customHeight="1" x14ac:dyDescent="0.25">
      <c r="A186" s="245" t="str">
        <f t="shared" si="23"/>
        <v/>
      </c>
      <c r="B186" s="246" t="str">
        <f t="shared" si="16"/>
        <v/>
      </c>
      <c r="C186" s="246" t="str">
        <f>IF(B186="","",VLOOKUP(D186,'Species Data'!B:E,4,FALSE))</f>
        <v/>
      </c>
      <c r="D186" s="246" t="str">
        <f t="shared" ca="1" si="17"/>
        <v/>
      </c>
      <c r="E186" s="246" t="str">
        <f t="shared" ca="1" si="18"/>
        <v/>
      </c>
      <c r="F186" s="246" t="str">
        <f t="shared" ca="1" si="19"/>
        <v/>
      </c>
      <c r="G186" s="246" t="str">
        <f t="shared" ca="1" si="20"/>
        <v/>
      </c>
      <c r="H186" s="204" t="str">
        <f ca="1">IF(G186="","",IF(VLOOKUP(Separator!F186,'Species Data'!D:F,3,FALSE)=0,"X",IF(G186&lt;44.1,2,1)))</f>
        <v/>
      </c>
      <c r="I186" s="204" t="str">
        <f t="shared" ca="1" si="21"/>
        <v/>
      </c>
      <c r="J186" s="247" t="str">
        <f ca="1">IF(I186="","",IF(COUNTIF($D$12:D186,D186)=1,IF(H186=1,I186*H186,IF(H186="X","X",0)),0))</f>
        <v/>
      </c>
      <c r="K186" s="248" t="str">
        <f t="shared" ca="1" si="22"/>
        <v/>
      </c>
      <c r="L186" s="238"/>
      <c r="M186" s="212"/>
      <c r="N186" s="212"/>
      <c r="O186" s="213"/>
      <c r="P186" s="212"/>
      <c r="Q186" s="214"/>
      <c r="R186" s="212"/>
      <c r="S186" s="212"/>
      <c r="T186" s="212"/>
      <c r="U186" s="212"/>
      <c r="V186" s="214"/>
      <c r="W186" s="214"/>
      <c r="X186" s="214"/>
      <c r="Y186" s="214"/>
      <c r="Z186" s="214"/>
      <c r="AA186" s="212"/>
      <c r="AB186" s="212"/>
      <c r="AC186" s="212"/>
      <c r="AD186" s="214">
        <v>2.6466440000000002</v>
      </c>
      <c r="AE186" s="214">
        <v>514</v>
      </c>
      <c r="AF186" s="214">
        <v>0.12609999999999999</v>
      </c>
      <c r="AG186" s="214">
        <v>-99</v>
      </c>
      <c r="AH186" s="212" t="s">
        <v>224</v>
      </c>
      <c r="AI186" s="212" t="s">
        <v>449</v>
      </c>
      <c r="AJ186" s="212" t="s">
        <v>362</v>
      </c>
      <c r="AK186" s="212" t="s">
        <v>531</v>
      </c>
      <c r="AL186" s="212" t="s">
        <v>399</v>
      </c>
      <c r="AM186" s="214" t="b">
        <v>1</v>
      </c>
      <c r="AN186" s="214" t="b">
        <v>1</v>
      </c>
      <c r="AO186" s="212" t="s">
        <v>363</v>
      </c>
      <c r="AP186" s="212" t="s">
        <v>364</v>
      </c>
      <c r="AQ186" s="214">
        <v>120.19158</v>
      </c>
      <c r="AR186" s="214" t="b">
        <v>0</v>
      </c>
      <c r="AS186" s="212" t="s">
        <v>534</v>
      </c>
    </row>
    <row r="187" spans="1:45" s="263" customFormat="1" ht="13.5" customHeight="1" x14ac:dyDescent="0.25">
      <c r="A187" s="245" t="str">
        <f t="shared" si="23"/>
        <v/>
      </c>
      <c r="B187" s="246" t="str">
        <f t="shared" si="16"/>
        <v/>
      </c>
      <c r="C187" s="246" t="str">
        <f>IF(B187="","",VLOOKUP(D187,'Species Data'!B:E,4,FALSE))</f>
        <v/>
      </c>
      <c r="D187" s="246" t="str">
        <f t="shared" ca="1" si="17"/>
        <v/>
      </c>
      <c r="E187" s="246" t="str">
        <f t="shared" ca="1" si="18"/>
        <v/>
      </c>
      <c r="F187" s="246" t="str">
        <f t="shared" ca="1" si="19"/>
        <v/>
      </c>
      <c r="G187" s="246" t="str">
        <f t="shared" ca="1" si="20"/>
        <v/>
      </c>
      <c r="H187" s="204" t="str">
        <f ca="1">IF(G187="","",IF(VLOOKUP(Separator!F187,'Species Data'!D:F,3,FALSE)=0,"X",IF(G187&lt;44.1,2,1)))</f>
        <v/>
      </c>
      <c r="I187" s="204" t="str">
        <f t="shared" ca="1" si="21"/>
        <v/>
      </c>
      <c r="J187" s="247" t="str">
        <f ca="1">IF(I187="","",IF(COUNTIF($D$12:D187,D187)=1,IF(H187=1,I187*H187,IF(H187="X","X",0)),0))</f>
        <v/>
      </c>
      <c r="K187" s="248" t="str">
        <f t="shared" ca="1" si="22"/>
        <v/>
      </c>
      <c r="L187" s="238"/>
      <c r="M187" s="212"/>
      <c r="N187" s="212"/>
      <c r="O187" s="213"/>
      <c r="P187" s="212"/>
      <c r="Q187" s="214"/>
      <c r="R187" s="212"/>
      <c r="S187" s="212"/>
      <c r="T187" s="212"/>
      <c r="U187" s="212"/>
      <c r="V187" s="214"/>
      <c r="W187" s="214"/>
      <c r="X187" s="214"/>
      <c r="Y187" s="214"/>
      <c r="Z187" s="214"/>
      <c r="AA187" s="212"/>
      <c r="AB187" s="212"/>
      <c r="AC187" s="212"/>
      <c r="AD187" s="214">
        <v>2.6466440000000002</v>
      </c>
      <c r="AE187" s="214">
        <v>524</v>
      </c>
      <c r="AF187" s="214">
        <v>9.5999999999999992E-3</v>
      </c>
      <c r="AG187" s="214">
        <v>-99</v>
      </c>
      <c r="AH187" s="212" t="s">
        <v>224</v>
      </c>
      <c r="AI187" s="212" t="s">
        <v>449</v>
      </c>
      <c r="AJ187" s="212" t="s">
        <v>436</v>
      </c>
      <c r="AK187" s="212" t="s">
        <v>531</v>
      </c>
      <c r="AL187" s="212" t="s">
        <v>460</v>
      </c>
      <c r="AM187" s="214" t="b">
        <v>0</v>
      </c>
      <c r="AN187" s="214" t="b">
        <v>1</v>
      </c>
      <c r="AO187" s="212" t="s">
        <v>437</v>
      </c>
      <c r="AP187" s="212" t="s">
        <v>438</v>
      </c>
      <c r="AQ187" s="214">
        <v>106.16500000000001</v>
      </c>
      <c r="AR187" s="214" t="b">
        <v>0</v>
      </c>
      <c r="AS187" s="212" t="s">
        <v>534</v>
      </c>
    </row>
    <row r="188" spans="1:45" s="263" customFormat="1" ht="13.5" customHeight="1" x14ac:dyDescent="0.25">
      <c r="A188" s="245" t="str">
        <f t="shared" si="23"/>
        <v/>
      </c>
      <c r="B188" s="246" t="str">
        <f t="shared" si="16"/>
        <v/>
      </c>
      <c r="C188" s="246" t="str">
        <f>IF(B188="","",VLOOKUP(D188,'Species Data'!B:E,4,FALSE))</f>
        <v/>
      </c>
      <c r="D188" s="246" t="str">
        <f t="shared" ca="1" si="17"/>
        <v/>
      </c>
      <c r="E188" s="246" t="str">
        <f t="shared" ca="1" si="18"/>
        <v/>
      </c>
      <c r="F188" s="246" t="str">
        <f t="shared" ca="1" si="19"/>
        <v/>
      </c>
      <c r="G188" s="246" t="str">
        <f t="shared" ca="1" si="20"/>
        <v/>
      </c>
      <c r="H188" s="204" t="str">
        <f ca="1">IF(G188="","",IF(VLOOKUP(Separator!F188,'Species Data'!D:F,3,FALSE)=0,"X",IF(G188&lt;44.1,2,1)))</f>
        <v/>
      </c>
      <c r="I188" s="204" t="str">
        <f t="shared" ca="1" si="21"/>
        <v/>
      </c>
      <c r="J188" s="247" t="str">
        <f ca="1">IF(I188="","",IF(COUNTIF($D$12:D188,D188)=1,IF(H188=1,I188*H188,IF(H188="X","X",0)),0))</f>
        <v/>
      </c>
      <c r="K188" s="248" t="str">
        <f t="shared" ca="1" si="22"/>
        <v/>
      </c>
      <c r="L188" s="238"/>
      <c r="M188" s="212"/>
      <c r="N188" s="212"/>
      <c r="O188" s="213"/>
      <c r="P188" s="212"/>
      <c r="Q188" s="214"/>
      <c r="R188" s="212"/>
      <c r="S188" s="212"/>
      <c r="T188" s="212"/>
      <c r="U188" s="212"/>
      <c r="V188" s="214"/>
      <c r="W188" s="214"/>
      <c r="X188" s="214"/>
      <c r="Y188" s="214"/>
      <c r="Z188" s="214"/>
      <c r="AA188" s="212"/>
      <c r="AB188" s="212"/>
      <c r="AC188" s="212"/>
      <c r="AD188" s="214">
        <v>2.6466440000000002</v>
      </c>
      <c r="AE188" s="214">
        <v>529</v>
      </c>
      <c r="AF188" s="214">
        <v>62.094900000000003</v>
      </c>
      <c r="AG188" s="214">
        <v>-99</v>
      </c>
      <c r="AH188" s="212" t="s">
        <v>224</v>
      </c>
      <c r="AI188" s="212" t="s">
        <v>449</v>
      </c>
      <c r="AJ188" s="212" t="s">
        <v>271</v>
      </c>
      <c r="AK188" s="212" t="s">
        <v>531</v>
      </c>
      <c r="AL188" s="212" t="s">
        <v>376</v>
      </c>
      <c r="AM188" s="214" t="b">
        <v>0</v>
      </c>
      <c r="AN188" s="214" t="b">
        <v>0</v>
      </c>
      <c r="AO188" s="212" t="s">
        <v>272</v>
      </c>
      <c r="AP188" s="212" t="s">
        <v>531</v>
      </c>
      <c r="AQ188" s="214">
        <v>16.042459999999998</v>
      </c>
      <c r="AR188" s="214" t="b">
        <v>1</v>
      </c>
      <c r="AS188" s="212" t="s">
        <v>534</v>
      </c>
    </row>
    <row r="189" spans="1:45" s="263" customFormat="1" ht="13.5" customHeight="1" x14ac:dyDescent="0.25">
      <c r="A189" s="245" t="str">
        <f t="shared" si="23"/>
        <v/>
      </c>
      <c r="B189" s="246" t="str">
        <f t="shared" si="16"/>
        <v/>
      </c>
      <c r="C189" s="246" t="str">
        <f>IF(B189="","",VLOOKUP(D189,'Species Data'!B:E,4,FALSE))</f>
        <v/>
      </c>
      <c r="D189" s="246" t="str">
        <f t="shared" ca="1" si="17"/>
        <v/>
      </c>
      <c r="E189" s="246" t="str">
        <f t="shared" ca="1" si="18"/>
        <v/>
      </c>
      <c r="F189" s="246" t="str">
        <f t="shared" ca="1" si="19"/>
        <v/>
      </c>
      <c r="G189" s="246" t="str">
        <f t="shared" ca="1" si="20"/>
        <v/>
      </c>
      <c r="H189" s="204" t="str">
        <f ca="1">IF(G189="","",IF(VLOOKUP(Separator!F189,'Species Data'!D:F,3,FALSE)=0,"X",IF(G189&lt;44.1,2,1)))</f>
        <v/>
      </c>
      <c r="I189" s="204" t="str">
        <f t="shared" ca="1" si="21"/>
        <v/>
      </c>
      <c r="J189" s="247" t="str">
        <f ca="1">IF(I189="","",IF(COUNTIF($D$12:D189,D189)=1,IF(H189=1,I189*H189,IF(H189="X","X",0)),0))</f>
        <v/>
      </c>
      <c r="K189" s="248" t="str">
        <f t="shared" ca="1" si="22"/>
        <v/>
      </c>
      <c r="L189" s="238"/>
      <c r="M189" s="212"/>
      <c r="N189" s="212"/>
      <c r="O189" s="213"/>
      <c r="P189" s="212"/>
      <c r="Q189" s="214"/>
      <c r="R189" s="212"/>
      <c r="S189" s="212"/>
      <c r="T189" s="212"/>
      <c r="U189" s="212"/>
      <c r="V189" s="214"/>
      <c r="W189" s="214"/>
      <c r="X189" s="214"/>
      <c r="Y189" s="214"/>
      <c r="Z189" s="214"/>
      <c r="AA189" s="212"/>
      <c r="AB189" s="212"/>
      <c r="AC189" s="212"/>
      <c r="AD189" s="214">
        <v>2.6466440000000002</v>
      </c>
      <c r="AE189" s="214">
        <v>550</v>
      </c>
      <c r="AF189" s="214">
        <v>1.6899999999999998E-2</v>
      </c>
      <c r="AG189" s="214">
        <v>-99</v>
      </c>
      <c r="AH189" s="212" t="s">
        <v>224</v>
      </c>
      <c r="AI189" s="212" t="s">
        <v>449</v>
      </c>
      <c r="AJ189" s="212" t="s">
        <v>348</v>
      </c>
      <c r="AK189" s="212" t="s">
        <v>531</v>
      </c>
      <c r="AL189" s="212" t="s">
        <v>396</v>
      </c>
      <c r="AM189" s="214" t="b">
        <v>1</v>
      </c>
      <c r="AN189" s="214" t="b">
        <v>0</v>
      </c>
      <c r="AO189" s="212" t="s">
        <v>349</v>
      </c>
      <c r="AP189" s="212" t="s">
        <v>350</v>
      </c>
      <c r="AQ189" s="214">
        <v>98.186059999999998</v>
      </c>
      <c r="AR189" s="214" t="b">
        <v>0</v>
      </c>
      <c r="AS189" s="212" t="s">
        <v>534</v>
      </c>
    </row>
    <row r="190" spans="1:45" s="263" customFormat="1" ht="13.5" customHeight="1" x14ac:dyDescent="0.25">
      <c r="A190" s="245" t="str">
        <f t="shared" si="23"/>
        <v/>
      </c>
      <c r="B190" s="246" t="str">
        <f t="shared" si="16"/>
        <v/>
      </c>
      <c r="C190" s="246" t="str">
        <f>IF(B190="","",VLOOKUP(D190,'Species Data'!B:E,4,FALSE))</f>
        <v/>
      </c>
      <c r="D190" s="246" t="str">
        <f t="shared" ca="1" si="17"/>
        <v/>
      </c>
      <c r="E190" s="246" t="str">
        <f t="shared" ca="1" si="18"/>
        <v/>
      </c>
      <c r="F190" s="246" t="str">
        <f t="shared" ca="1" si="19"/>
        <v/>
      </c>
      <c r="G190" s="246" t="str">
        <f t="shared" ca="1" si="20"/>
        <v/>
      </c>
      <c r="H190" s="204" t="str">
        <f ca="1">IF(G190="","",IF(VLOOKUP(Separator!F190,'Species Data'!D:F,3,FALSE)=0,"X",IF(G190&lt;44.1,2,1)))</f>
        <v/>
      </c>
      <c r="I190" s="204" t="str">
        <f t="shared" ca="1" si="21"/>
        <v/>
      </c>
      <c r="J190" s="247" t="str">
        <f ca="1">IF(I190="","",IF(COUNTIF($D$12:D190,D190)=1,IF(H190=1,I190*H190,IF(H190="X","X",0)),0))</f>
        <v/>
      </c>
      <c r="K190" s="248" t="str">
        <f t="shared" ca="1" si="22"/>
        <v/>
      </c>
      <c r="L190" s="238"/>
      <c r="M190" s="212"/>
      <c r="N190" s="212"/>
      <c r="O190" s="213"/>
      <c r="P190" s="212"/>
      <c r="Q190" s="214"/>
      <c r="R190" s="212"/>
      <c r="S190" s="212"/>
      <c r="T190" s="212"/>
      <c r="U190" s="212"/>
      <c r="V190" s="214"/>
      <c r="W190" s="214"/>
      <c r="X190" s="214"/>
      <c r="Y190" s="214"/>
      <c r="Z190" s="214"/>
      <c r="AA190" s="212"/>
      <c r="AB190" s="212"/>
      <c r="AC190" s="212"/>
      <c r="AD190" s="214">
        <v>2.6466440000000002</v>
      </c>
      <c r="AE190" s="214">
        <v>551</v>
      </c>
      <c r="AF190" s="214">
        <v>0.14119999999999999</v>
      </c>
      <c r="AG190" s="214">
        <v>-99</v>
      </c>
      <c r="AH190" s="212" t="s">
        <v>224</v>
      </c>
      <c r="AI190" s="212" t="s">
        <v>449</v>
      </c>
      <c r="AJ190" s="212" t="s">
        <v>351</v>
      </c>
      <c r="AK190" s="212" t="s">
        <v>531</v>
      </c>
      <c r="AL190" s="212" t="s">
        <v>397</v>
      </c>
      <c r="AM190" s="214" t="b">
        <v>1</v>
      </c>
      <c r="AN190" s="214" t="b">
        <v>0</v>
      </c>
      <c r="AO190" s="212" t="s">
        <v>352</v>
      </c>
      <c r="AP190" s="212" t="s">
        <v>353</v>
      </c>
      <c r="AQ190" s="214">
        <v>84.159480000000002</v>
      </c>
      <c r="AR190" s="214" t="b">
        <v>0</v>
      </c>
      <c r="AS190" s="212" t="s">
        <v>534</v>
      </c>
    </row>
    <row r="191" spans="1:45" s="263" customFormat="1" ht="13.5" customHeight="1" x14ac:dyDescent="0.25">
      <c r="A191" s="245" t="str">
        <f t="shared" si="23"/>
        <v/>
      </c>
      <c r="B191" s="246" t="str">
        <f t="shared" si="16"/>
        <v/>
      </c>
      <c r="C191" s="246" t="str">
        <f>IF(B191="","",VLOOKUP(D191,'Species Data'!B:E,4,FALSE))</f>
        <v/>
      </c>
      <c r="D191" s="246" t="str">
        <f t="shared" ca="1" si="17"/>
        <v/>
      </c>
      <c r="E191" s="246" t="str">
        <f t="shared" ca="1" si="18"/>
        <v/>
      </c>
      <c r="F191" s="246" t="str">
        <f t="shared" ca="1" si="19"/>
        <v/>
      </c>
      <c r="G191" s="246" t="str">
        <f t="shared" ca="1" si="20"/>
        <v/>
      </c>
      <c r="H191" s="204" t="str">
        <f ca="1">IF(G191="","",IF(VLOOKUP(Separator!F191,'Species Data'!D:F,3,FALSE)=0,"X",IF(G191&lt;44.1,2,1)))</f>
        <v/>
      </c>
      <c r="I191" s="204" t="str">
        <f t="shared" ca="1" si="21"/>
        <v/>
      </c>
      <c r="J191" s="247" t="str">
        <f ca="1">IF(I191="","",IF(COUNTIF($D$12:D191,D191)=1,IF(H191=1,I191*H191,IF(H191="X","X",0)),0))</f>
        <v/>
      </c>
      <c r="K191" s="248" t="str">
        <f t="shared" ca="1" si="22"/>
        <v/>
      </c>
      <c r="L191" s="238"/>
      <c r="M191" s="212"/>
      <c r="N191" s="212"/>
      <c r="O191" s="213"/>
      <c r="P191" s="212"/>
      <c r="Q191" s="214"/>
      <c r="R191" s="212"/>
      <c r="S191" s="212"/>
      <c r="T191" s="212"/>
      <c r="U191" s="212"/>
      <c r="V191" s="214"/>
      <c r="W191" s="214"/>
      <c r="X191" s="214"/>
      <c r="Y191" s="214"/>
      <c r="Z191" s="214"/>
      <c r="AA191" s="212"/>
      <c r="AB191" s="212"/>
      <c r="AC191" s="212"/>
      <c r="AD191" s="214">
        <v>2.6466440000000002</v>
      </c>
      <c r="AE191" s="214">
        <v>592</v>
      </c>
      <c r="AF191" s="214">
        <v>6.8400000000000002E-2</v>
      </c>
      <c r="AG191" s="214">
        <v>-99</v>
      </c>
      <c r="AH191" s="212" t="s">
        <v>224</v>
      </c>
      <c r="AI191" s="212" t="s">
        <v>449</v>
      </c>
      <c r="AJ191" s="212" t="s">
        <v>273</v>
      </c>
      <c r="AK191" s="212" t="s">
        <v>531</v>
      </c>
      <c r="AL191" s="212" t="s">
        <v>377</v>
      </c>
      <c r="AM191" s="214" t="b">
        <v>1</v>
      </c>
      <c r="AN191" s="214" t="b">
        <v>0</v>
      </c>
      <c r="AO191" s="212" t="s">
        <v>274</v>
      </c>
      <c r="AP191" s="212" t="s">
        <v>275</v>
      </c>
      <c r="AQ191" s="214">
        <v>58.122199999999992</v>
      </c>
      <c r="AR191" s="214" t="b">
        <v>0</v>
      </c>
      <c r="AS191" s="212" t="s">
        <v>534</v>
      </c>
    </row>
    <row r="192" spans="1:45" s="263" customFormat="1" ht="13.5" customHeight="1" x14ac:dyDescent="0.25">
      <c r="A192" s="245" t="str">
        <f t="shared" si="23"/>
        <v/>
      </c>
      <c r="B192" s="246" t="str">
        <f t="shared" si="16"/>
        <v/>
      </c>
      <c r="C192" s="246" t="str">
        <f>IF(B192="","",VLOOKUP(D192,'Species Data'!B:E,4,FALSE))</f>
        <v/>
      </c>
      <c r="D192" s="246" t="str">
        <f t="shared" ca="1" si="17"/>
        <v/>
      </c>
      <c r="E192" s="246" t="str">
        <f t="shared" ca="1" si="18"/>
        <v/>
      </c>
      <c r="F192" s="246" t="str">
        <f t="shared" ca="1" si="19"/>
        <v/>
      </c>
      <c r="G192" s="246" t="str">
        <f t="shared" ca="1" si="20"/>
        <v/>
      </c>
      <c r="H192" s="204" t="str">
        <f ca="1">IF(G192="","",IF(VLOOKUP(Separator!F192,'Species Data'!D:F,3,FALSE)=0,"X",IF(G192&lt;44.1,2,1)))</f>
        <v/>
      </c>
      <c r="I192" s="204" t="str">
        <f t="shared" ca="1" si="21"/>
        <v/>
      </c>
      <c r="J192" s="247" t="str">
        <f ca="1">IF(I192="","",IF(COUNTIF($D$12:D192,D192)=1,IF(H192=1,I192*H192,IF(H192="X","X",0)),0))</f>
        <v/>
      </c>
      <c r="K192" s="248" t="str">
        <f t="shared" ca="1" si="22"/>
        <v/>
      </c>
      <c r="L192" s="238"/>
      <c r="M192" s="212"/>
      <c r="N192" s="212"/>
      <c r="O192" s="213"/>
      <c r="P192" s="212"/>
      <c r="Q192" s="214"/>
      <c r="R192" s="212"/>
      <c r="S192" s="212"/>
      <c r="T192" s="212"/>
      <c r="U192" s="212"/>
      <c r="V192" s="214"/>
      <c r="W192" s="214"/>
      <c r="X192" s="214"/>
      <c r="Y192" s="214"/>
      <c r="Z192" s="214"/>
      <c r="AA192" s="212"/>
      <c r="AB192" s="212"/>
      <c r="AC192" s="212"/>
      <c r="AD192" s="214">
        <v>2.6466440000000002</v>
      </c>
      <c r="AE192" s="214">
        <v>598</v>
      </c>
      <c r="AF192" s="214">
        <v>0.15279999999999999</v>
      </c>
      <c r="AG192" s="214">
        <v>-99</v>
      </c>
      <c r="AH192" s="212" t="s">
        <v>224</v>
      </c>
      <c r="AI192" s="212" t="s">
        <v>449</v>
      </c>
      <c r="AJ192" s="212" t="s">
        <v>414</v>
      </c>
      <c r="AK192" s="212" t="s">
        <v>531</v>
      </c>
      <c r="AL192" s="212" t="s">
        <v>452</v>
      </c>
      <c r="AM192" s="214" t="b">
        <v>1</v>
      </c>
      <c r="AN192" s="214" t="b">
        <v>0</v>
      </c>
      <c r="AO192" s="212" t="s">
        <v>415</v>
      </c>
      <c r="AP192" s="212" t="s">
        <v>416</v>
      </c>
      <c r="AQ192" s="214">
        <v>142.28167999999999</v>
      </c>
      <c r="AR192" s="214" t="b">
        <v>0</v>
      </c>
      <c r="AS192" s="212" t="s">
        <v>534</v>
      </c>
    </row>
    <row r="193" spans="1:45" s="263" customFormat="1" ht="13.5" customHeight="1" x14ac:dyDescent="0.25">
      <c r="A193" s="245" t="str">
        <f t="shared" si="23"/>
        <v/>
      </c>
      <c r="B193" s="246" t="str">
        <f t="shared" si="16"/>
        <v/>
      </c>
      <c r="C193" s="246" t="str">
        <f>IF(B193="","",VLOOKUP(D193,'Species Data'!B:E,4,FALSE))</f>
        <v/>
      </c>
      <c r="D193" s="246" t="str">
        <f t="shared" ca="1" si="17"/>
        <v/>
      </c>
      <c r="E193" s="246" t="str">
        <f t="shared" ca="1" si="18"/>
        <v/>
      </c>
      <c r="F193" s="246" t="str">
        <f t="shared" ca="1" si="19"/>
        <v/>
      </c>
      <c r="G193" s="246" t="str">
        <f t="shared" ca="1" si="20"/>
        <v/>
      </c>
      <c r="H193" s="204" t="str">
        <f ca="1">IF(G193="","",IF(VLOOKUP(Separator!F193,'Species Data'!D:F,3,FALSE)=0,"X",IF(G193&lt;44.1,2,1)))</f>
        <v/>
      </c>
      <c r="I193" s="204" t="str">
        <f t="shared" ca="1" si="21"/>
        <v/>
      </c>
      <c r="J193" s="247" t="str">
        <f ca="1">IF(I193="","",IF(COUNTIF($D$12:D193,D193)=1,IF(H193=1,I193*H193,IF(H193="X","X",0)),0))</f>
        <v/>
      </c>
      <c r="K193" s="248" t="str">
        <f t="shared" ca="1" si="22"/>
        <v/>
      </c>
      <c r="L193" s="238"/>
      <c r="M193" s="212"/>
      <c r="N193" s="212"/>
      <c r="O193" s="213"/>
      <c r="P193" s="212"/>
      <c r="Q193" s="214"/>
      <c r="R193" s="212"/>
      <c r="S193" s="212"/>
      <c r="T193" s="212"/>
      <c r="U193" s="212"/>
      <c r="V193" s="214"/>
      <c r="W193" s="214"/>
      <c r="X193" s="214"/>
      <c r="Y193" s="214"/>
      <c r="Z193" s="214"/>
      <c r="AA193" s="212"/>
      <c r="AB193" s="212"/>
      <c r="AC193" s="212"/>
      <c r="AD193" s="214">
        <v>2.6466440000000002</v>
      </c>
      <c r="AE193" s="214">
        <v>601</v>
      </c>
      <c r="AF193" s="214">
        <v>8.2000000000000007E-3</v>
      </c>
      <c r="AG193" s="214">
        <v>-99</v>
      </c>
      <c r="AH193" s="212" t="s">
        <v>224</v>
      </c>
      <c r="AI193" s="212" t="s">
        <v>449</v>
      </c>
      <c r="AJ193" s="212" t="s">
        <v>279</v>
      </c>
      <c r="AK193" s="212" t="s">
        <v>531</v>
      </c>
      <c r="AL193" s="212" t="s">
        <v>379</v>
      </c>
      <c r="AM193" s="214" t="b">
        <v>1</v>
      </c>
      <c r="AN193" s="214" t="b">
        <v>1</v>
      </c>
      <c r="AO193" s="212" t="s">
        <v>280</v>
      </c>
      <c r="AP193" s="212" t="s">
        <v>281</v>
      </c>
      <c r="AQ193" s="214">
        <v>86.175359999999998</v>
      </c>
      <c r="AR193" s="214" t="b">
        <v>0</v>
      </c>
      <c r="AS193" s="212" t="s">
        <v>534</v>
      </c>
    </row>
    <row r="194" spans="1:45" s="263" customFormat="1" ht="13.5" customHeight="1" x14ac:dyDescent="0.25">
      <c r="A194" s="245" t="str">
        <f t="shared" si="23"/>
        <v/>
      </c>
      <c r="B194" s="246" t="str">
        <f t="shared" si="16"/>
        <v/>
      </c>
      <c r="C194" s="246" t="str">
        <f>IF(B194="","",VLOOKUP(D194,'Species Data'!B:E,4,FALSE))</f>
        <v/>
      </c>
      <c r="D194" s="246" t="str">
        <f t="shared" ca="1" si="17"/>
        <v/>
      </c>
      <c r="E194" s="246" t="str">
        <f t="shared" ca="1" si="18"/>
        <v/>
      </c>
      <c r="F194" s="246" t="str">
        <f t="shared" ca="1" si="19"/>
        <v/>
      </c>
      <c r="G194" s="246" t="str">
        <f t="shared" ca="1" si="20"/>
        <v/>
      </c>
      <c r="H194" s="204" t="str">
        <f ca="1">IF(G194="","",IF(VLOOKUP(Separator!F194,'Species Data'!D:F,3,FALSE)=0,"X",IF(G194&lt;44.1,2,1)))</f>
        <v/>
      </c>
      <c r="I194" s="204" t="str">
        <f t="shared" ca="1" si="21"/>
        <v/>
      </c>
      <c r="J194" s="247" t="str">
        <f ca="1">IF(I194="","",IF(COUNTIF($D$12:D194,D194)=1,IF(H194=1,I194*H194,IF(H194="X","X",0)),0))</f>
        <v/>
      </c>
      <c r="K194" s="248" t="str">
        <f t="shared" ca="1" si="22"/>
        <v/>
      </c>
      <c r="L194" s="238"/>
      <c r="M194" s="212"/>
      <c r="N194" s="212"/>
      <c r="O194" s="213"/>
      <c r="P194" s="212"/>
      <c r="Q194" s="214"/>
      <c r="R194" s="212"/>
      <c r="S194" s="212"/>
      <c r="T194" s="212"/>
      <c r="U194" s="212"/>
      <c r="V194" s="214"/>
      <c r="W194" s="214"/>
      <c r="X194" s="214"/>
      <c r="Y194" s="214"/>
      <c r="Z194" s="214"/>
      <c r="AA194" s="212"/>
      <c r="AB194" s="212"/>
      <c r="AC194" s="212"/>
      <c r="AD194" s="214">
        <v>2.6466440000000002</v>
      </c>
      <c r="AE194" s="214">
        <v>603</v>
      </c>
      <c r="AF194" s="214">
        <v>0.14630000000000001</v>
      </c>
      <c r="AG194" s="214">
        <v>-99</v>
      </c>
      <c r="AH194" s="212" t="s">
        <v>224</v>
      </c>
      <c r="AI194" s="212" t="s">
        <v>449</v>
      </c>
      <c r="AJ194" s="212" t="s">
        <v>417</v>
      </c>
      <c r="AK194" s="212" t="s">
        <v>531</v>
      </c>
      <c r="AL194" s="212" t="s">
        <v>453</v>
      </c>
      <c r="AM194" s="214" t="b">
        <v>1</v>
      </c>
      <c r="AN194" s="214" t="b">
        <v>0</v>
      </c>
      <c r="AO194" s="212" t="s">
        <v>418</v>
      </c>
      <c r="AP194" s="212" t="s">
        <v>419</v>
      </c>
      <c r="AQ194" s="214">
        <v>128.2551</v>
      </c>
      <c r="AR194" s="214" t="b">
        <v>0</v>
      </c>
      <c r="AS194" s="212" t="s">
        <v>534</v>
      </c>
    </row>
    <row r="195" spans="1:45" s="263" customFormat="1" ht="13.5" customHeight="1" x14ac:dyDescent="0.25">
      <c r="A195" s="245" t="str">
        <f t="shared" si="23"/>
        <v/>
      </c>
      <c r="B195" s="246" t="str">
        <f t="shared" si="16"/>
        <v/>
      </c>
      <c r="C195" s="246" t="str">
        <f>IF(B195="","",VLOOKUP(D195,'Species Data'!B:E,4,FALSE))</f>
        <v/>
      </c>
      <c r="D195" s="246" t="str">
        <f t="shared" ca="1" si="17"/>
        <v/>
      </c>
      <c r="E195" s="246" t="str">
        <f t="shared" ca="1" si="18"/>
        <v/>
      </c>
      <c r="F195" s="246" t="str">
        <f t="shared" ca="1" si="19"/>
        <v/>
      </c>
      <c r="G195" s="246" t="str">
        <f t="shared" ca="1" si="20"/>
        <v/>
      </c>
      <c r="H195" s="204" t="str">
        <f ca="1">IF(G195="","",IF(VLOOKUP(Separator!F195,'Species Data'!D:F,3,FALSE)=0,"X",IF(G195&lt;44.1,2,1)))</f>
        <v/>
      </c>
      <c r="I195" s="204" t="str">
        <f t="shared" ca="1" si="21"/>
        <v/>
      </c>
      <c r="J195" s="247" t="str">
        <f ca="1">IF(I195="","",IF(COUNTIF($D$12:D195,D195)=1,IF(H195=1,I195*H195,IF(H195="X","X",0)),0))</f>
        <v/>
      </c>
      <c r="K195" s="248" t="str">
        <f t="shared" ca="1" si="22"/>
        <v/>
      </c>
      <c r="L195" s="238"/>
      <c r="M195" s="212"/>
      <c r="N195" s="212"/>
      <c r="O195" s="213"/>
      <c r="P195" s="212"/>
      <c r="Q195" s="214"/>
      <c r="R195" s="212"/>
      <c r="S195" s="212"/>
      <c r="T195" s="212"/>
      <c r="U195" s="212"/>
      <c r="V195" s="214"/>
      <c r="W195" s="214"/>
      <c r="X195" s="214"/>
      <c r="Y195" s="214"/>
      <c r="Z195" s="214"/>
      <c r="AA195" s="212"/>
      <c r="AB195" s="212"/>
      <c r="AC195" s="212"/>
      <c r="AD195" s="214">
        <v>2.6466440000000002</v>
      </c>
      <c r="AE195" s="214">
        <v>604</v>
      </c>
      <c r="AF195" s="214">
        <v>1.4280999999999999</v>
      </c>
      <c r="AG195" s="214">
        <v>-99</v>
      </c>
      <c r="AH195" s="212" t="s">
        <v>224</v>
      </c>
      <c r="AI195" s="212" t="s">
        <v>449</v>
      </c>
      <c r="AJ195" s="212" t="s">
        <v>282</v>
      </c>
      <c r="AK195" s="212" t="s">
        <v>531</v>
      </c>
      <c r="AL195" s="212" t="s">
        <v>380</v>
      </c>
      <c r="AM195" s="214" t="b">
        <v>1</v>
      </c>
      <c r="AN195" s="214" t="b">
        <v>0</v>
      </c>
      <c r="AO195" s="212" t="s">
        <v>283</v>
      </c>
      <c r="AP195" s="212" t="s">
        <v>284</v>
      </c>
      <c r="AQ195" s="214">
        <v>114.22852</v>
      </c>
      <c r="AR195" s="214" t="b">
        <v>0</v>
      </c>
      <c r="AS195" s="212" t="s">
        <v>534</v>
      </c>
    </row>
    <row r="196" spans="1:45" s="263" customFormat="1" ht="13.5" customHeight="1" x14ac:dyDescent="0.25">
      <c r="A196" s="245" t="str">
        <f t="shared" si="23"/>
        <v/>
      </c>
      <c r="B196" s="246" t="str">
        <f t="shared" si="16"/>
        <v/>
      </c>
      <c r="C196" s="246" t="str">
        <f>IF(B196="","",VLOOKUP(D196,'Species Data'!B:E,4,FALSE))</f>
        <v/>
      </c>
      <c r="D196" s="246" t="str">
        <f t="shared" ca="1" si="17"/>
        <v/>
      </c>
      <c r="E196" s="246" t="str">
        <f t="shared" ca="1" si="18"/>
        <v/>
      </c>
      <c r="F196" s="246" t="str">
        <f t="shared" ca="1" si="19"/>
        <v/>
      </c>
      <c r="G196" s="246" t="str">
        <f t="shared" ca="1" si="20"/>
        <v/>
      </c>
      <c r="H196" s="204" t="str">
        <f ca="1">IF(G196="","",IF(VLOOKUP(Separator!F196,'Species Data'!D:F,3,FALSE)=0,"X",IF(G196&lt;44.1,2,1)))</f>
        <v/>
      </c>
      <c r="I196" s="204" t="str">
        <f t="shared" ca="1" si="21"/>
        <v/>
      </c>
      <c r="J196" s="247" t="str">
        <f ca="1">IF(I196="","",IF(COUNTIF($D$12:D196,D196)=1,IF(H196=1,I196*H196,IF(H196="X","X",0)),0))</f>
        <v/>
      </c>
      <c r="K196" s="248" t="str">
        <f t="shared" ca="1" si="22"/>
        <v/>
      </c>
      <c r="L196" s="238"/>
      <c r="M196" s="212"/>
      <c r="N196" s="212"/>
      <c r="O196" s="213"/>
      <c r="P196" s="212"/>
      <c r="Q196" s="214"/>
      <c r="R196" s="212"/>
      <c r="S196" s="212"/>
      <c r="T196" s="212"/>
      <c r="U196" s="212"/>
      <c r="V196" s="214"/>
      <c r="W196" s="214"/>
      <c r="X196" s="214"/>
      <c r="Y196" s="214"/>
      <c r="Z196" s="214"/>
      <c r="AA196" s="212"/>
      <c r="AB196" s="212"/>
      <c r="AC196" s="212"/>
      <c r="AD196" s="214">
        <v>2.6466440000000002</v>
      </c>
      <c r="AE196" s="214">
        <v>605</v>
      </c>
      <c r="AF196" s="214">
        <v>2.5000000000000001E-2</v>
      </c>
      <c r="AG196" s="214">
        <v>-99</v>
      </c>
      <c r="AH196" s="212" t="s">
        <v>224</v>
      </c>
      <c r="AI196" s="212" t="s">
        <v>449</v>
      </c>
      <c r="AJ196" s="212" t="s">
        <v>285</v>
      </c>
      <c r="AK196" s="212" t="s">
        <v>531</v>
      </c>
      <c r="AL196" s="212" t="s">
        <v>381</v>
      </c>
      <c r="AM196" s="214" t="b">
        <v>1</v>
      </c>
      <c r="AN196" s="214" t="b">
        <v>0</v>
      </c>
      <c r="AO196" s="212" t="s">
        <v>286</v>
      </c>
      <c r="AP196" s="212" t="s">
        <v>287</v>
      </c>
      <c r="AQ196" s="214">
        <v>72.148780000000002</v>
      </c>
      <c r="AR196" s="214" t="b">
        <v>0</v>
      </c>
      <c r="AS196" s="212" t="s">
        <v>534</v>
      </c>
    </row>
    <row r="197" spans="1:45" s="263" customFormat="1" ht="13.5" customHeight="1" x14ac:dyDescent="0.25">
      <c r="A197" s="245" t="str">
        <f t="shared" si="23"/>
        <v/>
      </c>
      <c r="B197" s="246" t="str">
        <f t="shared" si="16"/>
        <v/>
      </c>
      <c r="C197" s="246" t="str">
        <f>IF(B197="","",VLOOKUP(D197,'Species Data'!B:E,4,FALSE))</f>
        <v/>
      </c>
      <c r="D197" s="246" t="str">
        <f t="shared" ca="1" si="17"/>
        <v/>
      </c>
      <c r="E197" s="246" t="str">
        <f t="shared" ca="1" si="18"/>
        <v/>
      </c>
      <c r="F197" s="246" t="str">
        <f t="shared" ca="1" si="19"/>
        <v/>
      </c>
      <c r="G197" s="246" t="str">
        <f t="shared" ca="1" si="20"/>
        <v/>
      </c>
      <c r="H197" s="204" t="str">
        <f ca="1">IF(G197="","",IF(VLOOKUP(Separator!F197,'Species Data'!D:F,3,FALSE)=0,"X",IF(G197&lt;44.1,2,1)))</f>
        <v/>
      </c>
      <c r="I197" s="204" t="str">
        <f t="shared" ca="1" si="21"/>
        <v/>
      </c>
      <c r="J197" s="247" t="str">
        <f ca="1">IF(I197="","",IF(COUNTIF($D$12:D197,D197)=1,IF(H197=1,I197*H197,IF(H197="X","X",0)),0))</f>
        <v/>
      </c>
      <c r="K197" s="248" t="str">
        <f t="shared" ca="1" si="22"/>
        <v/>
      </c>
      <c r="L197" s="238"/>
      <c r="M197" s="212"/>
      <c r="N197" s="212"/>
      <c r="O197" s="213"/>
      <c r="P197" s="212"/>
      <c r="Q197" s="214"/>
      <c r="R197" s="212"/>
      <c r="S197" s="212"/>
      <c r="T197" s="212"/>
      <c r="U197" s="212"/>
      <c r="V197" s="214"/>
      <c r="W197" s="214"/>
      <c r="X197" s="214"/>
      <c r="Y197" s="214"/>
      <c r="Z197" s="214"/>
      <c r="AA197" s="212"/>
      <c r="AB197" s="212"/>
      <c r="AC197" s="212"/>
      <c r="AD197" s="214">
        <v>2.6466440000000002</v>
      </c>
      <c r="AE197" s="214">
        <v>608</v>
      </c>
      <c r="AF197" s="214">
        <v>0.14319999999999999</v>
      </c>
      <c r="AG197" s="214">
        <v>-99</v>
      </c>
      <c r="AH197" s="212" t="s">
        <v>224</v>
      </c>
      <c r="AI197" s="212" t="s">
        <v>449</v>
      </c>
      <c r="AJ197" s="212" t="s">
        <v>420</v>
      </c>
      <c r="AK197" s="212" t="s">
        <v>531</v>
      </c>
      <c r="AL197" s="212" t="s">
        <v>454</v>
      </c>
      <c r="AM197" s="214" t="b">
        <v>1</v>
      </c>
      <c r="AN197" s="214" t="b">
        <v>0</v>
      </c>
      <c r="AO197" s="212" t="s">
        <v>421</v>
      </c>
      <c r="AP197" s="212" t="s">
        <v>422</v>
      </c>
      <c r="AQ197" s="214">
        <v>120.19158</v>
      </c>
      <c r="AR197" s="214" t="b">
        <v>0</v>
      </c>
      <c r="AS197" s="212" t="s">
        <v>534</v>
      </c>
    </row>
    <row r="198" spans="1:45" s="263" customFormat="1" ht="13.5" customHeight="1" x14ac:dyDescent="0.25">
      <c r="A198" s="245" t="str">
        <f t="shared" si="23"/>
        <v/>
      </c>
      <c r="B198" s="246" t="str">
        <f t="shared" si="16"/>
        <v/>
      </c>
      <c r="C198" s="246" t="str">
        <f>IF(B198="","",VLOOKUP(D198,'Species Data'!B:E,4,FALSE))</f>
        <v/>
      </c>
      <c r="D198" s="246" t="str">
        <f t="shared" ca="1" si="17"/>
        <v/>
      </c>
      <c r="E198" s="246" t="str">
        <f t="shared" ca="1" si="18"/>
        <v/>
      </c>
      <c r="F198" s="246" t="str">
        <f t="shared" ca="1" si="19"/>
        <v/>
      </c>
      <c r="G198" s="246" t="str">
        <f t="shared" ca="1" si="20"/>
        <v/>
      </c>
      <c r="H198" s="204" t="str">
        <f ca="1">IF(G198="","",IF(VLOOKUP(Separator!F198,'Species Data'!D:F,3,FALSE)=0,"X",IF(G198&lt;44.1,2,1)))</f>
        <v/>
      </c>
      <c r="I198" s="204" t="str">
        <f t="shared" ca="1" si="21"/>
        <v/>
      </c>
      <c r="J198" s="247" t="str">
        <f ca="1">IF(I198="","",IF(COUNTIF($D$12:D198,D198)=1,IF(H198=1,I198*H198,IF(H198="X","X",0)),0))</f>
        <v/>
      </c>
      <c r="K198" s="248" t="str">
        <f t="shared" ca="1" si="22"/>
        <v/>
      </c>
      <c r="L198" s="238"/>
      <c r="M198" s="212"/>
      <c r="N198" s="212"/>
      <c r="O198" s="213"/>
      <c r="P198" s="212"/>
      <c r="Q198" s="214"/>
      <c r="R198" s="212"/>
      <c r="S198" s="212"/>
      <c r="T198" s="212"/>
      <c r="U198" s="212"/>
      <c r="V198" s="214"/>
      <c r="W198" s="214"/>
      <c r="X198" s="214"/>
      <c r="Y198" s="214"/>
      <c r="Z198" s="214"/>
      <c r="AA198" s="212"/>
      <c r="AB198" s="212"/>
      <c r="AC198" s="212"/>
      <c r="AD198" s="214">
        <v>2.6466440000000002</v>
      </c>
      <c r="AE198" s="214">
        <v>610</v>
      </c>
      <c r="AF198" s="214">
        <v>0.11509999999999999</v>
      </c>
      <c r="AG198" s="214">
        <v>-99</v>
      </c>
      <c r="AH198" s="212" t="s">
        <v>224</v>
      </c>
      <c r="AI198" s="212" t="s">
        <v>449</v>
      </c>
      <c r="AJ198" s="212" t="s">
        <v>430</v>
      </c>
      <c r="AK198" s="212" t="s">
        <v>531</v>
      </c>
      <c r="AL198" s="212" t="s">
        <v>458</v>
      </c>
      <c r="AM198" s="214" t="b">
        <v>1</v>
      </c>
      <c r="AN198" s="214" t="b">
        <v>0</v>
      </c>
      <c r="AO198" s="212" t="s">
        <v>431</v>
      </c>
      <c r="AP198" s="212" t="s">
        <v>432</v>
      </c>
      <c r="AQ198" s="214">
        <v>156.30826000000002</v>
      </c>
      <c r="AR198" s="214" t="b">
        <v>0</v>
      </c>
      <c r="AS198" s="212" t="s">
        <v>534</v>
      </c>
    </row>
    <row r="199" spans="1:45" s="263" customFormat="1" ht="13.5" customHeight="1" x14ac:dyDescent="0.25">
      <c r="A199" s="245" t="str">
        <f t="shared" si="23"/>
        <v/>
      </c>
      <c r="B199" s="246" t="str">
        <f t="shared" si="16"/>
        <v/>
      </c>
      <c r="C199" s="246" t="str">
        <f>IF(B199="","",VLOOKUP(D199,'Species Data'!B:E,4,FALSE))</f>
        <v/>
      </c>
      <c r="D199" s="246" t="str">
        <f t="shared" ca="1" si="17"/>
        <v/>
      </c>
      <c r="E199" s="246" t="str">
        <f t="shared" ca="1" si="18"/>
        <v/>
      </c>
      <c r="F199" s="246" t="str">
        <f t="shared" ca="1" si="19"/>
        <v/>
      </c>
      <c r="G199" s="246" t="str">
        <f t="shared" ca="1" si="20"/>
        <v/>
      </c>
      <c r="H199" s="204" t="str">
        <f ca="1">IF(G199="","",IF(VLOOKUP(Separator!F199,'Species Data'!D:F,3,FALSE)=0,"X",IF(G199&lt;44.1,2,1)))</f>
        <v/>
      </c>
      <c r="I199" s="204" t="str">
        <f t="shared" ca="1" si="21"/>
        <v/>
      </c>
      <c r="J199" s="247" t="str">
        <f ca="1">IF(I199="","",IF(COUNTIF($D$12:D199,D199)=1,IF(H199=1,I199*H199,IF(H199="X","X",0)),0))</f>
        <v/>
      </c>
      <c r="K199" s="248" t="str">
        <f t="shared" ca="1" si="22"/>
        <v/>
      </c>
      <c r="L199" s="238"/>
      <c r="M199" s="212"/>
      <c r="N199" s="212"/>
      <c r="O199" s="213"/>
      <c r="P199" s="212"/>
      <c r="Q199" s="214"/>
      <c r="R199" s="212"/>
      <c r="S199" s="212"/>
      <c r="T199" s="212"/>
      <c r="U199" s="212"/>
      <c r="V199" s="214"/>
      <c r="W199" s="214"/>
      <c r="X199" s="214"/>
      <c r="Y199" s="214"/>
      <c r="Z199" s="214"/>
      <c r="AA199" s="212"/>
      <c r="AB199" s="212"/>
      <c r="AC199" s="212"/>
      <c r="AD199" s="214">
        <v>2.6466440000000002</v>
      </c>
      <c r="AE199" s="214">
        <v>620</v>
      </c>
      <c r="AF199" s="214">
        <v>0.20399999999999999</v>
      </c>
      <c r="AG199" s="214">
        <v>-99</v>
      </c>
      <c r="AH199" s="212" t="s">
        <v>224</v>
      </c>
      <c r="AI199" s="212" t="s">
        <v>449</v>
      </c>
      <c r="AJ199" s="212" t="s">
        <v>354</v>
      </c>
      <c r="AK199" s="212" t="s">
        <v>531</v>
      </c>
      <c r="AL199" s="212" t="s">
        <v>398</v>
      </c>
      <c r="AM199" s="214" t="b">
        <v>1</v>
      </c>
      <c r="AN199" s="214" t="b">
        <v>1</v>
      </c>
      <c r="AO199" s="212" t="s">
        <v>355</v>
      </c>
      <c r="AP199" s="212" t="s">
        <v>356</v>
      </c>
      <c r="AQ199" s="214">
        <v>106.16500000000001</v>
      </c>
      <c r="AR199" s="214" t="b">
        <v>0</v>
      </c>
      <c r="AS199" s="212" t="s">
        <v>534</v>
      </c>
    </row>
    <row r="200" spans="1:45" s="263" customFormat="1" ht="13.5" customHeight="1" x14ac:dyDescent="0.25">
      <c r="A200" s="245" t="str">
        <f t="shared" si="23"/>
        <v/>
      </c>
      <c r="B200" s="246" t="str">
        <f t="shared" si="16"/>
        <v/>
      </c>
      <c r="C200" s="246" t="str">
        <f>IF(B200="","",VLOOKUP(D200,'Species Data'!B:E,4,FALSE))</f>
        <v/>
      </c>
      <c r="D200" s="246" t="str">
        <f t="shared" ca="1" si="17"/>
        <v/>
      </c>
      <c r="E200" s="246" t="str">
        <f t="shared" ca="1" si="18"/>
        <v/>
      </c>
      <c r="F200" s="246" t="str">
        <f t="shared" ca="1" si="19"/>
        <v/>
      </c>
      <c r="G200" s="246" t="str">
        <f t="shared" ca="1" si="20"/>
        <v/>
      </c>
      <c r="H200" s="204" t="str">
        <f ca="1">IF(G200="","",IF(VLOOKUP(Separator!F200,'Species Data'!D:F,3,FALSE)=0,"X",IF(G200&lt;44.1,2,1)))</f>
        <v/>
      </c>
      <c r="I200" s="204" t="str">
        <f t="shared" ca="1" si="21"/>
        <v/>
      </c>
      <c r="J200" s="247" t="str">
        <f ca="1">IF(I200="","",IF(COUNTIF($D$12:D200,D200)=1,IF(H200=1,I200*H200,IF(H200="X","X",0)),0))</f>
        <v/>
      </c>
      <c r="K200" s="248" t="str">
        <f t="shared" ca="1" si="22"/>
        <v/>
      </c>
      <c r="L200" s="238"/>
      <c r="M200" s="212"/>
      <c r="N200" s="212"/>
      <c r="O200" s="213"/>
      <c r="P200" s="212"/>
      <c r="Q200" s="214"/>
      <c r="R200" s="212"/>
      <c r="S200" s="212"/>
      <c r="T200" s="212"/>
      <c r="U200" s="212"/>
      <c r="V200" s="214"/>
      <c r="W200" s="214"/>
      <c r="X200" s="214"/>
      <c r="Y200" s="214"/>
      <c r="Z200" s="214"/>
      <c r="AA200" s="212"/>
      <c r="AB200" s="212"/>
      <c r="AC200" s="212"/>
      <c r="AD200" s="214">
        <v>2.6466440000000002</v>
      </c>
      <c r="AE200" s="214">
        <v>648</v>
      </c>
      <c r="AF200" s="214">
        <v>2.5000000000000001E-2</v>
      </c>
      <c r="AG200" s="214">
        <v>-99</v>
      </c>
      <c r="AH200" s="212" t="s">
        <v>224</v>
      </c>
      <c r="AI200" s="212" t="s">
        <v>449</v>
      </c>
      <c r="AJ200" s="212" t="s">
        <v>433</v>
      </c>
      <c r="AK200" s="212" t="s">
        <v>531</v>
      </c>
      <c r="AL200" s="212" t="s">
        <v>459</v>
      </c>
      <c r="AM200" s="214" t="b">
        <v>0</v>
      </c>
      <c r="AN200" s="214" t="b">
        <v>1</v>
      </c>
      <c r="AO200" s="212" t="s">
        <v>434</v>
      </c>
      <c r="AP200" s="212" t="s">
        <v>435</v>
      </c>
      <c r="AQ200" s="214">
        <v>106.16500000000001</v>
      </c>
      <c r="AR200" s="214" t="b">
        <v>0</v>
      </c>
      <c r="AS200" s="212" t="s">
        <v>534</v>
      </c>
    </row>
    <row r="201" spans="1:45" s="263" customFormat="1" ht="13.5" customHeight="1" x14ac:dyDescent="0.25">
      <c r="A201" s="245" t="str">
        <f t="shared" si="23"/>
        <v/>
      </c>
      <c r="B201" s="246" t="str">
        <f t="shared" si="16"/>
        <v/>
      </c>
      <c r="C201" s="246" t="str">
        <f>IF(B201="","",VLOOKUP(D201,'Species Data'!B:E,4,FALSE))</f>
        <v/>
      </c>
      <c r="D201" s="246" t="str">
        <f t="shared" ca="1" si="17"/>
        <v/>
      </c>
      <c r="E201" s="246" t="str">
        <f t="shared" ca="1" si="18"/>
        <v/>
      </c>
      <c r="F201" s="246" t="str">
        <f t="shared" ca="1" si="19"/>
        <v/>
      </c>
      <c r="G201" s="246" t="str">
        <f t="shared" ca="1" si="20"/>
        <v/>
      </c>
      <c r="H201" s="204" t="str">
        <f ca="1">IF(G201="","",IF(VLOOKUP(Separator!F201,'Species Data'!D:F,3,FALSE)=0,"X",IF(G201&lt;44.1,2,1)))</f>
        <v/>
      </c>
      <c r="I201" s="204" t="str">
        <f t="shared" ca="1" si="21"/>
        <v/>
      </c>
      <c r="J201" s="247" t="str">
        <f ca="1">IF(I201="","",IF(COUNTIF($D$12:D201,D201)=1,IF(H201=1,I201*H201,IF(H201="X","X",0)),0))</f>
        <v/>
      </c>
      <c r="K201" s="248" t="str">
        <f t="shared" ca="1" si="22"/>
        <v/>
      </c>
      <c r="L201" s="238"/>
      <c r="M201" s="212"/>
      <c r="N201" s="212"/>
      <c r="O201" s="213"/>
      <c r="P201" s="212"/>
      <c r="Q201" s="214"/>
      <c r="R201" s="212"/>
      <c r="S201" s="212"/>
      <c r="T201" s="212"/>
      <c r="U201" s="212"/>
      <c r="V201" s="214"/>
      <c r="W201" s="214"/>
      <c r="X201" s="214"/>
      <c r="Y201" s="214"/>
      <c r="Z201" s="214"/>
      <c r="AA201" s="212"/>
      <c r="AB201" s="212"/>
      <c r="AC201" s="212"/>
      <c r="AD201" s="214">
        <v>2.6466440000000002</v>
      </c>
      <c r="AE201" s="214">
        <v>671</v>
      </c>
      <c r="AF201" s="214">
        <v>7.8100000000000003E-2</v>
      </c>
      <c r="AG201" s="214">
        <v>-99</v>
      </c>
      <c r="AH201" s="212" t="s">
        <v>224</v>
      </c>
      <c r="AI201" s="212" t="s">
        <v>449</v>
      </c>
      <c r="AJ201" s="212" t="s">
        <v>288</v>
      </c>
      <c r="AK201" s="212" t="s">
        <v>531</v>
      </c>
      <c r="AL201" s="212" t="s">
        <v>382</v>
      </c>
      <c r="AM201" s="214" t="b">
        <v>1</v>
      </c>
      <c r="AN201" s="214" t="b">
        <v>0</v>
      </c>
      <c r="AO201" s="212" t="s">
        <v>289</v>
      </c>
      <c r="AP201" s="212" t="s">
        <v>290</v>
      </c>
      <c r="AQ201" s="214">
        <v>44.095619999999997</v>
      </c>
      <c r="AR201" s="214" t="b">
        <v>0</v>
      </c>
      <c r="AS201" s="212" t="s">
        <v>534</v>
      </c>
    </row>
    <row r="202" spans="1:45" s="263" customFormat="1" ht="13.5" customHeight="1" x14ac:dyDescent="0.25">
      <c r="A202" s="245" t="str">
        <f t="shared" si="23"/>
        <v/>
      </c>
      <c r="B202" s="246" t="str">
        <f t="shared" si="16"/>
        <v/>
      </c>
      <c r="C202" s="246" t="str">
        <f>IF(B202="","",VLOOKUP(D202,'Species Data'!B:E,4,FALSE))</f>
        <v/>
      </c>
      <c r="D202" s="246" t="str">
        <f t="shared" ca="1" si="17"/>
        <v/>
      </c>
      <c r="E202" s="246" t="str">
        <f t="shared" ca="1" si="18"/>
        <v/>
      </c>
      <c r="F202" s="246" t="str">
        <f t="shared" ca="1" si="19"/>
        <v/>
      </c>
      <c r="G202" s="246" t="str">
        <f t="shared" ca="1" si="20"/>
        <v/>
      </c>
      <c r="H202" s="204" t="str">
        <f ca="1">IF(G202="","",IF(VLOOKUP(Separator!F202,'Species Data'!D:F,3,FALSE)=0,"X",IF(G202&lt;44.1,2,1)))</f>
        <v/>
      </c>
      <c r="I202" s="204" t="str">
        <f t="shared" ca="1" si="21"/>
        <v/>
      </c>
      <c r="J202" s="247" t="str">
        <f ca="1">IF(I202="","",IF(COUNTIF($D$12:D202,D202)=1,IF(H202=1,I202*H202,IF(H202="X","X",0)),0))</f>
        <v/>
      </c>
      <c r="K202" s="248" t="str">
        <f t="shared" ca="1" si="22"/>
        <v/>
      </c>
      <c r="L202" s="238"/>
      <c r="M202" s="212"/>
      <c r="N202" s="212"/>
      <c r="O202" s="213"/>
      <c r="P202" s="212"/>
      <c r="Q202" s="214"/>
      <c r="R202" s="212"/>
      <c r="S202" s="212"/>
      <c r="T202" s="212"/>
      <c r="U202" s="212"/>
      <c r="V202" s="214"/>
      <c r="W202" s="214"/>
      <c r="X202" s="214"/>
      <c r="Y202" s="214"/>
      <c r="Z202" s="214"/>
      <c r="AA202" s="212"/>
      <c r="AB202" s="212"/>
      <c r="AC202" s="212"/>
      <c r="AD202" s="214">
        <v>2.6466440000000002</v>
      </c>
      <c r="AE202" s="214">
        <v>703</v>
      </c>
      <c r="AF202" s="214">
        <v>0.26419999999999999</v>
      </c>
      <c r="AG202" s="214">
        <v>-99</v>
      </c>
      <c r="AH202" s="212" t="s">
        <v>224</v>
      </c>
      <c r="AI202" s="212" t="s">
        <v>449</v>
      </c>
      <c r="AJ202" s="212" t="s">
        <v>423</v>
      </c>
      <c r="AK202" s="212" t="s">
        <v>531</v>
      </c>
      <c r="AL202" s="212" t="s">
        <v>455</v>
      </c>
      <c r="AM202" s="214" t="b">
        <v>0</v>
      </c>
      <c r="AN202" s="214" t="b">
        <v>0</v>
      </c>
      <c r="AO202" s="212" t="s">
        <v>424</v>
      </c>
      <c r="AP202" s="212" t="s">
        <v>531</v>
      </c>
      <c r="AQ202" s="214">
        <v>134.21816000000001</v>
      </c>
      <c r="AR202" s="214" t="b">
        <v>0</v>
      </c>
      <c r="AS202" s="212" t="s">
        <v>534</v>
      </c>
    </row>
    <row r="203" spans="1:45" s="263" customFormat="1" ht="13.5" customHeight="1" x14ac:dyDescent="0.25">
      <c r="A203" s="245" t="str">
        <f t="shared" si="23"/>
        <v/>
      </c>
      <c r="B203" s="246" t="str">
        <f t="shared" si="16"/>
        <v/>
      </c>
      <c r="C203" s="246" t="str">
        <f>IF(B203="","",VLOOKUP(D203,'Species Data'!B:E,4,FALSE))</f>
        <v/>
      </c>
      <c r="D203" s="246" t="str">
        <f t="shared" ca="1" si="17"/>
        <v/>
      </c>
      <c r="E203" s="246" t="str">
        <f t="shared" ca="1" si="18"/>
        <v/>
      </c>
      <c r="F203" s="246" t="str">
        <f t="shared" ca="1" si="19"/>
        <v/>
      </c>
      <c r="G203" s="246" t="str">
        <f t="shared" ca="1" si="20"/>
        <v/>
      </c>
      <c r="H203" s="204" t="str">
        <f ca="1">IF(G203="","",IF(VLOOKUP(Separator!F203,'Species Data'!D:F,3,FALSE)=0,"X",IF(G203&lt;44.1,2,1)))</f>
        <v/>
      </c>
      <c r="I203" s="204" t="str">
        <f t="shared" ca="1" si="21"/>
        <v/>
      </c>
      <c r="J203" s="247" t="str">
        <f ca="1">IF(I203="","",IF(COUNTIF($D$12:D203,D203)=1,IF(H203=1,I203*H203,IF(H203="X","X",0)),0))</f>
        <v/>
      </c>
      <c r="K203" s="248" t="str">
        <f t="shared" ca="1" si="22"/>
        <v/>
      </c>
      <c r="L203" s="238"/>
      <c r="M203" s="212"/>
      <c r="N203" s="212"/>
      <c r="O203" s="213"/>
      <c r="P203" s="212"/>
      <c r="Q203" s="214"/>
      <c r="R203" s="212"/>
      <c r="S203" s="212"/>
      <c r="T203" s="212"/>
      <c r="U203" s="212"/>
      <c r="V203" s="214"/>
      <c r="W203" s="214"/>
      <c r="X203" s="214"/>
      <c r="Y203" s="214"/>
      <c r="Z203" s="214"/>
      <c r="AA203" s="212"/>
      <c r="AB203" s="212"/>
      <c r="AC203" s="212"/>
      <c r="AD203" s="214">
        <v>2.6466440000000002</v>
      </c>
      <c r="AE203" s="214">
        <v>717</v>
      </c>
      <c r="AF203" s="214">
        <v>0.1192</v>
      </c>
      <c r="AG203" s="214">
        <v>-99</v>
      </c>
      <c r="AH203" s="212" t="s">
        <v>224</v>
      </c>
      <c r="AI203" s="212" t="s">
        <v>449</v>
      </c>
      <c r="AJ203" s="212" t="s">
        <v>294</v>
      </c>
      <c r="AK203" s="212" t="s">
        <v>531</v>
      </c>
      <c r="AL203" s="212" t="s">
        <v>383</v>
      </c>
      <c r="AM203" s="214" t="b">
        <v>1</v>
      </c>
      <c r="AN203" s="214" t="b">
        <v>1</v>
      </c>
      <c r="AO203" s="212" t="s">
        <v>295</v>
      </c>
      <c r="AP203" s="212" t="s">
        <v>296</v>
      </c>
      <c r="AQ203" s="214">
        <v>92.138419999999996</v>
      </c>
      <c r="AR203" s="214" t="b">
        <v>0</v>
      </c>
      <c r="AS203" s="212" t="s">
        <v>534</v>
      </c>
    </row>
    <row r="204" spans="1:45" s="263" customFormat="1" ht="13.5" customHeight="1" x14ac:dyDescent="0.25">
      <c r="A204" s="245" t="str">
        <f t="shared" si="23"/>
        <v/>
      </c>
      <c r="B204" s="246" t="str">
        <f t="shared" ref="B204:B267" si="24">IF(ROW(A204)-(ROW($A$12))&lt;$B$10,$B$9,"")</f>
        <v/>
      </c>
      <c r="C204" s="246" t="str">
        <f>IF(B204="","",VLOOKUP(D204,'Species Data'!B:E,4,FALSE))</f>
        <v/>
      </c>
      <c r="D204" s="246" t="str">
        <f t="shared" ca="1" si="17"/>
        <v/>
      </c>
      <c r="E204" s="246" t="str">
        <f t="shared" ca="1" si="18"/>
        <v/>
      </c>
      <c r="F204" s="246" t="str">
        <f t="shared" ca="1" si="19"/>
        <v/>
      </c>
      <c r="G204" s="246" t="str">
        <f t="shared" ca="1" si="20"/>
        <v/>
      </c>
      <c r="H204" s="204" t="str">
        <f ca="1">IF(G204="","",IF(VLOOKUP(Separator!F204,'Species Data'!D:F,3,FALSE)=0,"X",IF(G204&lt;44.1,2,1)))</f>
        <v/>
      </c>
      <c r="I204" s="204" t="str">
        <f t="shared" ca="1" si="21"/>
        <v/>
      </c>
      <c r="J204" s="247" t="str">
        <f ca="1">IF(I204="","",IF(COUNTIF($D$12:D204,D204)=1,IF(H204=1,I204*H204,IF(H204="X","X",0)),0))</f>
        <v/>
      </c>
      <c r="K204" s="248" t="str">
        <f t="shared" ca="1" si="22"/>
        <v/>
      </c>
      <c r="L204" s="238"/>
      <c r="M204" s="212"/>
      <c r="N204" s="212"/>
      <c r="O204" s="213"/>
      <c r="P204" s="212"/>
      <c r="Q204" s="214"/>
      <c r="R204" s="212"/>
      <c r="S204" s="212"/>
      <c r="T204" s="212"/>
      <c r="U204" s="212"/>
      <c r="V204" s="214"/>
      <c r="W204" s="214"/>
      <c r="X204" s="214"/>
      <c r="Y204" s="214"/>
      <c r="Z204" s="214"/>
      <c r="AA204" s="212"/>
      <c r="AB204" s="212"/>
      <c r="AC204" s="212"/>
      <c r="AD204" s="214">
        <v>2.6466440000000002</v>
      </c>
      <c r="AE204" s="214">
        <v>981</v>
      </c>
      <c r="AF204" s="214">
        <v>0.1696</v>
      </c>
      <c r="AG204" s="214">
        <v>-99</v>
      </c>
      <c r="AH204" s="212" t="s">
        <v>224</v>
      </c>
      <c r="AI204" s="212" t="s">
        <v>449</v>
      </c>
      <c r="AJ204" s="212" t="s">
        <v>645</v>
      </c>
      <c r="AK204" s="212" t="s">
        <v>531</v>
      </c>
      <c r="AL204" s="212" t="s">
        <v>531</v>
      </c>
      <c r="AM204" s="214" t="b">
        <v>0</v>
      </c>
      <c r="AN204" s="214" t="b">
        <v>0</v>
      </c>
      <c r="AO204" s="212" t="s">
        <v>646</v>
      </c>
      <c r="AP204" s="212" t="s">
        <v>647</v>
      </c>
      <c r="AQ204" s="214">
        <v>134.21816000000001</v>
      </c>
      <c r="AR204" s="214" t="b">
        <v>0</v>
      </c>
      <c r="AS204" s="212" t="s">
        <v>534</v>
      </c>
    </row>
    <row r="205" spans="1:45" s="263" customFormat="1" ht="13.5" customHeight="1" x14ac:dyDescent="0.25">
      <c r="A205" s="245" t="str">
        <f t="shared" si="23"/>
        <v/>
      </c>
      <c r="B205" s="246" t="str">
        <f t="shared" si="24"/>
        <v/>
      </c>
      <c r="C205" s="246" t="str">
        <f>IF(B205="","",VLOOKUP(D205,'Species Data'!B:E,4,FALSE))</f>
        <v/>
      </c>
      <c r="D205" s="246" t="str">
        <f t="shared" ref="D205:D268" ca="1" si="25">IF(B205="","",INDIRECT("AE"&amp;$A205))</f>
        <v/>
      </c>
      <c r="E205" s="246" t="str">
        <f t="shared" ref="E205:E268" ca="1" si="26">IF(D205="","",INDIRECT("AF"&amp;$A205))</f>
        <v/>
      </c>
      <c r="F205" s="246" t="str">
        <f t="shared" ref="F205:F268" ca="1" si="27">IF(E205="","",INDIRECT("AO"&amp;$A205))</f>
        <v/>
      </c>
      <c r="G205" s="246" t="str">
        <f t="shared" ref="G205:G268" ca="1" si="28">IF(F205="","",INDIRECT("AQ"&amp;$A205))</f>
        <v/>
      </c>
      <c r="H205" s="204" t="str">
        <f ca="1">IF(G205="","",IF(VLOOKUP(Separator!F205,'Species Data'!D:F,3,FALSE)=0,"X",IF(G205&lt;44.1,2,1)))</f>
        <v/>
      </c>
      <c r="I205" s="204" t="str">
        <f t="shared" ref="I205:I268" ca="1" si="29">IF(H205="","",SUMIF(D:D,D205,E:E)/($E$9/100))</f>
        <v/>
      </c>
      <c r="J205" s="247" t="str">
        <f ca="1">IF(I205="","",IF(COUNTIF($D$12:D205,D205)=1,IF(H205=1,I205*H205,IF(H205="X","X",0)),0))</f>
        <v/>
      </c>
      <c r="K205" s="248" t="str">
        <f t="shared" ref="K205:K268" ca="1" si="30">IF(J205="","",IF(J205="X",0,J205/$J$9*100))</f>
        <v/>
      </c>
      <c r="L205" s="238"/>
      <c r="M205" s="212"/>
      <c r="N205" s="212"/>
      <c r="O205" s="213"/>
      <c r="P205" s="212"/>
      <c r="Q205" s="214"/>
      <c r="R205" s="212"/>
      <c r="S205" s="212"/>
      <c r="T205" s="212"/>
      <c r="U205" s="212"/>
      <c r="V205" s="214"/>
      <c r="W205" s="214"/>
      <c r="X205" s="214"/>
      <c r="Y205" s="214"/>
      <c r="Z205" s="214"/>
      <c r="AA205" s="212"/>
      <c r="AB205" s="212"/>
      <c r="AC205" s="212"/>
      <c r="AD205" s="214">
        <v>2.6466440000000002</v>
      </c>
      <c r="AE205" s="214">
        <v>1924</v>
      </c>
      <c r="AF205" s="214">
        <v>6.0922999999999998</v>
      </c>
      <c r="AG205" s="214">
        <v>-99</v>
      </c>
      <c r="AH205" s="212" t="s">
        <v>224</v>
      </c>
      <c r="AI205" s="212" t="s">
        <v>449</v>
      </c>
      <c r="AJ205" s="212" t="s">
        <v>224</v>
      </c>
      <c r="AK205" s="212" t="s">
        <v>531</v>
      </c>
      <c r="AL205" s="212" t="s">
        <v>466</v>
      </c>
      <c r="AM205" s="214" t="b">
        <v>0</v>
      </c>
      <c r="AN205" s="214" t="b">
        <v>0</v>
      </c>
      <c r="AO205" s="212" t="s">
        <v>535</v>
      </c>
      <c r="AP205" s="212" t="s">
        <v>536</v>
      </c>
      <c r="AQ205" s="214">
        <v>142.28167999999999</v>
      </c>
      <c r="AR205" s="214" t="b">
        <v>0</v>
      </c>
      <c r="AS205" s="212" t="s">
        <v>534</v>
      </c>
    </row>
    <row r="206" spans="1:45" s="263" customFormat="1" ht="13.5" customHeight="1" x14ac:dyDescent="0.25">
      <c r="A206" s="245" t="str">
        <f t="shared" ref="A206:A269" si="31">IF(B206="","",A205+1)</f>
        <v/>
      </c>
      <c r="B206" s="246" t="str">
        <f t="shared" si="24"/>
        <v/>
      </c>
      <c r="C206" s="246" t="str">
        <f>IF(B206="","",VLOOKUP(D206,'Species Data'!B:E,4,FALSE))</f>
        <v/>
      </c>
      <c r="D206" s="246" t="str">
        <f t="shared" ca="1" si="25"/>
        <v/>
      </c>
      <c r="E206" s="246" t="str">
        <f t="shared" ca="1" si="26"/>
        <v/>
      </c>
      <c r="F206" s="246" t="str">
        <f t="shared" ca="1" si="27"/>
        <v/>
      </c>
      <c r="G206" s="246" t="str">
        <f t="shared" ca="1" si="28"/>
        <v/>
      </c>
      <c r="H206" s="204" t="str">
        <f ca="1">IF(G206="","",IF(VLOOKUP(Separator!F206,'Species Data'!D:F,3,FALSE)=0,"X",IF(G206&lt;44.1,2,1)))</f>
        <v/>
      </c>
      <c r="I206" s="204" t="str">
        <f t="shared" ca="1" si="29"/>
        <v/>
      </c>
      <c r="J206" s="247" t="str">
        <f ca="1">IF(I206="","",IF(COUNTIF($D$12:D206,D206)=1,IF(H206=1,I206*H206,IF(H206="X","X",0)),0))</f>
        <v/>
      </c>
      <c r="K206" s="248" t="str">
        <f t="shared" ca="1" si="30"/>
        <v/>
      </c>
      <c r="L206" s="238"/>
      <c r="M206" s="212"/>
      <c r="N206" s="212"/>
      <c r="O206" s="213"/>
      <c r="P206" s="212"/>
      <c r="Q206" s="214"/>
      <c r="R206" s="212"/>
      <c r="S206" s="212"/>
      <c r="T206" s="212"/>
      <c r="U206" s="212"/>
      <c r="V206" s="214"/>
      <c r="W206" s="214"/>
      <c r="X206" s="214"/>
      <c r="Y206" s="214"/>
      <c r="Z206" s="214"/>
      <c r="AA206" s="212"/>
      <c r="AB206" s="212"/>
      <c r="AC206" s="212"/>
      <c r="AD206" s="214">
        <v>2.6466440000000002</v>
      </c>
      <c r="AE206" s="214">
        <v>1929</v>
      </c>
      <c r="AF206" s="214">
        <v>5.4074</v>
      </c>
      <c r="AG206" s="214">
        <v>-99</v>
      </c>
      <c r="AH206" s="212" t="s">
        <v>224</v>
      </c>
      <c r="AI206" s="212" t="s">
        <v>449</v>
      </c>
      <c r="AJ206" s="212" t="s">
        <v>224</v>
      </c>
      <c r="AK206" s="212" t="s">
        <v>531</v>
      </c>
      <c r="AL206" s="212" t="s">
        <v>467</v>
      </c>
      <c r="AM206" s="214" t="b">
        <v>0</v>
      </c>
      <c r="AN206" s="214" t="b">
        <v>0</v>
      </c>
      <c r="AO206" s="212" t="s">
        <v>468</v>
      </c>
      <c r="AP206" s="212" t="s">
        <v>469</v>
      </c>
      <c r="AQ206" s="214">
        <v>156.30826000000002</v>
      </c>
      <c r="AR206" s="214" t="b">
        <v>0</v>
      </c>
      <c r="AS206" s="212" t="s">
        <v>534</v>
      </c>
    </row>
    <row r="207" spans="1:45" s="263" customFormat="1" ht="13.5" customHeight="1" x14ac:dyDescent="0.25">
      <c r="A207" s="245" t="str">
        <f t="shared" si="31"/>
        <v/>
      </c>
      <c r="B207" s="246" t="str">
        <f t="shared" si="24"/>
        <v/>
      </c>
      <c r="C207" s="246" t="str">
        <f>IF(B207="","",VLOOKUP(D207,'Species Data'!B:E,4,FALSE))</f>
        <v/>
      </c>
      <c r="D207" s="246" t="str">
        <f t="shared" ca="1" si="25"/>
        <v/>
      </c>
      <c r="E207" s="246" t="str">
        <f t="shared" ca="1" si="26"/>
        <v/>
      </c>
      <c r="F207" s="246" t="str">
        <f t="shared" ca="1" si="27"/>
        <v/>
      </c>
      <c r="G207" s="246" t="str">
        <f t="shared" ca="1" si="28"/>
        <v/>
      </c>
      <c r="H207" s="204" t="str">
        <f ca="1">IF(G207="","",IF(VLOOKUP(Separator!F207,'Species Data'!D:F,3,FALSE)=0,"X",IF(G207&lt;44.1,2,1)))</f>
        <v/>
      </c>
      <c r="I207" s="204" t="str">
        <f t="shared" ca="1" si="29"/>
        <v/>
      </c>
      <c r="J207" s="247" t="str">
        <f ca="1">IF(I207="","",IF(COUNTIF($D$12:D207,D207)=1,IF(H207=1,I207*H207,IF(H207="X","X",0)),0))</f>
        <v/>
      </c>
      <c r="K207" s="248" t="str">
        <f t="shared" ca="1" si="30"/>
        <v/>
      </c>
      <c r="L207" s="238"/>
      <c r="M207" s="212"/>
      <c r="N207" s="212"/>
      <c r="O207" s="213"/>
      <c r="P207" s="212"/>
      <c r="Q207" s="214"/>
      <c r="R207" s="212"/>
      <c r="S207" s="212"/>
      <c r="T207" s="212"/>
      <c r="U207" s="212"/>
      <c r="V207" s="214"/>
      <c r="W207" s="214"/>
      <c r="X207" s="214"/>
      <c r="Y207" s="214"/>
      <c r="Z207" s="214"/>
      <c r="AA207" s="212"/>
      <c r="AB207" s="212"/>
      <c r="AC207" s="212"/>
      <c r="AD207" s="214">
        <v>2.6466440000000002</v>
      </c>
      <c r="AE207" s="214">
        <v>1999</v>
      </c>
      <c r="AF207" s="214">
        <v>0.70740000000000003</v>
      </c>
      <c r="AG207" s="214">
        <v>-99</v>
      </c>
      <c r="AH207" s="212" t="s">
        <v>224</v>
      </c>
      <c r="AI207" s="212" t="s">
        <v>449</v>
      </c>
      <c r="AJ207" s="212" t="s">
        <v>224</v>
      </c>
      <c r="AK207" s="212" t="s">
        <v>531</v>
      </c>
      <c r="AL207" s="212" t="s">
        <v>540</v>
      </c>
      <c r="AM207" s="214" t="b">
        <v>0</v>
      </c>
      <c r="AN207" s="214" t="b">
        <v>0</v>
      </c>
      <c r="AO207" s="212" t="s">
        <v>541</v>
      </c>
      <c r="AP207" s="212" t="s">
        <v>542</v>
      </c>
      <c r="AQ207" s="214">
        <v>86.175359999999998</v>
      </c>
      <c r="AR207" s="214" t="b">
        <v>0</v>
      </c>
      <c r="AS207" s="212" t="s">
        <v>534</v>
      </c>
    </row>
    <row r="208" spans="1:45" s="263" customFormat="1" ht="13.5" customHeight="1" x14ac:dyDescent="0.25">
      <c r="A208" s="245" t="str">
        <f t="shared" si="31"/>
        <v/>
      </c>
      <c r="B208" s="246" t="str">
        <f t="shared" si="24"/>
        <v/>
      </c>
      <c r="C208" s="246" t="str">
        <f>IF(B208="","",VLOOKUP(D208,'Species Data'!B:E,4,FALSE))</f>
        <v/>
      </c>
      <c r="D208" s="246" t="str">
        <f t="shared" ca="1" si="25"/>
        <v/>
      </c>
      <c r="E208" s="246" t="str">
        <f t="shared" ca="1" si="26"/>
        <v/>
      </c>
      <c r="F208" s="246" t="str">
        <f t="shared" ca="1" si="27"/>
        <v/>
      </c>
      <c r="G208" s="246" t="str">
        <f t="shared" ca="1" si="28"/>
        <v/>
      </c>
      <c r="H208" s="204" t="str">
        <f ca="1">IF(G208="","",IF(VLOOKUP(Separator!F208,'Species Data'!D:F,3,FALSE)=0,"X",IF(G208&lt;44.1,2,1)))</f>
        <v/>
      </c>
      <c r="I208" s="204" t="str">
        <f t="shared" ca="1" si="29"/>
        <v/>
      </c>
      <c r="J208" s="247" t="str">
        <f ca="1">IF(I208="","",IF(COUNTIF($D$12:D208,D208)=1,IF(H208=1,I208*H208,IF(H208="X","X",0)),0))</f>
        <v/>
      </c>
      <c r="K208" s="248" t="str">
        <f t="shared" ca="1" si="30"/>
        <v/>
      </c>
      <c r="L208" s="238"/>
      <c r="M208" s="212"/>
      <c r="N208" s="212"/>
      <c r="O208" s="213"/>
      <c r="P208" s="212"/>
      <c r="Q208" s="214"/>
      <c r="R208" s="212"/>
      <c r="S208" s="212"/>
      <c r="T208" s="212"/>
      <c r="U208" s="212"/>
      <c r="V208" s="214"/>
      <c r="W208" s="214"/>
      <c r="X208" s="214"/>
      <c r="Y208" s="214"/>
      <c r="Z208" s="214"/>
      <c r="AA208" s="212"/>
      <c r="AB208" s="212"/>
      <c r="AC208" s="212"/>
      <c r="AD208" s="214">
        <v>2.6466440000000002</v>
      </c>
      <c r="AE208" s="214">
        <v>2005</v>
      </c>
      <c r="AF208" s="214">
        <v>4.5831999999999997</v>
      </c>
      <c r="AG208" s="214">
        <v>-99</v>
      </c>
      <c r="AH208" s="212" t="s">
        <v>224</v>
      </c>
      <c r="AI208" s="212" t="s">
        <v>449</v>
      </c>
      <c r="AJ208" s="212" t="s">
        <v>224</v>
      </c>
      <c r="AK208" s="212" t="s">
        <v>531</v>
      </c>
      <c r="AL208" s="212" t="s">
        <v>543</v>
      </c>
      <c r="AM208" s="214" t="b">
        <v>0</v>
      </c>
      <c r="AN208" s="214" t="b">
        <v>0</v>
      </c>
      <c r="AO208" s="212" t="s">
        <v>544</v>
      </c>
      <c r="AP208" s="212" t="s">
        <v>545</v>
      </c>
      <c r="AQ208" s="214">
        <v>100.20194000000001</v>
      </c>
      <c r="AR208" s="214" t="b">
        <v>0</v>
      </c>
      <c r="AS208" s="212" t="s">
        <v>534</v>
      </c>
    </row>
    <row r="209" spans="1:45" s="263" customFormat="1" ht="13.5" customHeight="1" x14ac:dyDescent="0.25">
      <c r="A209" s="245" t="str">
        <f t="shared" si="31"/>
        <v/>
      </c>
      <c r="B209" s="246" t="str">
        <f t="shared" si="24"/>
        <v/>
      </c>
      <c r="C209" s="246" t="str">
        <f>IF(B209="","",VLOOKUP(D209,'Species Data'!B:E,4,FALSE))</f>
        <v/>
      </c>
      <c r="D209" s="246" t="str">
        <f t="shared" ca="1" si="25"/>
        <v/>
      </c>
      <c r="E209" s="246" t="str">
        <f t="shared" ca="1" si="26"/>
        <v/>
      </c>
      <c r="F209" s="246" t="str">
        <f t="shared" ca="1" si="27"/>
        <v/>
      </c>
      <c r="G209" s="246" t="str">
        <f t="shared" ca="1" si="28"/>
        <v/>
      </c>
      <c r="H209" s="204" t="str">
        <f ca="1">IF(G209="","",IF(VLOOKUP(Separator!F209,'Species Data'!D:F,3,FALSE)=0,"X",IF(G209&lt;44.1,2,1)))</f>
        <v/>
      </c>
      <c r="I209" s="204" t="str">
        <f t="shared" ca="1" si="29"/>
        <v/>
      </c>
      <c r="J209" s="247" t="str">
        <f ca="1">IF(I209="","",IF(COUNTIF($D$12:D209,D209)=1,IF(H209=1,I209*H209,IF(H209="X","X",0)),0))</f>
        <v/>
      </c>
      <c r="K209" s="248" t="str">
        <f t="shared" ca="1" si="30"/>
        <v/>
      </c>
      <c r="L209" s="238"/>
      <c r="M209" s="212"/>
      <c r="N209" s="212"/>
      <c r="O209" s="213"/>
      <c r="P209" s="212"/>
      <c r="Q209" s="214"/>
      <c r="R209" s="212"/>
      <c r="S209" s="212"/>
      <c r="T209" s="212"/>
      <c r="U209" s="212"/>
      <c r="V209" s="214"/>
      <c r="W209" s="214"/>
      <c r="X209" s="214"/>
      <c r="Y209" s="214"/>
      <c r="Z209" s="214"/>
      <c r="AA209" s="212"/>
      <c r="AB209" s="212"/>
      <c r="AC209" s="212"/>
      <c r="AD209" s="214">
        <v>2.6466440000000002</v>
      </c>
      <c r="AE209" s="214">
        <v>2011</v>
      </c>
      <c r="AF209" s="214">
        <v>5.1638999999999999</v>
      </c>
      <c r="AG209" s="214">
        <v>-99</v>
      </c>
      <c r="AH209" s="212" t="s">
        <v>224</v>
      </c>
      <c r="AI209" s="212" t="s">
        <v>449</v>
      </c>
      <c r="AJ209" s="212" t="s">
        <v>224</v>
      </c>
      <c r="AK209" s="212" t="s">
        <v>531</v>
      </c>
      <c r="AL209" s="212" t="s">
        <v>546</v>
      </c>
      <c r="AM209" s="214" t="b">
        <v>0</v>
      </c>
      <c r="AN209" s="214" t="b">
        <v>0</v>
      </c>
      <c r="AO209" s="212" t="s">
        <v>547</v>
      </c>
      <c r="AP209" s="212" t="s">
        <v>548</v>
      </c>
      <c r="AQ209" s="214">
        <v>113.21160686946486</v>
      </c>
      <c r="AR209" s="214" t="b">
        <v>0</v>
      </c>
      <c r="AS209" s="212" t="s">
        <v>534</v>
      </c>
    </row>
    <row r="210" spans="1:45" s="263" customFormat="1" ht="15" customHeight="1" x14ac:dyDescent="0.25">
      <c r="A210" s="245" t="str">
        <f t="shared" si="31"/>
        <v/>
      </c>
      <c r="B210" s="246" t="str">
        <f t="shared" si="24"/>
        <v/>
      </c>
      <c r="C210" s="246" t="str">
        <f>IF(B210="","",VLOOKUP(D210,'Species Data'!B:E,4,FALSE))</f>
        <v/>
      </c>
      <c r="D210" s="246" t="str">
        <f t="shared" ca="1" si="25"/>
        <v/>
      </c>
      <c r="E210" s="246" t="str">
        <f t="shared" ca="1" si="26"/>
        <v/>
      </c>
      <c r="F210" s="246" t="str">
        <f t="shared" ca="1" si="27"/>
        <v/>
      </c>
      <c r="G210" s="246" t="str">
        <f t="shared" ca="1" si="28"/>
        <v/>
      </c>
      <c r="H210" s="204" t="str">
        <f ca="1">IF(G210="","",IF(VLOOKUP(Separator!F210,'Species Data'!D:F,3,FALSE)=0,"X",IF(G210&lt;44.1,2,1)))</f>
        <v/>
      </c>
      <c r="I210" s="204" t="str">
        <f t="shared" ca="1" si="29"/>
        <v/>
      </c>
      <c r="J210" s="247" t="str">
        <f ca="1">IF(I210="","",IF(COUNTIF($D$12:D210,D210)=1,IF(H210=1,I210*H210,IF(H210="X","X",0)),0))</f>
        <v/>
      </c>
      <c r="K210" s="248" t="str">
        <f t="shared" ca="1" si="30"/>
        <v/>
      </c>
      <c r="L210" s="238"/>
      <c r="M210" s="212"/>
      <c r="N210" s="212"/>
      <c r="O210" s="213"/>
      <c r="P210" s="212"/>
      <c r="Q210" s="214"/>
      <c r="R210" s="212"/>
      <c r="S210" s="212"/>
      <c r="T210" s="212"/>
      <c r="U210" s="212"/>
      <c r="V210" s="214"/>
      <c r="W210" s="214"/>
      <c r="X210" s="214"/>
      <c r="Y210" s="214"/>
      <c r="Z210" s="214"/>
      <c r="AA210" s="212"/>
      <c r="AB210" s="212"/>
      <c r="AC210" s="212"/>
      <c r="AD210" s="214">
        <v>2.6466440000000002</v>
      </c>
      <c r="AE210" s="214">
        <v>2018</v>
      </c>
      <c r="AF210" s="214">
        <v>5.6391</v>
      </c>
      <c r="AG210" s="214">
        <v>-99</v>
      </c>
      <c r="AH210" s="212" t="s">
        <v>224</v>
      </c>
      <c r="AI210" s="212" t="s">
        <v>449</v>
      </c>
      <c r="AJ210" s="212" t="s">
        <v>224</v>
      </c>
      <c r="AK210" s="212" t="s">
        <v>531</v>
      </c>
      <c r="AL210" s="212" t="s">
        <v>464</v>
      </c>
      <c r="AM210" s="214" t="b">
        <v>0</v>
      </c>
      <c r="AN210" s="214" t="b">
        <v>0</v>
      </c>
      <c r="AO210" s="212" t="s">
        <v>549</v>
      </c>
      <c r="AP210" s="212" t="s">
        <v>550</v>
      </c>
      <c r="AQ210" s="214">
        <v>127.23917598649743</v>
      </c>
      <c r="AR210" s="214" t="b">
        <v>0</v>
      </c>
      <c r="AS210" s="212" t="s">
        <v>534</v>
      </c>
    </row>
    <row r="211" spans="1:45" s="263" customFormat="1" ht="15" customHeight="1" x14ac:dyDescent="0.25">
      <c r="A211" s="245" t="str">
        <f t="shared" si="31"/>
        <v/>
      </c>
      <c r="B211" s="246" t="str">
        <f t="shared" si="24"/>
        <v/>
      </c>
      <c r="C211" s="246" t="str">
        <f>IF(B211="","",VLOOKUP(D211,'Species Data'!B:E,4,FALSE))</f>
        <v/>
      </c>
      <c r="D211" s="246" t="str">
        <f t="shared" ca="1" si="25"/>
        <v/>
      </c>
      <c r="E211" s="246" t="str">
        <f t="shared" ca="1" si="26"/>
        <v/>
      </c>
      <c r="F211" s="246" t="str">
        <f t="shared" ca="1" si="27"/>
        <v/>
      </c>
      <c r="G211" s="246" t="str">
        <f t="shared" ca="1" si="28"/>
        <v/>
      </c>
      <c r="H211" s="204" t="str">
        <f ca="1">IF(G211="","",IF(VLOOKUP(Separator!F211,'Species Data'!D:F,3,FALSE)=0,"X",IF(G211&lt;44.1,2,1)))</f>
        <v/>
      </c>
      <c r="I211" s="204" t="str">
        <f t="shared" ca="1" si="29"/>
        <v/>
      </c>
      <c r="J211" s="247" t="str">
        <f ca="1">IF(I211="","",IF(COUNTIF($D$12:D211,D211)=1,IF(H211=1,I211*H211,IF(H211="X","X",0)),0))</f>
        <v/>
      </c>
      <c r="K211" s="248" t="str">
        <f t="shared" ca="1" si="30"/>
        <v/>
      </c>
      <c r="L211" s="238"/>
      <c r="M211" s="212"/>
      <c r="N211" s="212"/>
      <c r="O211" s="213"/>
      <c r="P211" s="212"/>
      <c r="Q211" s="214"/>
      <c r="R211" s="212"/>
      <c r="S211" s="212"/>
      <c r="T211" s="212"/>
      <c r="U211" s="212"/>
      <c r="V211" s="214"/>
      <c r="W211" s="214"/>
      <c r="X211" s="214"/>
      <c r="Y211" s="214"/>
      <c r="Z211" s="214"/>
      <c r="AA211" s="212"/>
      <c r="AB211" s="212"/>
      <c r="AC211" s="212"/>
      <c r="AD211" s="214">
        <v>1.0515829999999999</v>
      </c>
      <c r="AE211" s="214">
        <v>25</v>
      </c>
      <c r="AF211" s="214">
        <v>0.5393</v>
      </c>
      <c r="AG211" s="214">
        <v>-99</v>
      </c>
      <c r="AH211" s="212" t="s">
        <v>224</v>
      </c>
      <c r="AI211" s="212" t="s">
        <v>449</v>
      </c>
      <c r="AJ211" s="212" t="s">
        <v>627</v>
      </c>
      <c r="AK211" s="212" t="s">
        <v>531</v>
      </c>
      <c r="AL211" s="212" t="s">
        <v>628</v>
      </c>
      <c r="AM211" s="214" t="b">
        <v>1</v>
      </c>
      <c r="AN211" s="214" t="b">
        <v>0</v>
      </c>
      <c r="AO211" s="212" t="s">
        <v>629</v>
      </c>
      <c r="AP211" s="212" t="s">
        <v>630</v>
      </c>
      <c r="AQ211" s="214">
        <v>120.19158</v>
      </c>
      <c r="AR211" s="214" t="b">
        <v>0</v>
      </c>
      <c r="AS211" s="212" t="s">
        <v>534</v>
      </c>
    </row>
    <row r="212" spans="1:45" s="263" customFormat="1" ht="15" customHeight="1" x14ac:dyDescent="0.25">
      <c r="A212" s="245" t="str">
        <f t="shared" si="31"/>
        <v/>
      </c>
      <c r="B212" s="246" t="str">
        <f t="shared" si="24"/>
        <v/>
      </c>
      <c r="C212" s="246" t="str">
        <f>IF(B212="","",VLOOKUP(D212,'Species Data'!B:E,4,FALSE))</f>
        <v/>
      </c>
      <c r="D212" s="246" t="str">
        <f t="shared" ca="1" si="25"/>
        <v/>
      </c>
      <c r="E212" s="246" t="str">
        <f t="shared" ca="1" si="26"/>
        <v/>
      </c>
      <c r="F212" s="246" t="str">
        <f t="shared" ca="1" si="27"/>
        <v/>
      </c>
      <c r="G212" s="246" t="str">
        <f t="shared" ca="1" si="28"/>
        <v/>
      </c>
      <c r="H212" s="204" t="str">
        <f ca="1">IF(G212="","",IF(VLOOKUP(Separator!F212,'Species Data'!D:F,3,FALSE)=0,"X",IF(G212&lt;44.1,2,1)))</f>
        <v/>
      </c>
      <c r="I212" s="204" t="str">
        <f t="shared" ca="1" si="29"/>
        <v/>
      </c>
      <c r="J212" s="247" t="str">
        <f ca="1">IF(I212="","",IF(COUNTIF($D$12:D212,D212)=1,IF(H212=1,I212*H212,IF(H212="X","X",0)),0))</f>
        <v/>
      </c>
      <c r="K212" s="248" t="str">
        <f t="shared" ca="1" si="30"/>
        <v/>
      </c>
      <c r="L212" s="238"/>
      <c r="M212" s="212"/>
      <c r="N212" s="212"/>
      <c r="O212" s="213"/>
      <c r="P212" s="212"/>
      <c r="Q212" s="214"/>
      <c r="R212" s="212"/>
      <c r="S212" s="212"/>
      <c r="T212" s="212"/>
      <c r="U212" s="212"/>
      <c r="V212" s="214"/>
      <c r="W212" s="214"/>
      <c r="X212" s="214"/>
      <c r="Y212" s="214"/>
      <c r="Z212" s="214"/>
      <c r="AA212" s="212"/>
      <c r="AB212" s="212"/>
      <c r="AC212" s="212"/>
      <c r="AD212" s="214">
        <v>1.0515829999999999</v>
      </c>
      <c r="AE212" s="214">
        <v>30</v>
      </c>
      <c r="AF212" s="214">
        <v>0.15759999999999999</v>
      </c>
      <c r="AG212" s="214">
        <v>-99</v>
      </c>
      <c r="AH212" s="212" t="s">
        <v>224</v>
      </c>
      <c r="AI212" s="212" t="s">
        <v>449</v>
      </c>
      <c r="AJ212" s="212" t="s">
        <v>359</v>
      </c>
      <c r="AK212" s="212" t="s">
        <v>531</v>
      </c>
      <c r="AL212" s="212" t="s">
        <v>531</v>
      </c>
      <c r="AM212" s="214" t="b">
        <v>1</v>
      </c>
      <c r="AN212" s="214" t="b">
        <v>0</v>
      </c>
      <c r="AO212" s="212" t="s">
        <v>360</v>
      </c>
      <c r="AP212" s="212" t="s">
        <v>361</v>
      </c>
      <c r="AQ212" s="214">
        <v>120.19158</v>
      </c>
      <c r="AR212" s="214" t="b">
        <v>0</v>
      </c>
      <c r="AS212" s="212" t="s">
        <v>534</v>
      </c>
    </row>
    <row r="213" spans="1:45" s="263" customFormat="1" ht="15" customHeight="1" x14ac:dyDescent="0.25">
      <c r="A213" s="245" t="str">
        <f t="shared" si="31"/>
        <v/>
      </c>
      <c r="B213" s="246" t="str">
        <f t="shared" si="24"/>
        <v/>
      </c>
      <c r="C213" s="246" t="str">
        <f>IF(B213="","",VLOOKUP(D213,'Species Data'!B:E,4,FALSE))</f>
        <v/>
      </c>
      <c r="D213" s="246" t="str">
        <f t="shared" ca="1" si="25"/>
        <v/>
      </c>
      <c r="E213" s="246" t="str">
        <f t="shared" ca="1" si="26"/>
        <v/>
      </c>
      <c r="F213" s="246" t="str">
        <f t="shared" ca="1" si="27"/>
        <v/>
      </c>
      <c r="G213" s="246" t="str">
        <f t="shared" ca="1" si="28"/>
        <v/>
      </c>
      <c r="H213" s="204" t="str">
        <f ca="1">IF(G213="","",IF(VLOOKUP(Separator!F213,'Species Data'!D:F,3,FALSE)=0,"X",IF(G213&lt;44.1,2,1)))</f>
        <v/>
      </c>
      <c r="I213" s="204" t="str">
        <f t="shared" ca="1" si="29"/>
        <v/>
      </c>
      <c r="J213" s="247" t="str">
        <f ca="1">IF(I213="","",IF(COUNTIF($D$12:D213,D213)=1,IF(H213=1,I213*H213,IF(H213="X","X",0)),0))</f>
        <v/>
      </c>
      <c r="K213" s="248" t="str">
        <f t="shared" ca="1" si="30"/>
        <v/>
      </c>
      <c r="L213" s="238"/>
      <c r="M213" s="212"/>
      <c r="N213" s="212"/>
      <c r="O213" s="213"/>
      <c r="P213" s="212"/>
      <c r="Q213" s="214"/>
      <c r="R213" s="212"/>
      <c r="S213" s="212"/>
      <c r="T213" s="212"/>
      <c r="U213" s="212"/>
      <c r="V213" s="214"/>
      <c r="W213" s="214"/>
      <c r="X213" s="214"/>
      <c r="Y213" s="214"/>
      <c r="Z213" s="214"/>
      <c r="AA213" s="212"/>
      <c r="AB213" s="212"/>
      <c r="AC213" s="212"/>
      <c r="AD213" s="214">
        <v>1.0515829999999999</v>
      </c>
      <c r="AE213" s="214">
        <v>36</v>
      </c>
      <c r="AF213" s="214">
        <v>0.496</v>
      </c>
      <c r="AG213" s="214">
        <v>-99</v>
      </c>
      <c r="AH213" s="212" t="s">
        <v>224</v>
      </c>
      <c r="AI213" s="212" t="s">
        <v>449</v>
      </c>
      <c r="AJ213" s="212" t="s">
        <v>631</v>
      </c>
      <c r="AK213" s="212" t="s">
        <v>531</v>
      </c>
      <c r="AL213" s="212" t="s">
        <v>632</v>
      </c>
      <c r="AM213" s="214" t="b">
        <v>0</v>
      </c>
      <c r="AN213" s="214" t="b">
        <v>0</v>
      </c>
      <c r="AO213" s="212" t="s">
        <v>633</v>
      </c>
      <c r="AP213" s="212" t="s">
        <v>531</v>
      </c>
      <c r="AQ213" s="214">
        <v>134.21816000000001</v>
      </c>
      <c r="AR213" s="214" t="b">
        <v>0</v>
      </c>
      <c r="AS213" s="212" t="s">
        <v>534</v>
      </c>
    </row>
    <row r="214" spans="1:45" s="263" customFormat="1" ht="15" customHeight="1" x14ac:dyDescent="0.25">
      <c r="A214" s="245" t="str">
        <f t="shared" si="31"/>
        <v/>
      </c>
      <c r="B214" s="246" t="str">
        <f t="shared" si="24"/>
        <v/>
      </c>
      <c r="C214" s="246" t="str">
        <f>IF(B214="","",VLOOKUP(D214,'Species Data'!B:E,4,FALSE))</f>
        <v/>
      </c>
      <c r="D214" s="246" t="str">
        <f t="shared" ca="1" si="25"/>
        <v/>
      </c>
      <c r="E214" s="246" t="str">
        <f t="shared" ca="1" si="26"/>
        <v/>
      </c>
      <c r="F214" s="246" t="str">
        <f t="shared" ca="1" si="27"/>
        <v/>
      </c>
      <c r="G214" s="246" t="str">
        <f t="shared" ca="1" si="28"/>
        <v/>
      </c>
      <c r="H214" s="204" t="str">
        <f ca="1">IF(G214="","",IF(VLOOKUP(Separator!F214,'Species Data'!D:F,3,FALSE)=0,"X",IF(G214&lt;44.1,2,1)))</f>
        <v/>
      </c>
      <c r="I214" s="204" t="str">
        <f t="shared" ca="1" si="29"/>
        <v/>
      </c>
      <c r="J214" s="247" t="str">
        <f ca="1">IF(I214="","",IF(COUNTIF($D$12:D214,D214)=1,IF(H214=1,I214*H214,IF(H214="X","X",0)),0))</f>
        <v/>
      </c>
      <c r="K214" s="248" t="str">
        <f t="shared" ca="1" si="30"/>
        <v/>
      </c>
      <c r="L214" s="238"/>
      <c r="M214" s="212"/>
      <c r="N214" s="212"/>
      <c r="O214" s="213"/>
      <c r="P214" s="212"/>
      <c r="Q214" s="214"/>
      <c r="R214" s="212"/>
      <c r="S214" s="212"/>
      <c r="T214" s="212"/>
      <c r="U214" s="212"/>
      <c r="V214" s="214"/>
      <c r="W214" s="214"/>
      <c r="X214" s="214"/>
      <c r="Y214" s="214"/>
      <c r="Z214" s="214"/>
      <c r="AA214" s="212"/>
      <c r="AB214" s="212"/>
      <c r="AC214" s="212"/>
      <c r="AD214" s="214">
        <v>1.0515829999999999</v>
      </c>
      <c r="AE214" s="214">
        <v>44</v>
      </c>
      <c r="AF214" s="214">
        <v>0.60529999999999995</v>
      </c>
      <c r="AG214" s="214">
        <v>-99</v>
      </c>
      <c r="AH214" s="212" t="s">
        <v>224</v>
      </c>
      <c r="AI214" s="212" t="s">
        <v>449</v>
      </c>
      <c r="AJ214" s="212" t="s">
        <v>400</v>
      </c>
      <c r="AK214" s="212" t="s">
        <v>531</v>
      </c>
      <c r="AL214" s="212" t="s">
        <v>401</v>
      </c>
      <c r="AM214" s="214" t="b">
        <v>1</v>
      </c>
      <c r="AN214" s="214" t="b">
        <v>0</v>
      </c>
      <c r="AO214" s="212" t="s">
        <v>402</v>
      </c>
      <c r="AP214" s="212" t="s">
        <v>403</v>
      </c>
      <c r="AQ214" s="214">
        <v>120.19158</v>
      </c>
      <c r="AR214" s="214" t="b">
        <v>0</v>
      </c>
      <c r="AS214" s="212" t="s">
        <v>534</v>
      </c>
    </row>
    <row r="215" spans="1:45" s="263" customFormat="1" ht="15" customHeight="1" x14ac:dyDescent="0.25">
      <c r="A215" s="245" t="str">
        <f t="shared" si="31"/>
        <v/>
      </c>
      <c r="B215" s="246" t="str">
        <f t="shared" si="24"/>
        <v/>
      </c>
      <c r="C215" s="246" t="str">
        <f>IF(B215="","",VLOOKUP(D215,'Species Data'!B:E,4,FALSE))</f>
        <v/>
      </c>
      <c r="D215" s="246" t="str">
        <f t="shared" ca="1" si="25"/>
        <v/>
      </c>
      <c r="E215" s="246" t="str">
        <f t="shared" ca="1" si="26"/>
        <v/>
      </c>
      <c r="F215" s="246" t="str">
        <f t="shared" ca="1" si="27"/>
        <v/>
      </c>
      <c r="G215" s="246" t="str">
        <f t="shared" ca="1" si="28"/>
        <v/>
      </c>
      <c r="H215" s="204" t="str">
        <f ca="1">IF(G215="","",IF(VLOOKUP(Separator!F215,'Species Data'!D:F,3,FALSE)=0,"X",IF(G215&lt;44.1,2,1)))</f>
        <v/>
      </c>
      <c r="I215" s="204" t="str">
        <f t="shared" ca="1" si="29"/>
        <v/>
      </c>
      <c r="J215" s="247" t="str">
        <f ca="1">IF(I215="","",IF(COUNTIF($D$12:D215,D215)=1,IF(H215=1,I215*H215,IF(H215="X","X",0)),0))</f>
        <v/>
      </c>
      <c r="K215" s="248" t="str">
        <f t="shared" ca="1" si="30"/>
        <v/>
      </c>
      <c r="L215" s="238"/>
      <c r="M215" s="212"/>
      <c r="N215" s="212"/>
      <c r="O215" s="213"/>
      <c r="P215" s="212"/>
      <c r="Q215" s="214"/>
      <c r="R215" s="212"/>
      <c r="S215" s="212"/>
      <c r="T215" s="212"/>
      <c r="U215" s="212"/>
      <c r="V215" s="214"/>
      <c r="W215" s="214"/>
      <c r="X215" s="214"/>
      <c r="Y215" s="214"/>
      <c r="Z215" s="214"/>
      <c r="AA215" s="212"/>
      <c r="AB215" s="212"/>
      <c r="AC215" s="212"/>
      <c r="AD215" s="214">
        <v>1.0515829999999999</v>
      </c>
      <c r="AE215" s="214">
        <v>51</v>
      </c>
      <c r="AF215" s="214">
        <v>0.34179999999999999</v>
      </c>
      <c r="AG215" s="214">
        <v>-99</v>
      </c>
      <c r="AH215" s="212" t="s">
        <v>224</v>
      </c>
      <c r="AI215" s="212" t="s">
        <v>449</v>
      </c>
      <c r="AJ215" s="212" t="s">
        <v>634</v>
      </c>
      <c r="AK215" s="212" t="s">
        <v>531</v>
      </c>
      <c r="AL215" s="212" t="s">
        <v>635</v>
      </c>
      <c r="AM215" s="214" t="b">
        <v>1</v>
      </c>
      <c r="AN215" s="214" t="b">
        <v>0</v>
      </c>
      <c r="AO215" s="212" t="s">
        <v>636</v>
      </c>
      <c r="AP215" s="212" t="s">
        <v>637</v>
      </c>
      <c r="AQ215" s="214">
        <v>134.21816000000001</v>
      </c>
      <c r="AR215" s="214" t="b">
        <v>0</v>
      </c>
      <c r="AS215" s="212" t="s">
        <v>534</v>
      </c>
    </row>
    <row r="216" spans="1:45" s="263" customFormat="1" ht="15" customHeight="1" x14ac:dyDescent="0.25">
      <c r="A216" s="245" t="str">
        <f t="shared" si="31"/>
        <v/>
      </c>
      <c r="B216" s="246" t="str">
        <f t="shared" si="24"/>
        <v/>
      </c>
      <c r="C216" s="246" t="str">
        <f>IF(B216="","",VLOOKUP(D216,'Species Data'!B:E,4,FALSE))</f>
        <v/>
      </c>
      <c r="D216" s="246" t="str">
        <f t="shared" ca="1" si="25"/>
        <v/>
      </c>
      <c r="E216" s="246" t="str">
        <f t="shared" ca="1" si="26"/>
        <v/>
      </c>
      <c r="F216" s="246" t="str">
        <f t="shared" ca="1" si="27"/>
        <v/>
      </c>
      <c r="G216" s="246" t="str">
        <f t="shared" ca="1" si="28"/>
        <v/>
      </c>
      <c r="H216" s="204" t="str">
        <f ca="1">IF(G216="","",IF(VLOOKUP(Separator!F216,'Species Data'!D:F,3,FALSE)=0,"X",IF(G216&lt;44.1,2,1)))</f>
        <v/>
      </c>
      <c r="I216" s="204" t="str">
        <f t="shared" ca="1" si="29"/>
        <v/>
      </c>
      <c r="J216" s="247" t="str">
        <f ca="1">IF(I216="","",IF(COUNTIF($D$12:D216,D216)=1,IF(H216=1,I216*H216,IF(H216="X","X",0)),0))</f>
        <v/>
      </c>
      <c r="K216" s="248" t="str">
        <f t="shared" ca="1" si="30"/>
        <v/>
      </c>
      <c r="L216" s="238"/>
      <c r="M216" s="212"/>
      <c r="N216" s="212"/>
      <c r="O216" s="213"/>
      <c r="P216" s="212"/>
      <c r="Q216" s="214"/>
      <c r="R216" s="212"/>
      <c r="S216" s="212"/>
      <c r="T216" s="212"/>
      <c r="U216" s="212"/>
      <c r="V216" s="214"/>
      <c r="W216" s="214"/>
      <c r="X216" s="214"/>
      <c r="Y216" s="214"/>
      <c r="Z216" s="214"/>
      <c r="AA216" s="212"/>
      <c r="AB216" s="212"/>
      <c r="AC216" s="212"/>
      <c r="AD216" s="214">
        <v>1.0515829999999999</v>
      </c>
      <c r="AE216" s="214">
        <v>59</v>
      </c>
      <c r="AF216" s="214">
        <v>0.34970000000000001</v>
      </c>
      <c r="AG216" s="214">
        <v>-99</v>
      </c>
      <c r="AH216" s="212" t="s">
        <v>224</v>
      </c>
      <c r="AI216" s="212" t="s">
        <v>449</v>
      </c>
      <c r="AJ216" s="212" t="s">
        <v>638</v>
      </c>
      <c r="AK216" s="212" t="s">
        <v>531</v>
      </c>
      <c r="AL216" s="212" t="s">
        <v>639</v>
      </c>
      <c r="AM216" s="214" t="b">
        <v>1</v>
      </c>
      <c r="AN216" s="214" t="b">
        <v>0</v>
      </c>
      <c r="AO216" s="212" t="s">
        <v>640</v>
      </c>
      <c r="AP216" s="212" t="s">
        <v>641</v>
      </c>
      <c r="AQ216" s="214">
        <v>134.21816000000001</v>
      </c>
      <c r="AR216" s="214" t="b">
        <v>0</v>
      </c>
      <c r="AS216" s="212" t="s">
        <v>534</v>
      </c>
    </row>
    <row r="217" spans="1:45" s="263" customFormat="1" ht="15" customHeight="1" x14ac:dyDescent="0.25">
      <c r="A217" s="245" t="str">
        <f t="shared" si="31"/>
        <v/>
      </c>
      <c r="B217" s="246" t="str">
        <f t="shared" si="24"/>
        <v/>
      </c>
      <c r="C217" s="246" t="str">
        <f>IF(B217="","",VLOOKUP(D217,'Species Data'!B:E,4,FALSE))</f>
        <v/>
      </c>
      <c r="D217" s="246" t="str">
        <f t="shared" ca="1" si="25"/>
        <v/>
      </c>
      <c r="E217" s="246" t="str">
        <f t="shared" ca="1" si="26"/>
        <v/>
      </c>
      <c r="F217" s="246" t="str">
        <f t="shared" ca="1" si="27"/>
        <v/>
      </c>
      <c r="G217" s="246" t="str">
        <f t="shared" ca="1" si="28"/>
        <v/>
      </c>
      <c r="H217" s="204" t="str">
        <f ca="1">IF(G217="","",IF(VLOOKUP(Separator!F217,'Species Data'!D:F,3,FALSE)=0,"X",IF(G217&lt;44.1,2,1)))</f>
        <v/>
      </c>
      <c r="I217" s="204" t="str">
        <f t="shared" ca="1" si="29"/>
        <v/>
      </c>
      <c r="J217" s="247" t="str">
        <f ca="1">IF(I217="","",IF(COUNTIF($D$12:D217,D217)=1,IF(H217=1,I217*H217,IF(H217="X","X",0)),0))</f>
        <v/>
      </c>
      <c r="K217" s="248" t="str">
        <f t="shared" ca="1" si="30"/>
        <v/>
      </c>
      <c r="L217" s="238"/>
      <c r="M217" s="212"/>
      <c r="N217" s="212"/>
      <c r="O217" s="213"/>
      <c r="P217" s="212"/>
      <c r="Q217" s="214"/>
      <c r="R217" s="212"/>
      <c r="S217" s="212"/>
      <c r="T217" s="212"/>
      <c r="U217" s="212"/>
      <c r="V217" s="214"/>
      <c r="W217" s="214"/>
      <c r="X217" s="214"/>
      <c r="Y217" s="214"/>
      <c r="Z217" s="214"/>
      <c r="AA217" s="212"/>
      <c r="AB217" s="212"/>
      <c r="AC217" s="212"/>
      <c r="AD217" s="214">
        <v>1.0515829999999999</v>
      </c>
      <c r="AE217" s="214">
        <v>80</v>
      </c>
      <c r="AF217" s="214">
        <v>0.69189999999999996</v>
      </c>
      <c r="AG217" s="214">
        <v>-99</v>
      </c>
      <c r="AH217" s="212" t="s">
        <v>224</v>
      </c>
      <c r="AI217" s="212" t="s">
        <v>449</v>
      </c>
      <c r="AJ217" s="212" t="s">
        <v>408</v>
      </c>
      <c r="AK217" s="212" t="s">
        <v>531</v>
      </c>
      <c r="AL217" s="212" t="s">
        <v>450</v>
      </c>
      <c r="AM217" s="214" t="b">
        <v>1</v>
      </c>
      <c r="AN217" s="214" t="b">
        <v>0</v>
      </c>
      <c r="AO217" s="212" t="s">
        <v>409</v>
      </c>
      <c r="AP217" s="212" t="s">
        <v>410</v>
      </c>
      <c r="AQ217" s="214">
        <v>120.19158</v>
      </c>
      <c r="AR217" s="214" t="b">
        <v>0</v>
      </c>
      <c r="AS217" s="212" t="s">
        <v>534</v>
      </c>
    </row>
    <row r="218" spans="1:45" s="263" customFormat="1" ht="15" customHeight="1" x14ac:dyDescent="0.25">
      <c r="A218" s="245" t="str">
        <f t="shared" si="31"/>
        <v/>
      </c>
      <c r="B218" s="246" t="str">
        <f t="shared" si="24"/>
        <v/>
      </c>
      <c r="C218" s="246" t="str">
        <f>IF(B218="","",VLOOKUP(D218,'Species Data'!B:E,4,FALSE))</f>
        <v/>
      </c>
      <c r="D218" s="246" t="str">
        <f t="shared" ca="1" si="25"/>
        <v/>
      </c>
      <c r="E218" s="246" t="str">
        <f t="shared" ca="1" si="26"/>
        <v/>
      </c>
      <c r="F218" s="246" t="str">
        <f t="shared" ca="1" si="27"/>
        <v/>
      </c>
      <c r="G218" s="246" t="str">
        <f t="shared" ca="1" si="28"/>
        <v/>
      </c>
      <c r="H218" s="204" t="str">
        <f ca="1">IF(G218="","",IF(VLOOKUP(Separator!F218,'Species Data'!D:F,3,FALSE)=0,"X",IF(G218&lt;44.1,2,1)))</f>
        <v/>
      </c>
      <c r="I218" s="204" t="str">
        <f t="shared" ca="1" si="29"/>
        <v/>
      </c>
      <c r="J218" s="247" t="str">
        <f ca="1">IF(I218="","",IF(COUNTIF($D$12:D218,D218)=1,IF(H218=1,I218*H218,IF(H218="X","X",0)),0))</f>
        <v/>
      </c>
      <c r="K218" s="248" t="str">
        <f t="shared" ca="1" si="30"/>
        <v/>
      </c>
      <c r="L218" s="238"/>
      <c r="M218" s="212"/>
      <c r="N218" s="212"/>
      <c r="O218" s="213"/>
      <c r="P218" s="212"/>
      <c r="Q218" s="214"/>
      <c r="R218" s="212"/>
      <c r="S218" s="212"/>
      <c r="T218" s="212"/>
      <c r="U218" s="212"/>
      <c r="V218" s="214"/>
      <c r="W218" s="214"/>
      <c r="X218" s="214"/>
      <c r="Y218" s="214"/>
      <c r="Z218" s="214"/>
      <c r="AA218" s="212"/>
      <c r="AB218" s="212"/>
      <c r="AC218" s="212"/>
      <c r="AD218" s="214">
        <v>1.0515829999999999</v>
      </c>
      <c r="AE218" s="214">
        <v>89</v>
      </c>
      <c r="AF218" s="214">
        <v>0.29270000000000002</v>
      </c>
      <c r="AG218" s="214">
        <v>-99</v>
      </c>
      <c r="AH218" s="212" t="s">
        <v>224</v>
      </c>
      <c r="AI218" s="212" t="s">
        <v>449</v>
      </c>
      <c r="AJ218" s="212" t="s">
        <v>411</v>
      </c>
      <c r="AK218" s="212" t="s">
        <v>531</v>
      </c>
      <c r="AL218" s="212" t="s">
        <v>451</v>
      </c>
      <c r="AM218" s="214" t="b">
        <v>1</v>
      </c>
      <c r="AN218" s="214" t="b">
        <v>0</v>
      </c>
      <c r="AO218" s="212" t="s">
        <v>412</v>
      </c>
      <c r="AP218" s="212" t="s">
        <v>413</v>
      </c>
      <c r="AQ218" s="214">
        <v>120.19158</v>
      </c>
      <c r="AR218" s="214" t="b">
        <v>0</v>
      </c>
      <c r="AS218" s="212" t="s">
        <v>534</v>
      </c>
    </row>
    <row r="219" spans="1:45" s="263" customFormat="1" ht="15" customHeight="1" x14ac:dyDescent="0.25">
      <c r="A219" s="245" t="str">
        <f t="shared" si="31"/>
        <v/>
      </c>
      <c r="B219" s="246" t="str">
        <f t="shared" si="24"/>
        <v/>
      </c>
      <c r="C219" s="246" t="str">
        <f>IF(B219="","",VLOOKUP(D219,'Species Data'!B:E,4,FALSE))</f>
        <v/>
      </c>
      <c r="D219" s="246" t="str">
        <f t="shared" ca="1" si="25"/>
        <v/>
      </c>
      <c r="E219" s="246" t="str">
        <f t="shared" ca="1" si="26"/>
        <v/>
      </c>
      <c r="F219" s="246" t="str">
        <f t="shared" ca="1" si="27"/>
        <v/>
      </c>
      <c r="G219" s="246" t="str">
        <f t="shared" ca="1" si="28"/>
        <v/>
      </c>
      <c r="H219" s="204" t="str">
        <f ca="1">IF(G219="","",IF(VLOOKUP(Separator!F219,'Species Data'!D:F,3,FALSE)=0,"X",IF(G219&lt;44.1,2,1)))</f>
        <v/>
      </c>
      <c r="I219" s="204" t="str">
        <f t="shared" ca="1" si="29"/>
        <v/>
      </c>
      <c r="J219" s="247" t="str">
        <f ca="1">IF(I219="","",IF(COUNTIF($D$12:D219,D219)=1,IF(H219=1,I219*H219,IF(H219="X","X",0)),0))</f>
        <v/>
      </c>
      <c r="K219" s="248" t="str">
        <f t="shared" ca="1" si="30"/>
        <v/>
      </c>
      <c r="L219" s="238"/>
      <c r="M219" s="212"/>
      <c r="N219" s="212"/>
      <c r="O219" s="213"/>
      <c r="P219" s="212"/>
      <c r="Q219" s="214"/>
      <c r="R219" s="212"/>
      <c r="S219" s="212"/>
      <c r="T219" s="212"/>
      <c r="U219" s="212"/>
      <c r="V219" s="214"/>
      <c r="W219" s="214"/>
      <c r="X219" s="214"/>
      <c r="Y219" s="214"/>
      <c r="Z219" s="214"/>
      <c r="AA219" s="212"/>
      <c r="AB219" s="212"/>
      <c r="AC219" s="212"/>
      <c r="AD219" s="214">
        <v>1.0515829999999999</v>
      </c>
      <c r="AE219" s="214">
        <v>122</v>
      </c>
      <c r="AF219" s="214">
        <v>0.9194</v>
      </c>
      <c r="AG219" s="214">
        <v>-99</v>
      </c>
      <c r="AH219" s="212" t="s">
        <v>224</v>
      </c>
      <c r="AI219" s="212" t="s">
        <v>449</v>
      </c>
      <c r="AJ219" s="212" t="s">
        <v>301</v>
      </c>
      <c r="AK219" s="212" t="s">
        <v>531</v>
      </c>
      <c r="AL219" s="212" t="s">
        <v>384</v>
      </c>
      <c r="AM219" s="214" t="b">
        <v>1</v>
      </c>
      <c r="AN219" s="214" t="b">
        <v>0</v>
      </c>
      <c r="AO219" s="212" t="s">
        <v>302</v>
      </c>
      <c r="AP219" s="212" t="s">
        <v>303</v>
      </c>
      <c r="AQ219" s="214">
        <v>86.175359999999998</v>
      </c>
      <c r="AR219" s="214" t="b">
        <v>0</v>
      </c>
      <c r="AS219" s="212" t="s">
        <v>534</v>
      </c>
    </row>
    <row r="220" spans="1:45" s="263" customFormat="1" ht="15" customHeight="1" x14ac:dyDescent="0.25">
      <c r="A220" s="245" t="str">
        <f t="shared" si="31"/>
        <v/>
      </c>
      <c r="B220" s="246" t="str">
        <f t="shared" si="24"/>
        <v/>
      </c>
      <c r="C220" s="246" t="str">
        <f>IF(B220="","",VLOOKUP(D220,'Species Data'!B:E,4,FALSE))</f>
        <v/>
      </c>
      <c r="D220" s="246" t="str">
        <f t="shared" ca="1" si="25"/>
        <v/>
      </c>
      <c r="E220" s="246" t="str">
        <f t="shared" ca="1" si="26"/>
        <v/>
      </c>
      <c r="F220" s="246" t="str">
        <f t="shared" ca="1" si="27"/>
        <v/>
      </c>
      <c r="G220" s="246" t="str">
        <f t="shared" ca="1" si="28"/>
        <v/>
      </c>
      <c r="H220" s="204" t="str">
        <f ca="1">IF(G220="","",IF(VLOOKUP(Separator!F220,'Species Data'!D:F,3,FALSE)=0,"X",IF(G220&lt;44.1,2,1)))</f>
        <v/>
      </c>
      <c r="I220" s="204" t="str">
        <f t="shared" ca="1" si="29"/>
        <v/>
      </c>
      <c r="J220" s="247" t="str">
        <f ca="1">IF(I220="","",IF(COUNTIF($D$12:D220,D220)=1,IF(H220=1,I220*H220,IF(H220="X","X",0)),0))</f>
        <v/>
      </c>
      <c r="K220" s="248" t="str">
        <f t="shared" ca="1" si="30"/>
        <v/>
      </c>
      <c r="L220" s="238"/>
      <c r="M220" s="212"/>
      <c r="N220" s="212"/>
      <c r="O220" s="213"/>
      <c r="P220" s="212"/>
      <c r="Q220" s="214"/>
      <c r="R220" s="212"/>
      <c r="S220" s="212"/>
      <c r="T220" s="212"/>
      <c r="U220" s="212"/>
      <c r="V220" s="214"/>
      <c r="W220" s="214"/>
      <c r="X220" s="214"/>
      <c r="Y220" s="214"/>
      <c r="Z220" s="214"/>
      <c r="AA220" s="212"/>
      <c r="AB220" s="212"/>
      <c r="AC220" s="212"/>
      <c r="AD220" s="214">
        <v>1.0515829999999999</v>
      </c>
      <c r="AE220" s="214">
        <v>127</v>
      </c>
      <c r="AF220" s="214">
        <v>0.38969999999999999</v>
      </c>
      <c r="AG220" s="214">
        <v>-99</v>
      </c>
      <c r="AH220" s="212" t="s">
        <v>224</v>
      </c>
      <c r="AI220" s="212" t="s">
        <v>449</v>
      </c>
      <c r="AJ220" s="212" t="s">
        <v>441</v>
      </c>
      <c r="AK220" s="212" t="s">
        <v>531</v>
      </c>
      <c r="AL220" s="212" t="s">
        <v>462</v>
      </c>
      <c r="AM220" s="214" t="b">
        <v>0</v>
      </c>
      <c r="AN220" s="214" t="b">
        <v>0</v>
      </c>
      <c r="AO220" s="212" t="s">
        <v>442</v>
      </c>
      <c r="AP220" s="212" t="s">
        <v>531</v>
      </c>
      <c r="AQ220" s="214">
        <v>72.148780000000002</v>
      </c>
      <c r="AR220" s="214" t="b">
        <v>0</v>
      </c>
      <c r="AS220" s="212" t="s">
        <v>534</v>
      </c>
    </row>
    <row r="221" spans="1:45" s="263" customFormat="1" ht="15" customHeight="1" x14ac:dyDescent="0.25">
      <c r="A221" s="245" t="str">
        <f t="shared" si="31"/>
        <v/>
      </c>
      <c r="B221" s="246" t="str">
        <f t="shared" si="24"/>
        <v/>
      </c>
      <c r="C221" s="246" t="str">
        <f>IF(B221="","",VLOOKUP(D221,'Species Data'!B:E,4,FALSE))</f>
        <v/>
      </c>
      <c r="D221" s="246" t="str">
        <f t="shared" ca="1" si="25"/>
        <v/>
      </c>
      <c r="E221" s="246" t="str">
        <f t="shared" ca="1" si="26"/>
        <v/>
      </c>
      <c r="F221" s="246" t="str">
        <f t="shared" ca="1" si="27"/>
        <v/>
      </c>
      <c r="G221" s="246" t="str">
        <f t="shared" ca="1" si="28"/>
        <v/>
      </c>
      <c r="H221" s="204" t="str">
        <f ca="1">IF(G221="","",IF(VLOOKUP(Separator!F221,'Species Data'!D:F,3,FALSE)=0,"X",IF(G221&lt;44.1,2,1)))</f>
        <v/>
      </c>
      <c r="I221" s="204" t="str">
        <f t="shared" ca="1" si="29"/>
        <v/>
      </c>
      <c r="J221" s="247" t="str">
        <f ca="1">IF(I221="","",IF(COUNTIF($D$12:D221,D221)=1,IF(H221=1,I221*H221,IF(H221="X","X",0)),0))</f>
        <v/>
      </c>
      <c r="K221" s="248" t="str">
        <f t="shared" ca="1" si="30"/>
        <v/>
      </c>
      <c r="L221" s="238"/>
      <c r="M221" s="212"/>
      <c r="N221" s="212"/>
      <c r="O221" s="213"/>
      <c r="P221" s="212"/>
      <c r="Q221" s="214"/>
      <c r="R221" s="212"/>
      <c r="S221" s="212"/>
      <c r="T221" s="212"/>
      <c r="U221" s="212"/>
      <c r="V221" s="214"/>
      <c r="W221" s="214"/>
      <c r="X221" s="214"/>
      <c r="Y221" s="214"/>
      <c r="Z221" s="214"/>
      <c r="AA221" s="212"/>
      <c r="AB221" s="212"/>
      <c r="AC221" s="212"/>
      <c r="AD221" s="214">
        <v>1.0515829999999999</v>
      </c>
      <c r="AE221" s="214">
        <v>130</v>
      </c>
      <c r="AF221" s="214">
        <v>0.66310000000000002</v>
      </c>
      <c r="AG221" s="214">
        <v>-99</v>
      </c>
      <c r="AH221" s="212" t="s">
        <v>224</v>
      </c>
      <c r="AI221" s="212" t="s">
        <v>449</v>
      </c>
      <c r="AJ221" s="212" t="s">
        <v>404</v>
      </c>
      <c r="AK221" s="212" t="s">
        <v>531</v>
      </c>
      <c r="AL221" s="212" t="s">
        <v>405</v>
      </c>
      <c r="AM221" s="214" t="b">
        <v>1</v>
      </c>
      <c r="AN221" s="214" t="b">
        <v>0</v>
      </c>
      <c r="AO221" s="212" t="s">
        <v>406</v>
      </c>
      <c r="AP221" s="212" t="s">
        <v>407</v>
      </c>
      <c r="AQ221" s="214">
        <v>114.22852</v>
      </c>
      <c r="AR221" s="214" t="b">
        <v>0</v>
      </c>
      <c r="AS221" s="212" t="s">
        <v>534</v>
      </c>
    </row>
    <row r="222" spans="1:45" s="263" customFormat="1" ht="15" customHeight="1" x14ac:dyDescent="0.25">
      <c r="A222" s="245" t="str">
        <f t="shared" si="31"/>
        <v/>
      </c>
      <c r="B222" s="246" t="str">
        <f t="shared" si="24"/>
        <v/>
      </c>
      <c r="C222" s="246" t="str">
        <f>IF(B222="","",VLOOKUP(D222,'Species Data'!B:E,4,FALSE))</f>
        <v/>
      </c>
      <c r="D222" s="246" t="str">
        <f t="shared" ca="1" si="25"/>
        <v/>
      </c>
      <c r="E222" s="246" t="str">
        <f t="shared" ca="1" si="26"/>
        <v/>
      </c>
      <c r="F222" s="246" t="str">
        <f t="shared" ca="1" si="27"/>
        <v/>
      </c>
      <c r="G222" s="246" t="str">
        <f t="shared" ca="1" si="28"/>
        <v/>
      </c>
      <c r="H222" s="204" t="str">
        <f ca="1">IF(G222="","",IF(VLOOKUP(Separator!F222,'Species Data'!D:F,3,FALSE)=0,"X",IF(G222&lt;44.1,2,1)))</f>
        <v/>
      </c>
      <c r="I222" s="204" t="str">
        <f t="shared" ca="1" si="29"/>
        <v/>
      </c>
      <c r="J222" s="247" t="str">
        <f ca="1">IF(I222="","",IF(COUNTIF($D$12:D222,D222)=1,IF(H222=1,I222*H222,IF(H222="X","X",0)),0))</f>
        <v/>
      </c>
      <c r="K222" s="248" t="str">
        <f t="shared" ca="1" si="30"/>
        <v/>
      </c>
      <c r="L222" s="238"/>
      <c r="M222" s="212"/>
      <c r="N222" s="212"/>
      <c r="O222" s="213"/>
      <c r="P222" s="212"/>
      <c r="Q222" s="214"/>
      <c r="R222" s="212"/>
      <c r="S222" s="212"/>
      <c r="T222" s="212"/>
      <c r="U222" s="212"/>
      <c r="V222" s="214"/>
      <c r="W222" s="214"/>
      <c r="X222" s="214"/>
      <c r="Y222" s="214"/>
      <c r="Z222" s="214"/>
      <c r="AA222" s="212"/>
      <c r="AB222" s="212"/>
      <c r="AC222" s="212"/>
      <c r="AD222" s="214">
        <v>1.0515829999999999</v>
      </c>
      <c r="AE222" s="214">
        <v>136</v>
      </c>
      <c r="AF222" s="214">
        <v>2.9941</v>
      </c>
      <c r="AG222" s="214">
        <v>-99</v>
      </c>
      <c r="AH222" s="212" t="s">
        <v>224</v>
      </c>
      <c r="AI222" s="212" t="s">
        <v>449</v>
      </c>
      <c r="AJ222" s="212" t="s">
        <v>304</v>
      </c>
      <c r="AK222" s="212" t="s">
        <v>531</v>
      </c>
      <c r="AL222" s="212" t="s">
        <v>620</v>
      </c>
      <c r="AM222" s="214" t="b">
        <v>1</v>
      </c>
      <c r="AN222" s="214" t="b">
        <v>0</v>
      </c>
      <c r="AO222" s="212" t="s">
        <v>305</v>
      </c>
      <c r="AP222" s="212" t="s">
        <v>306</v>
      </c>
      <c r="AQ222" s="214">
        <v>86.175359999999998</v>
      </c>
      <c r="AR222" s="214" t="b">
        <v>0</v>
      </c>
      <c r="AS222" s="212" t="s">
        <v>534</v>
      </c>
    </row>
    <row r="223" spans="1:45" s="263" customFormat="1" ht="15" customHeight="1" x14ac:dyDescent="0.25">
      <c r="A223" s="245" t="str">
        <f t="shared" si="31"/>
        <v/>
      </c>
      <c r="B223" s="246" t="str">
        <f t="shared" si="24"/>
        <v/>
      </c>
      <c r="C223" s="246" t="str">
        <f>IF(B223="","",VLOOKUP(D223,'Species Data'!B:E,4,FALSE))</f>
        <v/>
      </c>
      <c r="D223" s="246" t="str">
        <f t="shared" ca="1" si="25"/>
        <v/>
      </c>
      <c r="E223" s="246" t="str">
        <f t="shared" ca="1" si="26"/>
        <v/>
      </c>
      <c r="F223" s="246" t="str">
        <f t="shared" ca="1" si="27"/>
        <v/>
      </c>
      <c r="G223" s="246" t="str">
        <f t="shared" ca="1" si="28"/>
        <v/>
      </c>
      <c r="H223" s="204" t="str">
        <f ca="1">IF(G223="","",IF(VLOOKUP(Separator!F223,'Species Data'!D:F,3,FALSE)=0,"X",IF(G223&lt;44.1,2,1)))</f>
        <v/>
      </c>
      <c r="I223" s="204" t="str">
        <f t="shared" ca="1" si="29"/>
        <v/>
      </c>
      <c r="J223" s="247" t="str">
        <f ca="1">IF(I223="","",IF(COUNTIF($D$12:D223,D223)=1,IF(H223=1,I223*H223,IF(H223="X","X",0)),0))</f>
        <v/>
      </c>
      <c r="K223" s="248" t="str">
        <f t="shared" ca="1" si="30"/>
        <v/>
      </c>
      <c r="L223" s="238"/>
      <c r="M223" s="212"/>
      <c r="N223" s="212"/>
      <c r="O223" s="213"/>
      <c r="P223" s="212"/>
      <c r="Q223" s="214"/>
      <c r="R223" s="212"/>
      <c r="S223" s="212"/>
      <c r="T223" s="212"/>
      <c r="U223" s="212"/>
      <c r="V223" s="214"/>
      <c r="W223" s="214"/>
      <c r="X223" s="214"/>
      <c r="Y223" s="214"/>
      <c r="Z223" s="214"/>
      <c r="AA223" s="212"/>
      <c r="AB223" s="212"/>
      <c r="AC223" s="212"/>
      <c r="AD223" s="214">
        <v>1.0515829999999999</v>
      </c>
      <c r="AE223" s="214">
        <v>138</v>
      </c>
      <c r="AF223" s="214">
        <v>0.18820000000000001</v>
      </c>
      <c r="AG223" s="214">
        <v>-99</v>
      </c>
      <c r="AH223" s="212" t="s">
        <v>224</v>
      </c>
      <c r="AI223" s="212" t="s">
        <v>449</v>
      </c>
      <c r="AJ223" s="212" t="s">
        <v>443</v>
      </c>
      <c r="AK223" s="212" t="s">
        <v>531</v>
      </c>
      <c r="AL223" s="212" t="s">
        <v>463</v>
      </c>
      <c r="AM223" s="214" t="b">
        <v>0</v>
      </c>
      <c r="AN223" s="214" t="b">
        <v>0</v>
      </c>
      <c r="AO223" s="212" t="s">
        <v>444</v>
      </c>
      <c r="AP223" s="212" t="s">
        <v>531</v>
      </c>
      <c r="AQ223" s="214">
        <v>114.22852</v>
      </c>
      <c r="AR223" s="214" t="b">
        <v>0</v>
      </c>
      <c r="AS223" s="212" t="s">
        <v>534</v>
      </c>
    </row>
    <row r="224" spans="1:45" s="263" customFormat="1" ht="15" customHeight="1" x14ac:dyDescent="0.25">
      <c r="A224" s="245" t="str">
        <f t="shared" si="31"/>
        <v/>
      </c>
      <c r="B224" s="246" t="str">
        <f t="shared" si="24"/>
        <v/>
      </c>
      <c r="C224" s="246" t="str">
        <f>IF(B224="","",VLOOKUP(D224,'Species Data'!B:E,4,FALSE))</f>
        <v/>
      </c>
      <c r="D224" s="246" t="str">
        <f t="shared" ca="1" si="25"/>
        <v/>
      </c>
      <c r="E224" s="246" t="str">
        <f t="shared" ca="1" si="26"/>
        <v/>
      </c>
      <c r="F224" s="246" t="str">
        <f t="shared" ca="1" si="27"/>
        <v/>
      </c>
      <c r="G224" s="246" t="str">
        <f t="shared" ca="1" si="28"/>
        <v/>
      </c>
      <c r="H224" s="204" t="str">
        <f ca="1">IF(G224="","",IF(VLOOKUP(Separator!F224,'Species Data'!D:F,3,FALSE)=0,"X",IF(G224&lt;44.1,2,1)))</f>
        <v/>
      </c>
      <c r="I224" s="204" t="str">
        <f t="shared" ca="1" si="29"/>
        <v/>
      </c>
      <c r="J224" s="247" t="str">
        <f ca="1">IF(I224="","",IF(COUNTIF($D$12:D224,D224)=1,IF(H224=1,I224*H224,IF(H224="X","X",0)),0))</f>
        <v/>
      </c>
      <c r="K224" s="248" t="str">
        <f t="shared" ca="1" si="30"/>
        <v/>
      </c>
      <c r="L224" s="238"/>
      <c r="M224" s="212"/>
      <c r="N224" s="212"/>
      <c r="O224" s="213"/>
      <c r="P224" s="212"/>
      <c r="Q224" s="214"/>
      <c r="R224" s="212"/>
      <c r="S224" s="212"/>
      <c r="T224" s="212"/>
      <c r="U224" s="212"/>
      <c r="V224" s="214"/>
      <c r="W224" s="214"/>
      <c r="X224" s="214"/>
      <c r="Y224" s="214"/>
      <c r="Z224" s="214"/>
      <c r="AA224" s="212"/>
      <c r="AB224" s="212"/>
      <c r="AC224" s="212"/>
      <c r="AD224" s="214">
        <v>1.0515829999999999</v>
      </c>
      <c r="AE224" s="214">
        <v>140</v>
      </c>
      <c r="AF224" s="214">
        <v>2.0899000000000001</v>
      </c>
      <c r="AG224" s="214">
        <v>-99</v>
      </c>
      <c r="AH224" s="212" t="s">
        <v>224</v>
      </c>
      <c r="AI224" s="212" t="s">
        <v>449</v>
      </c>
      <c r="AJ224" s="212" t="s">
        <v>307</v>
      </c>
      <c r="AK224" s="212" t="s">
        <v>531</v>
      </c>
      <c r="AL224" s="212" t="s">
        <v>385</v>
      </c>
      <c r="AM224" s="214" t="b">
        <v>1</v>
      </c>
      <c r="AN224" s="214" t="b">
        <v>0</v>
      </c>
      <c r="AO224" s="212" t="s">
        <v>308</v>
      </c>
      <c r="AP224" s="212" t="s">
        <v>309</v>
      </c>
      <c r="AQ224" s="214">
        <v>100.20194000000001</v>
      </c>
      <c r="AR224" s="214" t="b">
        <v>0</v>
      </c>
      <c r="AS224" s="212" t="s">
        <v>534</v>
      </c>
    </row>
    <row r="225" spans="1:45" s="263" customFormat="1" ht="15" customHeight="1" x14ac:dyDescent="0.25">
      <c r="A225" s="245" t="str">
        <f t="shared" si="31"/>
        <v/>
      </c>
      <c r="B225" s="246" t="str">
        <f t="shared" si="24"/>
        <v/>
      </c>
      <c r="C225" s="246" t="str">
        <f>IF(B225="","",VLOOKUP(D225,'Species Data'!B:E,4,FALSE))</f>
        <v/>
      </c>
      <c r="D225" s="246" t="str">
        <f t="shared" ca="1" si="25"/>
        <v/>
      </c>
      <c r="E225" s="246" t="str">
        <f t="shared" ca="1" si="26"/>
        <v/>
      </c>
      <c r="F225" s="246" t="str">
        <f t="shared" ca="1" si="27"/>
        <v/>
      </c>
      <c r="G225" s="246" t="str">
        <f t="shared" ca="1" si="28"/>
        <v/>
      </c>
      <c r="H225" s="204" t="str">
        <f ca="1">IF(G225="","",IF(VLOOKUP(Separator!F225,'Species Data'!D:F,3,FALSE)=0,"X",IF(G225&lt;44.1,2,1)))</f>
        <v/>
      </c>
      <c r="I225" s="204" t="str">
        <f t="shared" ca="1" si="29"/>
        <v/>
      </c>
      <c r="J225" s="247" t="str">
        <f ca="1">IF(I225="","",IF(COUNTIF($D$12:D225,D225)=1,IF(H225=1,I225*H225,IF(H225="X","X",0)),0))</f>
        <v/>
      </c>
      <c r="K225" s="248" t="str">
        <f t="shared" ca="1" si="30"/>
        <v/>
      </c>
      <c r="L225" s="238"/>
      <c r="M225" s="212"/>
      <c r="N225" s="212"/>
      <c r="O225" s="213"/>
      <c r="P225" s="212"/>
      <c r="Q225" s="214"/>
      <c r="R225" s="212"/>
      <c r="S225" s="212"/>
      <c r="T225" s="212"/>
      <c r="U225" s="212"/>
      <c r="V225" s="214"/>
      <c r="W225" s="214"/>
      <c r="X225" s="214"/>
      <c r="Y225" s="214"/>
      <c r="Z225" s="214"/>
      <c r="AA225" s="212"/>
      <c r="AB225" s="212"/>
      <c r="AC225" s="212"/>
      <c r="AD225" s="214">
        <v>1.0515829999999999</v>
      </c>
      <c r="AE225" s="214">
        <v>149</v>
      </c>
      <c r="AF225" s="214">
        <v>0.66069999999999995</v>
      </c>
      <c r="AG225" s="214">
        <v>-99</v>
      </c>
      <c r="AH225" s="212" t="s">
        <v>224</v>
      </c>
      <c r="AI225" s="212" t="s">
        <v>449</v>
      </c>
      <c r="AJ225" s="212" t="s">
        <v>427</v>
      </c>
      <c r="AK225" s="212" t="s">
        <v>531</v>
      </c>
      <c r="AL225" s="212" t="s">
        <v>457</v>
      </c>
      <c r="AM225" s="214" t="b">
        <v>0</v>
      </c>
      <c r="AN225" s="214" t="b">
        <v>0</v>
      </c>
      <c r="AO225" s="212" t="s">
        <v>428</v>
      </c>
      <c r="AP225" s="212" t="s">
        <v>429</v>
      </c>
      <c r="AQ225" s="214">
        <v>114.22852</v>
      </c>
      <c r="AR225" s="214" t="b">
        <v>0</v>
      </c>
      <c r="AS225" s="212" t="s">
        <v>534</v>
      </c>
    </row>
    <row r="226" spans="1:45" s="263" customFormat="1" ht="15" customHeight="1" x14ac:dyDescent="0.25">
      <c r="A226" s="245" t="str">
        <f t="shared" si="31"/>
        <v/>
      </c>
      <c r="B226" s="246" t="str">
        <f t="shared" si="24"/>
        <v/>
      </c>
      <c r="C226" s="246" t="str">
        <f>IF(B226="","",VLOOKUP(D226,'Species Data'!B:E,4,FALSE))</f>
        <v/>
      </c>
      <c r="D226" s="246" t="str">
        <f t="shared" ca="1" si="25"/>
        <v/>
      </c>
      <c r="E226" s="246" t="str">
        <f t="shared" ca="1" si="26"/>
        <v/>
      </c>
      <c r="F226" s="246" t="str">
        <f t="shared" ca="1" si="27"/>
        <v/>
      </c>
      <c r="G226" s="246" t="str">
        <f t="shared" ca="1" si="28"/>
        <v/>
      </c>
      <c r="H226" s="204" t="str">
        <f ca="1">IF(G226="","",IF(VLOOKUP(Separator!F226,'Species Data'!D:F,3,FALSE)=0,"X",IF(G226&lt;44.1,2,1)))</f>
        <v/>
      </c>
      <c r="I226" s="204" t="str">
        <f t="shared" ca="1" si="29"/>
        <v/>
      </c>
      <c r="J226" s="247" t="str">
        <f ca="1">IF(I226="","",IF(COUNTIF($D$12:D226,D226)=1,IF(H226=1,I226*H226,IF(H226="X","X",0)),0))</f>
        <v/>
      </c>
      <c r="K226" s="248" t="str">
        <f t="shared" ca="1" si="30"/>
        <v/>
      </c>
      <c r="L226" s="238"/>
      <c r="M226" s="212"/>
      <c r="N226" s="212"/>
      <c r="O226" s="213"/>
      <c r="P226" s="212"/>
      <c r="Q226" s="214"/>
      <c r="R226" s="212"/>
      <c r="S226" s="212"/>
      <c r="T226" s="212"/>
      <c r="U226" s="212"/>
      <c r="V226" s="214"/>
      <c r="W226" s="214"/>
      <c r="X226" s="214"/>
      <c r="Y226" s="214"/>
      <c r="Z226" s="214"/>
      <c r="AA226" s="212"/>
      <c r="AB226" s="212"/>
      <c r="AC226" s="212"/>
      <c r="AD226" s="214">
        <v>1.0515829999999999</v>
      </c>
      <c r="AE226" s="214">
        <v>152</v>
      </c>
      <c r="AF226" s="214">
        <v>0.60599999999999998</v>
      </c>
      <c r="AG226" s="214">
        <v>-99</v>
      </c>
      <c r="AH226" s="212" t="s">
        <v>224</v>
      </c>
      <c r="AI226" s="212" t="s">
        <v>449</v>
      </c>
      <c r="AJ226" s="212" t="s">
        <v>310</v>
      </c>
      <c r="AK226" s="212" t="s">
        <v>531</v>
      </c>
      <c r="AL226" s="212" t="s">
        <v>386</v>
      </c>
      <c r="AM226" s="214" t="b">
        <v>1</v>
      </c>
      <c r="AN226" s="214" t="b">
        <v>0</v>
      </c>
      <c r="AO226" s="212" t="s">
        <v>311</v>
      </c>
      <c r="AP226" s="212" t="s">
        <v>312</v>
      </c>
      <c r="AQ226" s="214">
        <v>100.20194000000001</v>
      </c>
      <c r="AR226" s="214" t="b">
        <v>0</v>
      </c>
      <c r="AS226" s="212" t="s">
        <v>534</v>
      </c>
    </row>
    <row r="227" spans="1:45" s="263" customFormat="1" x14ac:dyDescent="0.25">
      <c r="A227" s="245" t="str">
        <f t="shared" si="31"/>
        <v/>
      </c>
      <c r="B227" s="246" t="str">
        <f t="shared" si="24"/>
        <v/>
      </c>
      <c r="C227" s="246" t="str">
        <f>IF(B227="","",VLOOKUP(D227,'Species Data'!B:E,4,FALSE))</f>
        <v/>
      </c>
      <c r="D227" s="246" t="str">
        <f t="shared" ca="1" si="25"/>
        <v/>
      </c>
      <c r="E227" s="246" t="str">
        <f t="shared" ca="1" si="26"/>
        <v/>
      </c>
      <c r="F227" s="246" t="str">
        <f t="shared" ca="1" si="27"/>
        <v/>
      </c>
      <c r="G227" s="246" t="str">
        <f t="shared" ca="1" si="28"/>
        <v/>
      </c>
      <c r="H227" s="204" t="str">
        <f ca="1">IF(G227="","",IF(VLOOKUP(Separator!F227,'Species Data'!D:F,3,FALSE)=0,"X",IF(G227&lt;44.1,2,1)))</f>
        <v/>
      </c>
      <c r="I227" s="204" t="str">
        <f t="shared" ca="1" si="29"/>
        <v/>
      </c>
      <c r="J227" s="247" t="str">
        <f ca="1">IF(I227="","",IF(COUNTIF($D$12:D227,D227)=1,IF(H227=1,I227*H227,IF(H227="X","X",0)),0))</f>
        <v/>
      </c>
      <c r="K227" s="248" t="str">
        <f t="shared" ca="1" si="30"/>
        <v/>
      </c>
      <c r="L227" s="238"/>
      <c r="M227" s="212"/>
      <c r="N227" s="212"/>
      <c r="O227" s="213"/>
      <c r="P227" s="212"/>
      <c r="Q227" s="214"/>
      <c r="R227" s="212"/>
      <c r="S227" s="212"/>
      <c r="T227" s="212"/>
      <c r="U227" s="212"/>
      <c r="V227" s="214"/>
      <c r="W227" s="214"/>
      <c r="X227" s="214"/>
      <c r="Y227" s="214"/>
      <c r="Z227" s="214"/>
      <c r="AA227" s="212"/>
      <c r="AB227" s="212"/>
      <c r="AC227" s="212"/>
      <c r="AD227" s="214">
        <v>1.0515829999999999</v>
      </c>
      <c r="AE227" s="214">
        <v>193</v>
      </c>
      <c r="AF227" s="214">
        <v>5.9200000000000003E-2</v>
      </c>
      <c r="AG227" s="214">
        <v>-99</v>
      </c>
      <c r="AH227" s="212" t="s">
        <v>224</v>
      </c>
      <c r="AI227" s="212" t="s">
        <v>449</v>
      </c>
      <c r="AJ227" s="212" t="s">
        <v>313</v>
      </c>
      <c r="AK227" s="212" t="s">
        <v>531</v>
      </c>
      <c r="AL227" s="212" t="s">
        <v>387</v>
      </c>
      <c r="AM227" s="214" t="b">
        <v>1</v>
      </c>
      <c r="AN227" s="214" t="b">
        <v>0</v>
      </c>
      <c r="AO227" s="212" t="s">
        <v>314</v>
      </c>
      <c r="AP227" s="212" t="s">
        <v>315</v>
      </c>
      <c r="AQ227" s="214">
        <v>114.22852</v>
      </c>
      <c r="AR227" s="214" t="b">
        <v>0</v>
      </c>
      <c r="AS227" s="212" t="s">
        <v>534</v>
      </c>
    </row>
    <row r="228" spans="1:45" s="263" customFormat="1" x14ac:dyDescent="0.25">
      <c r="A228" s="245" t="str">
        <f t="shared" si="31"/>
        <v/>
      </c>
      <c r="B228" s="246" t="str">
        <f t="shared" si="24"/>
        <v/>
      </c>
      <c r="C228" s="246" t="str">
        <f>IF(B228="","",VLOOKUP(D228,'Species Data'!B:E,4,FALSE))</f>
        <v/>
      </c>
      <c r="D228" s="246" t="str">
        <f t="shared" ca="1" si="25"/>
        <v/>
      </c>
      <c r="E228" s="246" t="str">
        <f t="shared" ca="1" si="26"/>
        <v/>
      </c>
      <c r="F228" s="246" t="str">
        <f t="shared" ca="1" si="27"/>
        <v/>
      </c>
      <c r="G228" s="246" t="str">
        <f t="shared" ca="1" si="28"/>
        <v/>
      </c>
      <c r="H228" s="204" t="str">
        <f ca="1">IF(G228="","",IF(VLOOKUP(Separator!F228,'Species Data'!D:F,3,FALSE)=0,"X",IF(G228&lt;44.1,2,1)))</f>
        <v/>
      </c>
      <c r="I228" s="204" t="str">
        <f t="shared" ca="1" si="29"/>
        <v/>
      </c>
      <c r="J228" s="247" t="str">
        <f ca="1">IF(I228="","",IF(COUNTIF($D$12:D228,D228)=1,IF(H228=1,I228*H228,IF(H228="X","X",0)),0))</f>
        <v/>
      </c>
      <c r="K228" s="248" t="str">
        <f t="shared" ca="1" si="30"/>
        <v/>
      </c>
      <c r="L228" s="238"/>
      <c r="M228" s="212"/>
      <c r="N228" s="212"/>
      <c r="O228" s="213"/>
      <c r="P228" s="212"/>
      <c r="Q228" s="214"/>
      <c r="R228" s="212"/>
      <c r="S228" s="212"/>
      <c r="T228" s="212"/>
      <c r="U228" s="212"/>
      <c r="V228" s="214"/>
      <c r="W228" s="214"/>
      <c r="X228" s="214"/>
      <c r="Y228" s="214"/>
      <c r="Z228" s="214"/>
      <c r="AA228" s="212"/>
      <c r="AB228" s="212"/>
      <c r="AC228" s="212"/>
      <c r="AD228" s="214">
        <v>1.0515829999999999</v>
      </c>
      <c r="AE228" s="214">
        <v>194</v>
      </c>
      <c r="AF228" s="214">
        <v>2.81E-2</v>
      </c>
      <c r="AG228" s="214">
        <v>-99</v>
      </c>
      <c r="AH228" s="212" t="s">
        <v>224</v>
      </c>
      <c r="AI228" s="212" t="s">
        <v>449</v>
      </c>
      <c r="AJ228" s="212" t="s">
        <v>316</v>
      </c>
      <c r="AK228" s="212" t="s">
        <v>531</v>
      </c>
      <c r="AL228" s="212" t="s">
        <v>388</v>
      </c>
      <c r="AM228" s="214" t="b">
        <v>1</v>
      </c>
      <c r="AN228" s="214" t="b">
        <v>0</v>
      </c>
      <c r="AO228" s="212" t="s">
        <v>317</v>
      </c>
      <c r="AP228" s="212" t="s">
        <v>318</v>
      </c>
      <c r="AQ228" s="214">
        <v>100.20194000000001</v>
      </c>
      <c r="AR228" s="214" t="b">
        <v>0</v>
      </c>
      <c r="AS228" s="212" t="s">
        <v>534</v>
      </c>
    </row>
    <row r="229" spans="1:45" s="263" customFormat="1" x14ac:dyDescent="0.25">
      <c r="A229" s="245" t="str">
        <f t="shared" si="31"/>
        <v/>
      </c>
      <c r="B229" s="246" t="str">
        <f t="shared" si="24"/>
        <v/>
      </c>
      <c r="C229" s="246" t="str">
        <f>IF(B229="","",VLOOKUP(D229,'Species Data'!B:E,4,FALSE))</f>
        <v/>
      </c>
      <c r="D229" s="246" t="str">
        <f t="shared" ca="1" si="25"/>
        <v/>
      </c>
      <c r="E229" s="246" t="str">
        <f t="shared" ca="1" si="26"/>
        <v/>
      </c>
      <c r="F229" s="246" t="str">
        <f t="shared" ca="1" si="27"/>
        <v/>
      </c>
      <c r="G229" s="246" t="str">
        <f t="shared" ca="1" si="28"/>
        <v/>
      </c>
      <c r="H229" s="204" t="str">
        <f ca="1">IF(G229="","",IF(VLOOKUP(Separator!F229,'Species Data'!D:F,3,FALSE)=0,"X",IF(G229&lt;44.1,2,1)))</f>
        <v/>
      </c>
      <c r="I229" s="204" t="str">
        <f t="shared" ca="1" si="29"/>
        <v/>
      </c>
      <c r="J229" s="247" t="str">
        <f ca="1">IF(I229="","",IF(COUNTIF($D$12:D229,D229)=1,IF(H229=1,I229*H229,IF(H229="X","X",0)),0))</f>
        <v/>
      </c>
      <c r="K229" s="248" t="str">
        <f t="shared" ca="1" si="30"/>
        <v/>
      </c>
      <c r="L229" s="238"/>
      <c r="M229" s="212"/>
      <c r="N229" s="212"/>
      <c r="O229" s="213"/>
      <c r="P229" s="212"/>
      <c r="Q229" s="214"/>
      <c r="R229" s="212"/>
      <c r="S229" s="212"/>
      <c r="T229" s="212"/>
      <c r="U229" s="212"/>
      <c r="V229" s="214"/>
      <c r="W229" s="214"/>
      <c r="X229" s="214"/>
      <c r="Y229" s="214"/>
      <c r="Z229" s="214"/>
      <c r="AA229" s="212"/>
      <c r="AB229" s="212"/>
      <c r="AC229" s="212"/>
      <c r="AD229" s="214">
        <v>1.0515829999999999</v>
      </c>
      <c r="AE229" s="214">
        <v>199</v>
      </c>
      <c r="AF229" s="214">
        <v>6.3700000000000007E-2</v>
      </c>
      <c r="AG229" s="214">
        <v>-99</v>
      </c>
      <c r="AH229" s="212" t="s">
        <v>224</v>
      </c>
      <c r="AI229" s="212" t="s">
        <v>449</v>
      </c>
      <c r="AJ229" s="212" t="s">
        <v>319</v>
      </c>
      <c r="AK229" s="212" t="s">
        <v>531</v>
      </c>
      <c r="AL229" s="212" t="s">
        <v>389</v>
      </c>
      <c r="AM229" s="214" t="b">
        <v>1</v>
      </c>
      <c r="AN229" s="214" t="b">
        <v>0</v>
      </c>
      <c r="AO229" s="212" t="s">
        <v>320</v>
      </c>
      <c r="AP229" s="212" t="s">
        <v>321</v>
      </c>
      <c r="AQ229" s="214">
        <v>86.175359999999998</v>
      </c>
      <c r="AR229" s="214" t="b">
        <v>0</v>
      </c>
      <c r="AS229" s="212" t="s">
        <v>534</v>
      </c>
    </row>
    <row r="230" spans="1:45" s="263" customFormat="1" x14ac:dyDescent="0.25">
      <c r="A230" s="245" t="str">
        <f t="shared" si="31"/>
        <v/>
      </c>
      <c r="B230" s="246" t="str">
        <f t="shared" si="24"/>
        <v/>
      </c>
      <c r="C230" s="246" t="str">
        <f>IF(B230="","",VLOOKUP(D230,'Species Data'!B:E,4,FALSE))</f>
        <v/>
      </c>
      <c r="D230" s="246" t="str">
        <f t="shared" ca="1" si="25"/>
        <v/>
      </c>
      <c r="E230" s="246" t="str">
        <f t="shared" ca="1" si="26"/>
        <v/>
      </c>
      <c r="F230" s="246" t="str">
        <f t="shared" ca="1" si="27"/>
        <v/>
      </c>
      <c r="G230" s="246" t="str">
        <f t="shared" ca="1" si="28"/>
        <v/>
      </c>
      <c r="H230" s="204" t="str">
        <f ca="1">IF(G230="","",IF(VLOOKUP(Separator!F230,'Species Data'!D:F,3,FALSE)=0,"X",IF(G230&lt;44.1,2,1)))</f>
        <v/>
      </c>
      <c r="I230" s="204" t="str">
        <f t="shared" ca="1" si="29"/>
        <v/>
      </c>
      <c r="J230" s="247" t="str">
        <f ca="1">IF(I230="","",IF(COUNTIF($D$12:D230,D230)=1,IF(H230=1,I230*H230,IF(H230="X","X",0)),0))</f>
        <v/>
      </c>
      <c r="K230" s="248" t="str">
        <f t="shared" ca="1" si="30"/>
        <v/>
      </c>
      <c r="L230" s="238"/>
      <c r="M230" s="212"/>
      <c r="N230" s="212"/>
      <c r="O230" s="213"/>
      <c r="P230" s="212"/>
      <c r="Q230" s="214"/>
      <c r="R230" s="212"/>
      <c r="S230" s="212"/>
      <c r="T230" s="212"/>
      <c r="U230" s="212"/>
      <c r="V230" s="214"/>
      <c r="W230" s="214"/>
      <c r="X230" s="214"/>
      <c r="Y230" s="214"/>
      <c r="Z230" s="214"/>
      <c r="AA230" s="212"/>
      <c r="AB230" s="212"/>
      <c r="AC230" s="212"/>
      <c r="AD230" s="214">
        <v>1.0515829999999999</v>
      </c>
      <c r="AE230" s="214">
        <v>226</v>
      </c>
      <c r="AF230" s="214">
        <v>0.59250000000000003</v>
      </c>
      <c r="AG230" s="214">
        <v>-99</v>
      </c>
      <c r="AH230" s="212" t="s">
        <v>224</v>
      </c>
      <c r="AI230" s="212" t="s">
        <v>449</v>
      </c>
      <c r="AJ230" s="212" t="s">
        <v>439</v>
      </c>
      <c r="AK230" s="212" t="s">
        <v>531</v>
      </c>
      <c r="AL230" s="212" t="s">
        <v>461</v>
      </c>
      <c r="AM230" s="214" t="b">
        <v>0</v>
      </c>
      <c r="AN230" s="214" t="b">
        <v>0</v>
      </c>
      <c r="AO230" s="212" t="s">
        <v>440</v>
      </c>
      <c r="AP230" s="212" t="s">
        <v>531</v>
      </c>
      <c r="AQ230" s="214">
        <v>114.22852</v>
      </c>
      <c r="AR230" s="214" t="b">
        <v>0</v>
      </c>
      <c r="AS230" s="212" t="s">
        <v>534</v>
      </c>
    </row>
    <row r="231" spans="1:45" s="263" customFormat="1" x14ac:dyDescent="0.25">
      <c r="A231" s="245" t="str">
        <f t="shared" si="31"/>
        <v/>
      </c>
      <c r="B231" s="246" t="str">
        <f t="shared" si="24"/>
        <v/>
      </c>
      <c r="C231" s="246" t="str">
        <f>IF(B231="","",VLOOKUP(D231,'Species Data'!B:E,4,FALSE))</f>
        <v/>
      </c>
      <c r="D231" s="246" t="str">
        <f t="shared" ca="1" si="25"/>
        <v/>
      </c>
      <c r="E231" s="246" t="str">
        <f t="shared" ca="1" si="26"/>
        <v/>
      </c>
      <c r="F231" s="246" t="str">
        <f t="shared" ca="1" si="27"/>
        <v/>
      </c>
      <c r="G231" s="246" t="str">
        <f t="shared" ca="1" si="28"/>
        <v/>
      </c>
      <c r="H231" s="204" t="str">
        <f ca="1">IF(G231="","",IF(VLOOKUP(Separator!F231,'Species Data'!D:F,3,FALSE)=0,"X",IF(G231&lt;44.1,2,1)))</f>
        <v/>
      </c>
      <c r="I231" s="204" t="str">
        <f t="shared" ca="1" si="29"/>
        <v/>
      </c>
      <c r="J231" s="247" t="str">
        <f ca="1">IF(I231="","",IF(COUNTIF($D$12:D231,D231)=1,IF(H231=1,I231*H231,IF(H231="X","X",0)),0))</f>
        <v/>
      </c>
      <c r="K231" s="248" t="str">
        <f t="shared" ca="1" si="30"/>
        <v/>
      </c>
      <c r="L231" s="238"/>
      <c r="M231" s="212"/>
      <c r="N231" s="212"/>
      <c r="O231" s="213"/>
      <c r="P231" s="212"/>
      <c r="Q231" s="214"/>
      <c r="R231" s="212"/>
      <c r="S231" s="212"/>
      <c r="T231" s="212"/>
      <c r="U231" s="212"/>
      <c r="V231" s="214"/>
      <c r="W231" s="214"/>
      <c r="X231" s="214"/>
      <c r="Y231" s="214"/>
      <c r="Z231" s="214"/>
      <c r="AA231" s="212"/>
      <c r="AB231" s="212"/>
      <c r="AC231" s="212"/>
      <c r="AD231" s="214">
        <v>1.0515829999999999</v>
      </c>
      <c r="AE231" s="214">
        <v>245</v>
      </c>
      <c r="AF231" s="214">
        <v>8.4400000000000003E-2</v>
      </c>
      <c r="AG231" s="214">
        <v>-99</v>
      </c>
      <c r="AH231" s="212" t="s">
        <v>224</v>
      </c>
      <c r="AI231" s="212" t="s">
        <v>449</v>
      </c>
      <c r="AJ231" s="212" t="s">
        <v>325</v>
      </c>
      <c r="AK231" s="212" t="s">
        <v>531</v>
      </c>
      <c r="AL231" s="212" t="s">
        <v>390</v>
      </c>
      <c r="AM231" s="214" t="b">
        <v>1</v>
      </c>
      <c r="AN231" s="214" t="b">
        <v>0</v>
      </c>
      <c r="AO231" s="212" t="s">
        <v>326</v>
      </c>
      <c r="AP231" s="212" t="s">
        <v>327</v>
      </c>
      <c r="AQ231" s="214">
        <v>100.20194000000001</v>
      </c>
      <c r="AR231" s="214" t="b">
        <v>0</v>
      </c>
      <c r="AS231" s="212" t="s">
        <v>534</v>
      </c>
    </row>
    <row r="232" spans="1:45" s="263" customFormat="1" x14ac:dyDescent="0.25">
      <c r="A232" s="245" t="str">
        <f t="shared" si="31"/>
        <v/>
      </c>
      <c r="B232" s="246" t="str">
        <f t="shared" si="24"/>
        <v/>
      </c>
      <c r="C232" s="246" t="str">
        <f>IF(B232="","",VLOOKUP(D232,'Species Data'!B:E,4,FALSE))</f>
        <v/>
      </c>
      <c r="D232" s="246" t="str">
        <f t="shared" ca="1" si="25"/>
        <v/>
      </c>
      <c r="E232" s="246" t="str">
        <f t="shared" ca="1" si="26"/>
        <v/>
      </c>
      <c r="F232" s="246" t="str">
        <f t="shared" ca="1" si="27"/>
        <v/>
      </c>
      <c r="G232" s="246" t="str">
        <f t="shared" ca="1" si="28"/>
        <v/>
      </c>
      <c r="H232" s="204" t="str">
        <f ca="1">IF(G232="","",IF(VLOOKUP(Separator!F232,'Species Data'!D:F,3,FALSE)=0,"X",IF(G232&lt;44.1,2,1)))</f>
        <v/>
      </c>
      <c r="I232" s="204" t="str">
        <f t="shared" ca="1" si="29"/>
        <v/>
      </c>
      <c r="J232" s="247" t="str">
        <f ca="1">IF(I232="","",IF(COUNTIF($D$12:D232,D232)=1,IF(H232=1,I232*H232,IF(H232="X","X",0)),0))</f>
        <v/>
      </c>
      <c r="K232" s="248" t="str">
        <f t="shared" ca="1" si="30"/>
        <v/>
      </c>
      <c r="L232" s="238"/>
      <c r="M232" s="212"/>
      <c r="N232" s="212"/>
      <c r="O232" s="213"/>
      <c r="P232" s="212"/>
      <c r="Q232" s="214"/>
      <c r="R232" s="212"/>
      <c r="S232" s="212"/>
      <c r="T232" s="212"/>
      <c r="U232" s="212"/>
      <c r="V232" s="214"/>
      <c r="W232" s="214"/>
      <c r="X232" s="214"/>
      <c r="Y232" s="214"/>
      <c r="Z232" s="214"/>
      <c r="AA232" s="212"/>
      <c r="AB232" s="212"/>
      <c r="AC232" s="212"/>
      <c r="AD232" s="214">
        <v>1.0515829999999999</v>
      </c>
      <c r="AE232" s="214">
        <v>248</v>
      </c>
      <c r="AF232" s="214">
        <v>0.20050000000000001</v>
      </c>
      <c r="AG232" s="214">
        <v>-99</v>
      </c>
      <c r="AH232" s="212" t="s">
        <v>224</v>
      </c>
      <c r="AI232" s="212" t="s">
        <v>449</v>
      </c>
      <c r="AJ232" s="212" t="s">
        <v>328</v>
      </c>
      <c r="AK232" s="212" t="s">
        <v>531</v>
      </c>
      <c r="AL232" s="212" t="s">
        <v>391</v>
      </c>
      <c r="AM232" s="214" t="b">
        <v>1</v>
      </c>
      <c r="AN232" s="214" t="b">
        <v>0</v>
      </c>
      <c r="AO232" s="212" t="s">
        <v>329</v>
      </c>
      <c r="AP232" s="212" t="s">
        <v>330</v>
      </c>
      <c r="AQ232" s="214">
        <v>86.175359999999998</v>
      </c>
      <c r="AR232" s="214" t="b">
        <v>0</v>
      </c>
      <c r="AS232" s="212" t="s">
        <v>534</v>
      </c>
    </row>
    <row r="233" spans="1:45" s="263" customFormat="1" x14ac:dyDescent="0.25">
      <c r="A233" s="245" t="str">
        <f t="shared" si="31"/>
        <v/>
      </c>
      <c r="B233" s="246" t="str">
        <f t="shared" si="24"/>
        <v/>
      </c>
      <c r="C233" s="246" t="str">
        <f>IF(B233="","",VLOOKUP(D233,'Species Data'!B:E,4,FALSE))</f>
        <v/>
      </c>
      <c r="D233" s="246" t="str">
        <f t="shared" ca="1" si="25"/>
        <v/>
      </c>
      <c r="E233" s="246" t="str">
        <f t="shared" ca="1" si="26"/>
        <v/>
      </c>
      <c r="F233" s="246" t="str">
        <f t="shared" ca="1" si="27"/>
        <v/>
      </c>
      <c r="G233" s="246" t="str">
        <f t="shared" ca="1" si="28"/>
        <v/>
      </c>
      <c r="H233" s="204" t="str">
        <f ca="1">IF(G233="","",IF(VLOOKUP(Separator!F233,'Species Data'!D:F,3,FALSE)=0,"X",IF(G233&lt;44.1,2,1)))</f>
        <v/>
      </c>
      <c r="I233" s="204" t="str">
        <f t="shared" ca="1" si="29"/>
        <v/>
      </c>
      <c r="J233" s="247" t="str">
        <f ca="1">IF(I233="","",IF(COUNTIF($D$12:D233,D233)=1,IF(H233=1,I233*H233,IF(H233="X","X",0)),0))</f>
        <v/>
      </c>
      <c r="K233" s="248" t="str">
        <f t="shared" ca="1" si="30"/>
        <v/>
      </c>
      <c r="L233" s="238"/>
      <c r="M233" s="212"/>
      <c r="N233" s="212"/>
      <c r="O233" s="213"/>
      <c r="P233" s="212"/>
      <c r="Q233" s="214"/>
      <c r="R233" s="212"/>
      <c r="S233" s="212"/>
      <c r="T233" s="212"/>
      <c r="U233" s="212"/>
      <c r="V233" s="214"/>
      <c r="W233" s="214"/>
      <c r="X233" s="214"/>
      <c r="Y233" s="214"/>
      <c r="Z233" s="214"/>
      <c r="AA233" s="212"/>
      <c r="AB233" s="212"/>
      <c r="AC233" s="212"/>
      <c r="AD233" s="214">
        <v>1.0515829999999999</v>
      </c>
      <c r="AE233" s="214">
        <v>302</v>
      </c>
      <c r="AF233" s="214">
        <v>1.77E-2</v>
      </c>
      <c r="AG233" s="214">
        <v>-99</v>
      </c>
      <c r="AH233" s="212" t="s">
        <v>224</v>
      </c>
      <c r="AI233" s="212" t="s">
        <v>449</v>
      </c>
      <c r="AJ233" s="212" t="s">
        <v>262</v>
      </c>
      <c r="AK233" s="212" t="s">
        <v>531</v>
      </c>
      <c r="AL233" s="212" t="s">
        <v>373</v>
      </c>
      <c r="AM233" s="214" t="b">
        <v>1</v>
      </c>
      <c r="AN233" s="214" t="b">
        <v>1</v>
      </c>
      <c r="AO233" s="212" t="s">
        <v>263</v>
      </c>
      <c r="AP233" s="212" t="s">
        <v>264</v>
      </c>
      <c r="AQ233" s="214">
        <v>78.111840000000001</v>
      </c>
      <c r="AR233" s="214" t="b">
        <v>0</v>
      </c>
      <c r="AS233" s="212" t="s">
        <v>534</v>
      </c>
    </row>
    <row r="234" spans="1:45" s="263" customFormat="1" x14ac:dyDescent="0.25">
      <c r="A234" s="245" t="str">
        <f t="shared" si="31"/>
        <v/>
      </c>
      <c r="B234" s="246" t="str">
        <f t="shared" si="24"/>
        <v/>
      </c>
      <c r="C234" s="246" t="str">
        <f>IF(B234="","",VLOOKUP(D234,'Species Data'!B:E,4,FALSE))</f>
        <v/>
      </c>
      <c r="D234" s="246" t="str">
        <f t="shared" ca="1" si="25"/>
        <v/>
      </c>
      <c r="E234" s="246" t="str">
        <f t="shared" ca="1" si="26"/>
        <v/>
      </c>
      <c r="F234" s="246" t="str">
        <f t="shared" ca="1" si="27"/>
        <v/>
      </c>
      <c r="G234" s="246" t="str">
        <f t="shared" ca="1" si="28"/>
        <v/>
      </c>
      <c r="H234" s="204" t="str">
        <f ca="1">IF(G234="","",IF(VLOOKUP(Separator!F234,'Species Data'!D:F,3,FALSE)=0,"X",IF(G234&lt;44.1,2,1)))</f>
        <v/>
      </c>
      <c r="I234" s="204" t="str">
        <f t="shared" ca="1" si="29"/>
        <v/>
      </c>
      <c r="J234" s="247" t="str">
        <f ca="1">IF(I234="","",IF(COUNTIF($D$12:D234,D234)=1,IF(H234=1,I234*H234,IF(H234="X","X",0)),0))</f>
        <v/>
      </c>
      <c r="K234" s="248" t="str">
        <f t="shared" ca="1" si="30"/>
        <v/>
      </c>
      <c r="L234" s="238"/>
      <c r="M234" s="212"/>
      <c r="N234" s="212"/>
      <c r="O234" s="213"/>
      <c r="P234" s="212"/>
      <c r="Q234" s="214"/>
      <c r="R234" s="212"/>
      <c r="S234" s="212"/>
      <c r="T234" s="212"/>
      <c r="U234" s="212"/>
      <c r="V234" s="214"/>
      <c r="W234" s="214"/>
      <c r="X234" s="214"/>
      <c r="Y234" s="214"/>
      <c r="Z234" s="214"/>
      <c r="AA234" s="212"/>
      <c r="AB234" s="212"/>
      <c r="AC234" s="212"/>
      <c r="AD234" s="214">
        <v>1.0515829999999999</v>
      </c>
      <c r="AE234" s="214">
        <v>385</v>
      </c>
      <c r="AF234" s="214">
        <v>0.36969999999999997</v>
      </c>
      <c r="AG234" s="214">
        <v>-99</v>
      </c>
      <c r="AH234" s="212" t="s">
        <v>224</v>
      </c>
      <c r="AI234" s="212" t="s">
        <v>449</v>
      </c>
      <c r="AJ234" s="212" t="s">
        <v>331</v>
      </c>
      <c r="AK234" s="212" t="s">
        <v>531</v>
      </c>
      <c r="AL234" s="212" t="s">
        <v>392</v>
      </c>
      <c r="AM234" s="214" t="b">
        <v>1</v>
      </c>
      <c r="AN234" s="214" t="b">
        <v>0</v>
      </c>
      <c r="AO234" s="212" t="s">
        <v>332</v>
      </c>
      <c r="AP234" s="212" t="s">
        <v>333</v>
      </c>
      <c r="AQ234" s="214">
        <v>84.159480000000002</v>
      </c>
      <c r="AR234" s="214" t="b">
        <v>0</v>
      </c>
      <c r="AS234" s="212" t="s">
        <v>534</v>
      </c>
    </row>
    <row r="235" spans="1:45" s="263" customFormat="1" x14ac:dyDescent="0.25">
      <c r="A235" s="245" t="str">
        <f t="shared" si="31"/>
        <v/>
      </c>
      <c r="B235" s="246" t="str">
        <f t="shared" si="24"/>
        <v/>
      </c>
      <c r="C235" s="246" t="str">
        <f>IF(B235="","",VLOOKUP(D235,'Species Data'!B:E,4,FALSE))</f>
        <v/>
      </c>
      <c r="D235" s="246" t="str">
        <f t="shared" ca="1" si="25"/>
        <v/>
      </c>
      <c r="E235" s="246" t="str">
        <f t="shared" ca="1" si="26"/>
        <v/>
      </c>
      <c r="F235" s="246" t="str">
        <f t="shared" ca="1" si="27"/>
        <v/>
      </c>
      <c r="G235" s="246" t="str">
        <f t="shared" ca="1" si="28"/>
        <v/>
      </c>
      <c r="H235" s="204" t="str">
        <f ca="1">IF(G235="","",IF(VLOOKUP(Separator!F235,'Species Data'!D:F,3,FALSE)=0,"X",IF(G235&lt;44.1,2,1)))</f>
        <v/>
      </c>
      <c r="I235" s="204" t="str">
        <f t="shared" ca="1" si="29"/>
        <v/>
      </c>
      <c r="J235" s="247" t="str">
        <f ca="1">IF(I235="","",IF(COUNTIF($D$12:D235,D235)=1,IF(H235=1,I235*H235,IF(H235="X","X",0)),0))</f>
        <v/>
      </c>
      <c r="K235" s="248" t="str">
        <f t="shared" ca="1" si="30"/>
        <v/>
      </c>
      <c r="L235" s="238"/>
      <c r="M235" s="212"/>
      <c r="N235" s="212"/>
      <c r="O235" s="213"/>
      <c r="P235" s="212"/>
      <c r="Q235" s="214"/>
      <c r="R235" s="212"/>
      <c r="S235" s="212"/>
      <c r="T235" s="212"/>
      <c r="U235" s="212"/>
      <c r="V235" s="214"/>
      <c r="W235" s="214"/>
      <c r="X235" s="214"/>
      <c r="Y235" s="214"/>
      <c r="Z235" s="214"/>
      <c r="AA235" s="212"/>
      <c r="AB235" s="212"/>
      <c r="AC235" s="212"/>
      <c r="AD235" s="214">
        <v>1.0515829999999999</v>
      </c>
      <c r="AE235" s="214">
        <v>438</v>
      </c>
      <c r="AF235" s="214">
        <v>0.41909999999999997</v>
      </c>
      <c r="AG235" s="214">
        <v>-99</v>
      </c>
      <c r="AH235" s="212" t="s">
        <v>224</v>
      </c>
      <c r="AI235" s="212" t="s">
        <v>449</v>
      </c>
      <c r="AJ235" s="212" t="s">
        <v>265</v>
      </c>
      <c r="AK235" s="212" t="s">
        <v>531</v>
      </c>
      <c r="AL235" s="212" t="s">
        <v>374</v>
      </c>
      <c r="AM235" s="214" t="b">
        <v>1</v>
      </c>
      <c r="AN235" s="214" t="b">
        <v>0</v>
      </c>
      <c r="AO235" s="212" t="s">
        <v>266</v>
      </c>
      <c r="AP235" s="212" t="s">
        <v>267</v>
      </c>
      <c r="AQ235" s="214">
        <v>30.069040000000005</v>
      </c>
      <c r="AR235" s="214" t="b">
        <v>1</v>
      </c>
      <c r="AS235" s="212" t="s">
        <v>534</v>
      </c>
    </row>
    <row r="236" spans="1:45" s="263" customFormat="1" x14ac:dyDescent="0.25">
      <c r="A236" s="245" t="str">
        <f t="shared" si="31"/>
        <v/>
      </c>
      <c r="B236" s="246" t="str">
        <f t="shared" si="24"/>
        <v/>
      </c>
      <c r="C236" s="246" t="str">
        <f>IF(B236="","",VLOOKUP(D236,'Species Data'!B:E,4,FALSE))</f>
        <v/>
      </c>
      <c r="D236" s="246" t="str">
        <f t="shared" ca="1" si="25"/>
        <v/>
      </c>
      <c r="E236" s="246" t="str">
        <f t="shared" ca="1" si="26"/>
        <v/>
      </c>
      <c r="F236" s="246" t="str">
        <f t="shared" ca="1" si="27"/>
        <v/>
      </c>
      <c r="G236" s="246" t="str">
        <f t="shared" ca="1" si="28"/>
        <v/>
      </c>
      <c r="H236" s="204" t="str">
        <f ca="1">IF(G236="","",IF(VLOOKUP(Separator!F236,'Species Data'!D:F,3,FALSE)=0,"X",IF(G236&lt;44.1,2,1)))</f>
        <v/>
      </c>
      <c r="I236" s="204" t="str">
        <f t="shared" ca="1" si="29"/>
        <v/>
      </c>
      <c r="J236" s="247" t="str">
        <f ca="1">IF(I236="","",IF(COUNTIF($D$12:D236,D236)=1,IF(H236=1,I236*H236,IF(H236="X","X",0)),0))</f>
        <v/>
      </c>
      <c r="K236" s="248" t="str">
        <f t="shared" ca="1" si="30"/>
        <v/>
      </c>
      <c r="L236" s="238"/>
      <c r="M236" s="212"/>
      <c r="N236" s="212"/>
      <c r="O236" s="213"/>
      <c r="P236" s="212"/>
      <c r="Q236" s="214"/>
      <c r="R236" s="212"/>
      <c r="S236" s="212"/>
      <c r="T236" s="212"/>
      <c r="U236" s="212"/>
      <c r="V236" s="214"/>
      <c r="W236" s="214"/>
      <c r="X236" s="214"/>
      <c r="Y236" s="214"/>
      <c r="Z236" s="214"/>
      <c r="AA236" s="212"/>
      <c r="AB236" s="212"/>
      <c r="AC236" s="212"/>
      <c r="AD236" s="214">
        <v>1.0515829999999999</v>
      </c>
      <c r="AE236" s="214">
        <v>449</v>
      </c>
      <c r="AF236" s="214">
        <v>0.45579999999999998</v>
      </c>
      <c r="AG236" s="214">
        <v>-99</v>
      </c>
      <c r="AH236" s="212" t="s">
        <v>224</v>
      </c>
      <c r="AI236" s="212" t="s">
        <v>449</v>
      </c>
      <c r="AJ236" s="212" t="s">
        <v>337</v>
      </c>
      <c r="AK236" s="212" t="s">
        <v>531</v>
      </c>
      <c r="AL236" s="212" t="s">
        <v>394</v>
      </c>
      <c r="AM236" s="214" t="b">
        <v>1</v>
      </c>
      <c r="AN236" s="214" t="b">
        <v>1</v>
      </c>
      <c r="AO236" s="212" t="s">
        <v>338</v>
      </c>
      <c r="AP236" s="212" t="s">
        <v>339</v>
      </c>
      <c r="AQ236" s="214">
        <v>106.16500000000001</v>
      </c>
      <c r="AR236" s="214" t="b">
        <v>0</v>
      </c>
      <c r="AS236" s="212" t="s">
        <v>534</v>
      </c>
    </row>
    <row r="237" spans="1:45" s="263" customFormat="1" x14ac:dyDescent="0.25">
      <c r="A237" s="245" t="str">
        <f t="shared" si="31"/>
        <v/>
      </c>
      <c r="B237" s="246" t="str">
        <f t="shared" si="24"/>
        <v/>
      </c>
      <c r="C237" s="246" t="str">
        <f>IF(B237="","",VLOOKUP(D237,'Species Data'!B:E,4,FALSE))</f>
        <v/>
      </c>
      <c r="D237" s="246" t="str">
        <f t="shared" ca="1" si="25"/>
        <v/>
      </c>
      <c r="E237" s="246" t="str">
        <f t="shared" ca="1" si="26"/>
        <v/>
      </c>
      <c r="F237" s="246" t="str">
        <f t="shared" ca="1" si="27"/>
        <v/>
      </c>
      <c r="G237" s="246" t="str">
        <f t="shared" ca="1" si="28"/>
        <v/>
      </c>
      <c r="H237" s="204" t="str">
        <f ca="1">IF(G237="","",IF(VLOOKUP(Separator!F237,'Species Data'!D:F,3,FALSE)=0,"X",IF(G237&lt;44.1,2,1)))</f>
        <v/>
      </c>
      <c r="I237" s="204" t="str">
        <f t="shared" ca="1" si="29"/>
        <v/>
      </c>
      <c r="J237" s="247" t="str">
        <f ca="1">IF(I237="","",IF(COUNTIF($D$12:D237,D237)=1,IF(H237=1,I237*H237,IF(H237="X","X",0)),0))</f>
        <v/>
      </c>
      <c r="K237" s="248" t="str">
        <f t="shared" ca="1" si="30"/>
        <v/>
      </c>
      <c r="L237" s="238"/>
      <c r="M237" s="212"/>
      <c r="N237" s="212"/>
      <c r="O237" s="213"/>
      <c r="P237" s="212"/>
      <c r="Q237" s="214"/>
      <c r="R237" s="212"/>
      <c r="S237" s="212"/>
      <c r="T237" s="212"/>
      <c r="U237" s="212"/>
      <c r="V237" s="214"/>
      <c r="W237" s="214"/>
      <c r="X237" s="214"/>
      <c r="Y237" s="214"/>
      <c r="Z237" s="214"/>
      <c r="AA237" s="212"/>
      <c r="AB237" s="212"/>
      <c r="AC237" s="212"/>
      <c r="AD237" s="214">
        <v>1.0515829999999999</v>
      </c>
      <c r="AE237" s="214">
        <v>491</v>
      </c>
      <c r="AF237" s="214">
        <v>0.30030000000000001</v>
      </c>
      <c r="AG237" s="214">
        <v>-99</v>
      </c>
      <c r="AH237" s="212" t="s">
        <v>224</v>
      </c>
      <c r="AI237" s="212" t="s">
        <v>449</v>
      </c>
      <c r="AJ237" s="212" t="s">
        <v>268</v>
      </c>
      <c r="AK237" s="212" t="s">
        <v>531</v>
      </c>
      <c r="AL237" s="212" t="s">
        <v>375</v>
      </c>
      <c r="AM237" s="214" t="b">
        <v>1</v>
      </c>
      <c r="AN237" s="214" t="b">
        <v>0</v>
      </c>
      <c r="AO237" s="212" t="s">
        <v>269</v>
      </c>
      <c r="AP237" s="212" t="s">
        <v>270</v>
      </c>
      <c r="AQ237" s="214">
        <v>58.122199999999992</v>
      </c>
      <c r="AR237" s="214" t="b">
        <v>0</v>
      </c>
      <c r="AS237" s="212" t="s">
        <v>534</v>
      </c>
    </row>
    <row r="238" spans="1:45" s="263" customFormat="1" x14ac:dyDescent="0.25">
      <c r="A238" s="245" t="str">
        <f t="shared" si="31"/>
        <v/>
      </c>
      <c r="B238" s="246" t="str">
        <f t="shared" si="24"/>
        <v/>
      </c>
      <c r="C238" s="246" t="str">
        <f>IF(B238="","",VLOOKUP(D238,'Species Data'!B:E,4,FALSE))</f>
        <v/>
      </c>
      <c r="D238" s="246" t="str">
        <f t="shared" ca="1" si="25"/>
        <v/>
      </c>
      <c r="E238" s="246" t="str">
        <f t="shared" ca="1" si="26"/>
        <v/>
      </c>
      <c r="F238" s="246" t="str">
        <f t="shared" ca="1" si="27"/>
        <v/>
      </c>
      <c r="G238" s="246" t="str">
        <f t="shared" ca="1" si="28"/>
        <v/>
      </c>
      <c r="H238" s="204" t="str">
        <f ca="1">IF(G238="","",IF(VLOOKUP(Separator!F238,'Species Data'!D:F,3,FALSE)=0,"X",IF(G238&lt;44.1,2,1)))</f>
        <v/>
      </c>
      <c r="I238" s="204" t="str">
        <f t="shared" ca="1" si="29"/>
        <v/>
      </c>
      <c r="J238" s="247" t="str">
        <f ca="1">IF(I238="","",IF(COUNTIF($D$12:D238,D238)=1,IF(H238=1,I238*H238,IF(H238="X","X",0)),0))</f>
        <v/>
      </c>
      <c r="K238" s="248" t="str">
        <f t="shared" ca="1" si="30"/>
        <v/>
      </c>
      <c r="L238" s="238"/>
      <c r="M238" s="212"/>
      <c r="N238" s="212"/>
      <c r="O238" s="213"/>
      <c r="P238" s="212"/>
      <c r="Q238" s="214"/>
      <c r="R238" s="212"/>
      <c r="S238" s="212"/>
      <c r="T238" s="212"/>
      <c r="U238" s="212"/>
      <c r="V238" s="214"/>
      <c r="W238" s="214"/>
      <c r="X238" s="214"/>
      <c r="Y238" s="214"/>
      <c r="Z238" s="214"/>
      <c r="AA238" s="212"/>
      <c r="AB238" s="212"/>
      <c r="AC238" s="212"/>
      <c r="AD238" s="214">
        <v>1.0515829999999999</v>
      </c>
      <c r="AE238" s="214">
        <v>499</v>
      </c>
      <c r="AF238" s="214">
        <v>0.49630000000000002</v>
      </c>
      <c r="AG238" s="214">
        <v>-99</v>
      </c>
      <c r="AH238" s="212" t="s">
        <v>224</v>
      </c>
      <c r="AI238" s="212" t="s">
        <v>449</v>
      </c>
      <c r="AJ238" s="212" t="s">
        <v>531</v>
      </c>
      <c r="AK238" s="212" t="s">
        <v>642</v>
      </c>
      <c r="AL238" s="212" t="s">
        <v>643</v>
      </c>
      <c r="AM238" s="214" t="b">
        <v>0</v>
      </c>
      <c r="AN238" s="214" t="b">
        <v>0</v>
      </c>
      <c r="AO238" s="212" t="s">
        <v>644</v>
      </c>
      <c r="AP238" s="212" t="s">
        <v>531</v>
      </c>
      <c r="AQ238" s="214">
        <v>134.21816000000001</v>
      </c>
      <c r="AR238" s="214" t="b">
        <v>0</v>
      </c>
      <c r="AS238" s="212" t="s">
        <v>534</v>
      </c>
    </row>
    <row r="239" spans="1:45" s="263" customFormat="1" x14ac:dyDescent="0.25">
      <c r="A239" s="245" t="str">
        <f t="shared" si="31"/>
        <v/>
      </c>
      <c r="B239" s="246" t="str">
        <f t="shared" si="24"/>
        <v/>
      </c>
      <c r="C239" s="246" t="str">
        <f>IF(B239="","",VLOOKUP(D239,'Species Data'!B:E,4,FALSE))</f>
        <v/>
      </c>
      <c r="D239" s="246" t="str">
        <f t="shared" ca="1" si="25"/>
        <v/>
      </c>
      <c r="E239" s="246" t="str">
        <f t="shared" ca="1" si="26"/>
        <v/>
      </c>
      <c r="F239" s="246" t="str">
        <f t="shared" ca="1" si="27"/>
        <v/>
      </c>
      <c r="G239" s="246" t="str">
        <f t="shared" ca="1" si="28"/>
        <v/>
      </c>
      <c r="H239" s="204" t="str">
        <f ca="1">IF(G239="","",IF(VLOOKUP(Separator!F239,'Species Data'!D:F,3,FALSE)=0,"X",IF(G239&lt;44.1,2,1)))</f>
        <v/>
      </c>
      <c r="I239" s="204" t="str">
        <f t="shared" ca="1" si="29"/>
        <v/>
      </c>
      <c r="J239" s="247" t="str">
        <f ca="1">IF(I239="","",IF(COUNTIF($D$12:D239,D239)=1,IF(H239=1,I239*H239,IF(H239="X","X",0)),0))</f>
        <v/>
      </c>
      <c r="K239" s="248" t="str">
        <f t="shared" ca="1" si="30"/>
        <v/>
      </c>
      <c r="L239" s="238"/>
      <c r="M239" s="212"/>
      <c r="N239" s="212"/>
      <c r="O239" s="213"/>
      <c r="P239" s="212"/>
      <c r="Q239" s="214"/>
      <c r="R239" s="212"/>
      <c r="S239" s="212"/>
      <c r="T239" s="212"/>
      <c r="U239" s="212"/>
      <c r="V239" s="214"/>
      <c r="W239" s="214"/>
      <c r="X239" s="214"/>
      <c r="Y239" s="214"/>
      <c r="Z239" s="214"/>
      <c r="AA239" s="212"/>
      <c r="AB239" s="212"/>
      <c r="AC239" s="212"/>
      <c r="AD239" s="214">
        <v>1.0515829999999999</v>
      </c>
      <c r="AE239" s="214">
        <v>508</v>
      </c>
      <c r="AF239" s="214">
        <v>0.4758</v>
      </c>
      <c r="AG239" s="214">
        <v>-99</v>
      </c>
      <c r="AH239" s="212" t="s">
        <v>224</v>
      </c>
      <c r="AI239" s="212" t="s">
        <v>449</v>
      </c>
      <c r="AJ239" s="212" t="s">
        <v>342</v>
      </c>
      <c r="AK239" s="212" t="s">
        <v>531</v>
      </c>
      <c r="AL239" s="212" t="s">
        <v>395</v>
      </c>
      <c r="AM239" s="214" t="b">
        <v>1</v>
      </c>
      <c r="AN239" s="214" t="b">
        <v>0</v>
      </c>
      <c r="AO239" s="212" t="s">
        <v>343</v>
      </c>
      <c r="AP239" s="212" t="s">
        <v>344</v>
      </c>
      <c r="AQ239" s="214">
        <v>72.148780000000002</v>
      </c>
      <c r="AR239" s="214" t="b">
        <v>0</v>
      </c>
      <c r="AS239" s="212" t="s">
        <v>534</v>
      </c>
    </row>
    <row r="240" spans="1:45" s="263" customFormat="1" x14ac:dyDescent="0.25">
      <c r="A240" s="245" t="str">
        <f t="shared" si="31"/>
        <v/>
      </c>
      <c r="B240" s="246" t="str">
        <f t="shared" si="24"/>
        <v/>
      </c>
      <c r="C240" s="246" t="str">
        <f>IF(B240="","",VLOOKUP(D240,'Species Data'!B:E,4,FALSE))</f>
        <v/>
      </c>
      <c r="D240" s="246" t="str">
        <f t="shared" ca="1" si="25"/>
        <v/>
      </c>
      <c r="E240" s="246" t="str">
        <f t="shared" ca="1" si="26"/>
        <v/>
      </c>
      <c r="F240" s="246" t="str">
        <f t="shared" ca="1" si="27"/>
        <v/>
      </c>
      <c r="G240" s="246" t="str">
        <f t="shared" ca="1" si="28"/>
        <v/>
      </c>
      <c r="H240" s="204" t="str">
        <f ca="1">IF(G240="","",IF(VLOOKUP(Separator!F240,'Species Data'!D:F,3,FALSE)=0,"X",IF(G240&lt;44.1,2,1)))</f>
        <v/>
      </c>
      <c r="I240" s="204" t="str">
        <f t="shared" ca="1" si="29"/>
        <v/>
      </c>
      <c r="J240" s="247" t="str">
        <f ca="1">IF(I240="","",IF(COUNTIF($D$12:D240,D240)=1,IF(H240=1,I240*H240,IF(H240="X","X",0)),0))</f>
        <v/>
      </c>
      <c r="K240" s="248" t="str">
        <f t="shared" ca="1" si="30"/>
        <v/>
      </c>
      <c r="L240" s="238"/>
      <c r="M240" s="212"/>
      <c r="N240" s="212"/>
      <c r="O240" s="213"/>
      <c r="P240" s="212"/>
      <c r="Q240" s="214"/>
      <c r="R240" s="212"/>
      <c r="S240" s="212"/>
      <c r="T240" s="212"/>
      <c r="U240" s="212"/>
      <c r="V240" s="214"/>
      <c r="W240" s="214"/>
      <c r="X240" s="214"/>
      <c r="Y240" s="214"/>
      <c r="Z240" s="214"/>
      <c r="AA240" s="212"/>
      <c r="AB240" s="212"/>
      <c r="AC240" s="212"/>
      <c r="AD240" s="214">
        <v>1.0515829999999999</v>
      </c>
      <c r="AE240" s="214">
        <v>514</v>
      </c>
      <c r="AF240" s="214">
        <v>0.26960000000000001</v>
      </c>
      <c r="AG240" s="214">
        <v>-99</v>
      </c>
      <c r="AH240" s="212" t="s">
        <v>224</v>
      </c>
      <c r="AI240" s="212" t="s">
        <v>449</v>
      </c>
      <c r="AJ240" s="212" t="s">
        <v>362</v>
      </c>
      <c r="AK240" s="212" t="s">
        <v>531</v>
      </c>
      <c r="AL240" s="212" t="s">
        <v>399</v>
      </c>
      <c r="AM240" s="214" t="b">
        <v>1</v>
      </c>
      <c r="AN240" s="214" t="b">
        <v>1</v>
      </c>
      <c r="AO240" s="212" t="s">
        <v>363</v>
      </c>
      <c r="AP240" s="212" t="s">
        <v>364</v>
      </c>
      <c r="AQ240" s="214">
        <v>120.19158</v>
      </c>
      <c r="AR240" s="214" t="b">
        <v>0</v>
      </c>
      <c r="AS240" s="212" t="s">
        <v>534</v>
      </c>
    </row>
    <row r="241" spans="1:45" s="263" customFormat="1" x14ac:dyDescent="0.25">
      <c r="A241" s="245" t="str">
        <f t="shared" si="31"/>
        <v/>
      </c>
      <c r="B241" s="246" t="str">
        <f t="shared" si="24"/>
        <v/>
      </c>
      <c r="C241" s="246" t="str">
        <f>IF(B241="","",VLOOKUP(D241,'Species Data'!B:E,4,FALSE))</f>
        <v/>
      </c>
      <c r="D241" s="246" t="str">
        <f t="shared" ca="1" si="25"/>
        <v/>
      </c>
      <c r="E241" s="246" t="str">
        <f t="shared" ca="1" si="26"/>
        <v/>
      </c>
      <c r="F241" s="246" t="str">
        <f t="shared" ca="1" si="27"/>
        <v/>
      </c>
      <c r="G241" s="246" t="str">
        <f t="shared" ca="1" si="28"/>
        <v/>
      </c>
      <c r="H241" s="204" t="str">
        <f ca="1">IF(G241="","",IF(VLOOKUP(Separator!F241,'Species Data'!D:F,3,FALSE)=0,"X",IF(G241&lt;44.1,2,1)))</f>
        <v/>
      </c>
      <c r="I241" s="204" t="str">
        <f t="shared" ca="1" si="29"/>
        <v/>
      </c>
      <c r="J241" s="247" t="str">
        <f ca="1">IF(I241="","",IF(COUNTIF($D$12:D241,D241)=1,IF(H241=1,I241*H241,IF(H241="X","X",0)),0))</f>
        <v/>
      </c>
      <c r="K241" s="248" t="str">
        <f t="shared" ca="1" si="30"/>
        <v/>
      </c>
      <c r="L241" s="238"/>
      <c r="M241" s="212"/>
      <c r="N241" s="212"/>
      <c r="O241" s="213"/>
      <c r="P241" s="212"/>
      <c r="Q241" s="214"/>
      <c r="R241" s="212"/>
      <c r="S241" s="212"/>
      <c r="T241" s="212"/>
      <c r="U241" s="212"/>
      <c r="V241" s="214"/>
      <c r="W241" s="214"/>
      <c r="X241" s="214"/>
      <c r="Y241" s="214"/>
      <c r="Z241" s="214"/>
      <c r="AA241" s="212"/>
      <c r="AB241" s="212"/>
      <c r="AC241" s="212"/>
      <c r="AD241" s="214">
        <v>1.0515829999999999</v>
      </c>
      <c r="AE241" s="214">
        <v>524</v>
      </c>
      <c r="AF241" s="214">
        <v>4.6199999999999998E-2</v>
      </c>
      <c r="AG241" s="214">
        <v>-99</v>
      </c>
      <c r="AH241" s="212" t="s">
        <v>224</v>
      </c>
      <c r="AI241" s="212" t="s">
        <v>449</v>
      </c>
      <c r="AJ241" s="212" t="s">
        <v>436</v>
      </c>
      <c r="AK241" s="212" t="s">
        <v>531</v>
      </c>
      <c r="AL241" s="212" t="s">
        <v>460</v>
      </c>
      <c r="AM241" s="214" t="b">
        <v>0</v>
      </c>
      <c r="AN241" s="214" t="b">
        <v>1</v>
      </c>
      <c r="AO241" s="212" t="s">
        <v>437</v>
      </c>
      <c r="AP241" s="212" t="s">
        <v>438</v>
      </c>
      <c r="AQ241" s="214">
        <v>106.16500000000001</v>
      </c>
      <c r="AR241" s="214" t="b">
        <v>0</v>
      </c>
      <c r="AS241" s="212" t="s">
        <v>534</v>
      </c>
    </row>
    <row r="242" spans="1:45" s="263" customFormat="1" x14ac:dyDescent="0.25">
      <c r="A242" s="245" t="str">
        <f t="shared" si="31"/>
        <v/>
      </c>
      <c r="B242" s="246" t="str">
        <f t="shared" si="24"/>
        <v/>
      </c>
      <c r="C242" s="246" t="str">
        <f>IF(B242="","",VLOOKUP(D242,'Species Data'!B:E,4,FALSE))</f>
        <v/>
      </c>
      <c r="D242" s="246" t="str">
        <f t="shared" ca="1" si="25"/>
        <v/>
      </c>
      <c r="E242" s="246" t="str">
        <f t="shared" ca="1" si="26"/>
        <v/>
      </c>
      <c r="F242" s="246" t="str">
        <f t="shared" ca="1" si="27"/>
        <v/>
      </c>
      <c r="G242" s="246" t="str">
        <f t="shared" ca="1" si="28"/>
        <v/>
      </c>
      <c r="H242" s="204" t="str">
        <f ca="1">IF(G242="","",IF(VLOOKUP(Separator!F242,'Species Data'!D:F,3,FALSE)=0,"X",IF(G242&lt;44.1,2,1)))</f>
        <v/>
      </c>
      <c r="I242" s="204" t="str">
        <f t="shared" ca="1" si="29"/>
        <v/>
      </c>
      <c r="J242" s="247" t="str">
        <f ca="1">IF(I242="","",IF(COUNTIF($D$12:D242,D242)=1,IF(H242=1,I242*H242,IF(H242="X","X",0)),0))</f>
        <v/>
      </c>
      <c r="K242" s="248" t="str">
        <f t="shared" ca="1" si="30"/>
        <v/>
      </c>
      <c r="L242" s="238"/>
      <c r="M242" s="212"/>
      <c r="N242" s="212"/>
      <c r="O242" s="213"/>
      <c r="P242" s="212"/>
      <c r="Q242" s="214"/>
      <c r="R242" s="212"/>
      <c r="S242" s="212"/>
      <c r="T242" s="212"/>
      <c r="U242" s="212"/>
      <c r="V242" s="214"/>
      <c r="W242" s="214"/>
      <c r="X242" s="214"/>
      <c r="Y242" s="214"/>
      <c r="Z242" s="214"/>
      <c r="AA242" s="212"/>
      <c r="AB242" s="212"/>
      <c r="AC242" s="212"/>
      <c r="AD242" s="214">
        <v>1.0515829999999999</v>
      </c>
      <c r="AE242" s="214">
        <v>529</v>
      </c>
      <c r="AF242" s="214">
        <v>4.4862000000000002</v>
      </c>
      <c r="AG242" s="214">
        <v>-99</v>
      </c>
      <c r="AH242" s="212" t="s">
        <v>224</v>
      </c>
      <c r="AI242" s="212" t="s">
        <v>449</v>
      </c>
      <c r="AJ242" s="212" t="s">
        <v>271</v>
      </c>
      <c r="AK242" s="212" t="s">
        <v>531</v>
      </c>
      <c r="AL242" s="212" t="s">
        <v>376</v>
      </c>
      <c r="AM242" s="214" t="b">
        <v>0</v>
      </c>
      <c r="AN242" s="214" t="b">
        <v>0</v>
      </c>
      <c r="AO242" s="212" t="s">
        <v>272</v>
      </c>
      <c r="AP242" s="212" t="s">
        <v>531</v>
      </c>
      <c r="AQ242" s="214">
        <v>16.042459999999998</v>
      </c>
      <c r="AR242" s="214" t="b">
        <v>1</v>
      </c>
      <c r="AS242" s="212" t="s">
        <v>534</v>
      </c>
    </row>
    <row r="243" spans="1:45" s="263" customFormat="1" x14ac:dyDescent="0.25">
      <c r="A243" s="245" t="str">
        <f t="shared" si="31"/>
        <v/>
      </c>
      <c r="B243" s="246" t="str">
        <f t="shared" si="24"/>
        <v/>
      </c>
      <c r="C243" s="246" t="str">
        <f>IF(B243="","",VLOOKUP(D243,'Species Data'!B:E,4,FALSE))</f>
        <v/>
      </c>
      <c r="D243" s="246" t="str">
        <f t="shared" ca="1" si="25"/>
        <v/>
      </c>
      <c r="E243" s="246" t="str">
        <f t="shared" ca="1" si="26"/>
        <v/>
      </c>
      <c r="F243" s="246" t="str">
        <f t="shared" ca="1" si="27"/>
        <v/>
      </c>
      <c r="G243" s="246" t="str">
        <f t="shared" ca="1" si="28"/>
        <v/>
      </c>
      <c r="H243" s="204" t="str">
        <f ca="1">IF(G243="","",IF(VLOOKUP(Separator!F243,'Species Data'!D:F,3,FALSE)=0,"X",IF(G243&lt;44.1,2,1)))</f>
        <v/>
      </c>
      <c r="I243" s="204" t="str">
        <f t="shared" ca="1" si="29"/>
        <v/>
      </c>
      <c r="J243" s="247" t="str">
        <f ca="1">IF(I243="","",IF(COUNTIF($D$12:D243,D243)=1,IF(H243=1,I243*H243,IF(H243="X","X",0)),0))</f>
        <v/>
      </c>
      <c r="K243" s="248" t="str">
        <f t="shared" ca="1" si="30"/>
        <v/>
      </c>
      <c r="L243" s="238"/>
      <c r="M243" s="212"/>
      <c r="N243" s="212"/>
      <c r="O243" s="213"/>
      <c r="P243" s="212"/>
      <c r="Q243" s="214"/>
      <c r="R243" s="212"/>
      <c r="S243" s="212"/>
      <c r="T243" s="212"/>
      <c r="U243" s="212"/>
      <c r="V243" s="214"/>
      <c r="W243" s="214"/>
      <c r="X243" s="214"/>
      <c r="Y243" s="214"/>
      <c r="Z243" s="214"/>
      <c r="AA243" s="212"/>
      <c r="AB243" s="212"/>
      <c r="AC243" s="212"/>
      <c r="AD243" s="214">
        <v>1.0515829999999999</v>
      </c>
      <c r="AE243" s="214">
        <v>550</v>
      </c>
      <c r="AF243" s="214">
        <v>0.1434</v>
      </c>
      <c r="AG243" s="214">
        <v>-99</v>
      </c>
      <c r="AH243" s="212" t="s">
        <v>224</v>
      </c>
      <c r="AI243" s="212" t="s">
        <v>449</v>
      </c>
      <c r="AJ243" s="212" t="s">
        <v>348</v>
      </c>
      <c r="AK243" s="212" t="s">
        <v>531</v>
      </c>
      <c r="AL243" s="212" t="s">
        <v>396</v>
      </c>
      <c r="AM243" s="214" t="b">
        <v>1</v>
      </c>
      <c r="AN243" s="214" t="b">
        <v>0</v>
      </c>
      <c r="AO243" s="212" t="s">
        <v>349</v>
      </c>
      <c r="AP243" s="212" t="s">
        <v>350</v>
      </c>
      <c r="AQ243" s="214">
        <v>98.186059999999998</v>
      </c>
      <c r="AR243" s="214" t="b">
        <v>0</v>
      </c>
      <c r="AS243" s="212" t="s">
        <v>534</v>
      </c>
    </row>
    <row r="244" spans="1:45" s="263" customFormat="1" x14ac:dyDescent="0.25">
      <c r="A244" s="245" t="str">
        <f t="shared" si="31"/>
        <v/>
      </c>
      <c r="B244" s="246" t="str">
        <f t="shared" si="24"/>
        <v/>
      </c>
      <c r="C244" s="246" t="str">
        <f>IF(B244="","",VLOOKUP(D244,'Species Data'!B:E,4,FALSE))</f>
        <v/>
      </c>
      <c r="D244" s="246" t="str">
        <f t="shared" ca="1" si="25"/>
        <v/>
      </c>
      <c r="E244" s="246" t="str">
        <f t="shared" ca="1" si="26"/>
        <v/>
      </c>
      <c r="F244" s="246" t="str">
        <f t="shared" ca="1" si="27"/>
        <v/>
      </c>
      <c r="G244" s="246" t="str">
        <f t="shared" ca="1" si="28"/>
        <v/>
      </c>
      <c r="H244" s="204" t="str">
        <f ca="1">IF(G244="","",IF(VLOOKUP(Separator!F244,'Species Data'!D:F,3,FALSE)=0,"X",IF(G244&lt;44.1,2,1)))</f>
        <v/>
      </c>
      <c r="I244" s="204" t="str">
        <f t="shared" ca="1" si="29"/>
        <v/>
      </c>
      <c r="J244" s="247" t="str">
        <f ca="1">IF(I244="","",IF(COUNTIF($D$12:D244,D244)=1,IF(H244=1,I244*H244,IF(H244="X","X",0)),0))</f>
        <v/>
      </c>
      <c r="K244" s="248" t="str">
        <f t="shared" ca="1" si="30"/>
        <v/>
      </c>
      <c r="L244" s="238"/>
      <c r="M244" s="212"/>
      <c r="N244" s="212"/>
      <c r="O244" s="213"/>
      <c r="P244" s="212"/>
      <c r="Q244" s="214"/>
      <c r="R244" s="212"/>
      <c r="S244" s="212"/>
      <c r="T244" s="212"/>
      <c r="U244" s="212"/>
      <c r="V244" s="214"/>
      <c r="W244" s="214"/>
      <c r="X244" s="214"/>
      <c r="Y244" s="214"/>
      <c r="Z244" s="214"/>
      <c r="AA244" s="212"/>
      <c r="AB244" s="212"/>
      <c r="AC244" s="212"/>
      <c r="AD244" s="214">
        <v>1.0515829999999999</v>
      </c>
      <c r="AE244" s="214">
        <v>551</v>
      </c>
      <c r="AF244" s="214">
        <v>0.30649999999999999</v>
      </c>
      <c r="AG244" s="214">
        <v>-99</v>
      </c>
      <c r="AH244" s="212" t="s">
        <v>224</v>
      </c>
      <c r="AI244" s="212" t="s">
        <v>449</v>
      </c>
      <c r="AJ244" s="212" t="s">
        <v>351</v>
      </c>
      <c r="AK244" s="212" t="s">
        <v>531</v>
      </c>
      <c r="AL244" s="212" t="s">
        <v>397</v>
      </c>
      <c r="AM244" s="214" t="b">
        <v>1</v>
      </c>
      <c r="AN244" s="214" t="b">
        <v>0</v>
      </c>
      <c r="AO244" s="212" t="s">
        <v>352</v>
      </c>
      <c r="AP244" s="212" t="s">
        <v>353</v>
      </c>
      <c r="AQ244" s="214">
        <v>84.159480000000002</v>
      </c>
      <c r="AR244" s="214" t="b">
        <v>0</v>
      </c>
      <c r="AS244" s="212" t="s">
        <v>534</v>
      </c>
    </row>
    <row r="245" spans="1:45" s="262" customFormat="1" x14ac:dyDescent="0.25">
      <c r="A245" s="245" t="str">
        <f t="shared" si="31"/>
        <v/>
      </c>
      <c r="B245" s="246" t="str">
        <f t="shared" si="24"/>
        <v/>
      </c>
      <c r="C245" s="246" t="str">
        <f>IF(B245="","",VLOOKUP(D245,'Species Data'!B:E,4,FALSE))</f>
        <v/>
      </c>
      <c r="D245" s="246" t="str">
        <f t="shared" ca="1" si="25"/>
        <v/>
      </c>
      <c r="E245" s="246" t="str">
        <f t="shared" ca="1" si="26"/>
        <v/>
      </c>
      <c r="F245" s="246" t="str">
        <f t="shared" ca="1" si="27"/>
        <v/>
      </c>
      <c r="G245" s="246" t="str">
        <f t="shared" ca="1" si="28"/>
        <v/>
      </c>
      <c r="H245" s="204" t="str">
        <f ca="1">IF(G245="","",IF(VLOOKUP(Separator!F245,'Species Data'!D:F,3,FALSE)=0,"X",IF(G245&lt;44.1,2,1)))</f>
        <v/>
      </c>
      <c r="I245" s="204" t="str">
        <f t="shared" ca="1" si="29"/>
        <v/>
      </c>
      <c r="J245" s="247" t="str">
        <f ca="1">IF(I245="","",IF(COUNTIF($D$12:D245,D245)=1,IF(H245=1,I245*H245,IF(H245="X","X",0)),0))</f>
        <v/>
      </c>
      <c r="K245" s="248" t="str">
        <f t="shared" ca="1" si="30"/>
        <v/>
      </c>
      <c r="L245" s="238"/>
      <c r="M245" s="212"/>
      <c r="N245" s="212"/>
      <c r="O245" s="213"/>
      <c r="P245" s="212"/>
      <c r="Q245" s="214"/>
      <c r="R245" s="212"/>
      <c r="S245" s="212"/>
      <c r="T245" s="212"/>
      <c r="U245" s="212"/>
      <c r="V245" s="214"/>
      <c r="W245" s="214"/>
      <c r="X245" s="214"/>
      <c r="Y245" s="214"/>
      <c r="Z245" s="214"/>
      <c r="AA245" s="212"/>
      <c r="AB245" s="212"/>
      <c r="AC245" s="212"/>
      <c r="AD245" s="214">
        <v>1.0515829999999999</v>
      </c>
      <c r="AE245" s="214">
        <v>592</v>
      </c>
      <c r="AF245" s="214">
        <v>0.21390000000000001</v>
      </c>
      <c r="AG245" s="214">
        <v>-99</v>
      </c>
      <c r="AH245" s="212" t="s">
        <v>224</v>
      </c>
      <c r="AI245" s="212" t="s">
        <v>449</v>
      </c>
      <c r="AJ245" s="212" t="s">
        <v>273</v>
      </c>
      <c r="AK245" s="212" t="s">
        <v>531</v>
      </c>
      <c r="AL245" s="212" t="s">
        <v>377</v>
      </c>
      <c r="AM245" s="214" t="b">
        <v>1</v>
      </c>
      <c r="AN245" s="214" t="b">
        <v>0</v>
      </c>
      <c r="AO245" s="212" t="s">
        <v>274</v>
      </c>
      <c r="AP245" s="212" t="s">
        <v>275</v>
      </c>
      <c r="AQ245" s="214">
        <v>58.122199999999992</v>
      </c>
      <c r="AR245" s="214" t="b">
        <v>0</v>
      </c>
      <c r="AS245" s="212" t="s">
        <v>534</v>
      </c>
    </row>
    <row r="246" spans="1:45" s="262" customFormat="1" x14ac:dyDescent="0.25">
      <c r="A246" s="245" t="str">
        <f t="shared" si="31"/>
        <v/>
      </c>
      <c r="B246" s="246" t="str">
        <f t="shared" si="24"/>
        <v/>
      </c>
      <c r="C246" s="246" t="str">
        <f>IF(B246="","",VLOOKUP(D246,'Species Data'!B:E,4,FALSE))</f>
        <v/>
      </c>
      <c r="D246" s="246" t="str">
        <f t="shared" ca="1" si="25"/>
        <v/>
      </c>
      <c r="E246" s="246" t="str">
        <f t="shared" ca="1" si="26"/>
        <v/>
      </c>
      <c r="F246" s="246" t="str">
        <f t="shared" ca="1" si="27"/>
        <v/>
      </c>
      <c r="G246" s="246" t="str">
        <f t="shared" ca="1" si="28"/>
        <v/>
      </c>
      <c r="H246" s="204" t="str">
        <f ca="1">IF(G246="","",IF(VLOOKUP(Separator!F246,'Species Data'!D:F,3,FALSE)=0,"X",IF(G246&lt;44.1,2,1)))</f>
        <v/>
      </c>
      <c r="I246" s="204" t="str">
        <f t="shared" ca="1" si="29"/>
        <v/>
      </c>
      <c r="J246" s="247" t="str">
        <f ca="1">IF(I246="","",IF(COUNTIF($D$12:D246,D246)=1,IF(H246=1,I246*H246,IF(H246="X","X",0)),0))</f>
        <v/>
      </c>
      <c r="K246" s="248" t="str">
        <f t="shared" ca="1" si="30"/>
        <v/>
      </c>
      <c r="L246" s="238"/>
      <c r="M246" s="212"/>
      <c r="N246" s="212"/>
      <c r="O246" s="213"/>
      <c r="P246" s="212"/>
      <c r="Q246" s="214"/>
      <c r="R246" s="212"/>
      <c r="S246" s="212"/>
      <c r="T246" s="212"/>
      <c r="U246" s="212"/>
      <c r="V246" s="214"/>
      <c r="W246" s="214"/>
      <c r="X246" s="214"/>
      <c r="Y246" s="214"/>
      <c r="Z246" s="214"/>
      <c r="AA246" s="212"/>
      <c r="AB246" s="212"/>
      <c r="AC246" s="212"/>
      <c r="AD246" s="214">
        <v>1.0515829999999999</v>
      </c>
      <c r="AE246" s="214">
        <v>598</v>
      </c>
      <c r="AF246" s="214">
        <v>0.38240000000000002</v>
      </c>
      <c r="AG246" s="214">
        <v>-99</v>
      </c>
      <c r="AH246" s="212" t="s">
        <v>224</v>
      </c>
      <c r="AI246" s="212" t="s">
        <v>449</v>
      </c>
      <c r="AJ246" s="212" t="s">
        <v>414</v>
      </c>
      <c r="AK246" s="212" t="s">
        <v>531</v>
      </c>
      <c r="AL246" s="212" t="s">
        <v>452</v>
      </c>
      <c r="AM246" s="214" t="b">
        <v>1</v>
      </c>
      <c r="AN246" s="214" t="b">
        <v>0</v>
      </c>
      <c r="AO246" s="212" t="s">
        <v>415</v>
      </c>
      <c r="AP246" s="212" t="s">
        <v>416</v>
      </c>
      <c r="AQ246" s="214">
        <v>142.28167999999999</v>
      </c>
      <c r="AR246" s="214" t="b">
        <v>0</v>
      </c>
      <c r="AS246" s="212" t="s">
        <v>534</v>
      </c>
    </row>
    <row r="247" spans="1:45" s="262" customFormat="1" x14ac:dyDescent="0.25">
      <c r="A247" s="245" t="str">
        <f t="shared" si="31"/>
        <v/>
      </c>
      <c r="B247" s="246" t="str">
        <f t="shared" si="24"/>
        <v/>
      </c>
      <c r="C247" s="246" t="str">
        <f>IF(B247="","",VLOOKUP(D247,'Species Data'!B:E,4,FALSE))</f>
        <v/>
      </c>
      <c r="D247" s="246" t="str">
        <f t="shared" ca="1" si="25"/>
        <v/>
      </c>
      <c r="E247" s="246" t="str">
        <f t="shared" ca="1" si="26"/>
        <v/>
      </c>
      <c r="F247" s="246" t="str">
        <f t="shared" ca="1" si="27"/>
        <v/>
      </c>
      <c r="G247" s="246" t="str">
        <f t="shared" ca="1" si="28"/>
        <v/>
      </c>
      <c r="H247" s="204" t="str">
        <f ca="1">IF(G247="","",IF(VLOOKUP(Separator!F247,'Species Data'!D:F,3,FALSE)=0,"X",IF(G247&lt;44.1,2,1)))</f>
        <v/>
      </c>
      <c r="I247" s="204" t="str">
        <f t="shared" ca="1" si="29"/>
        <v/>
      </c>
      <c r="J247" s="247" t="str">
        <f ca="1">IF(I247="","",IF(COUNTIF($D$12:D247,D247)=1,IF(H247=1,I247*H247,IF(H247="X","X",0)),0))</f>
        <v/>
      </c>
      <c r="K247" s="248" t="str">
        <f t="shared" ca="1" si="30"/>
        <v/>
      </c>
      <c r="L247" s="238"/>
      <c r="M247" s="212"/>
      <c r="N247" s="212"/>
      <c r="O247" s="213"/>
      <c r="P247" s="212"/>
      <c r="Q247" s="214"/>
      <c r="R247" s="212"/>
      <c r="S247" s="212"/>
      <c r="T247" s="212"/>
      <c r="U247" s="212"/>
      <c r="V247" s="214"/>
      <c r="W247" s="214"/>
      <c r="X247" s="214"/>
      <c r="Y247" s="214"/>
      <c r="Z247" s="214"/>
      <c r="AA247" s="212"/>
      <c r="AB247" s="212"/>
      <c r="AC247" s="212"/>
      <c r="AD247" s="214">
        <v>1.0515829999999999</v>
      </c>
      <c r="AE247" s="214">
        <v>601</v>
      </c>
      <c r="AF247" s="214">
        <v>3.6999999999999998E-2</v>
      </c>
      <c r="AG247" s="214">
        <v>-99</v>
      </c>
      <c r="AH247" s="212" t="s">
        <v>224</v>
      </c>
      <c r="AI247" s="212" t="s">
        <v>449</v>
      </c>
      <c r="AJ247" s="212" t="s">
        <v>279</v>
      </c>
      <c r="AK247" s="212" t="s">
        <v>531</v>
      </c>
      <c r="AL247" s="212" t="s">
        <v>379</v>
      </c>
      <c r="AM247" s="214" t="b">
        <v>1</v>
      </c>
      <c r="AN247" s="214" t="b">
        <v>1</v>
      </c>
      <c r="AO247" s="212" t="s">
        <v>280</v>
      </c>
      <c r="AP247" s="212" t="s">
        <v>281</v>
      </c>
      <c r="AQ247" s="214">
        <v>86.175359999999998</v>
      </c>
      <c r="AR247" s="214" t="b">
        <v>0</v>
      </c>
      <c r="AS247" s="212" t="s">
        <v>534</v>
      </c>
    </row>
    <row r="248" spans="1:45" s="262" customFormat="1" x14ac:dyDescent="0.25">
      <c r="A248" s="245" t="str">
        <f t="shared" si="31"/>
        <v/>
      </c>
      <c r="B248" s="246" t="str">
        <f t="shared" si="24"/>
        <v/>
      </c>
      <c r="C248" s="246" t="str">
        <f>IF(B248="","",VLOOKUP(D248,'Species Data'!B:E,4,FALSE))</f>
        <v/>
      </c>
      <c r="D248" s="246" t="str">
        <f t="shared" ca="1" si="25"/>
        <v/>
      </c>
      <c r="E248" s="246" t="str">
        <f t="shared" ca="1" si="26"/>
        <v/>
      </c>
      <c r="F248" s="246" t="str">
        <f t="shared" ca="1" si="27"/>
        <v/>
      </c>
      <c r="G248" s="246" t="str">
        <f t="shared" ca="1" si="28"/>
        <v/>
      </c>
      <c r="H248" s="204" t="str">
        <f ca="1">IF(G248="","",IF(VLOOKUP(Separator!F248,'Species Data'!D:F,3,FALSE)=0,"X",IF(G248&lt;44.1,2,1)))</f>
        <v/>
      </c>
      <c r="I248" s="204" t="str">
        <f t="shared" ca="1" si="29"/>
        <v/>
      </c>
      <c r="J248" s="247" t="str">
        <f ca="1">IF(I248="","",IF(COUNTIF($D$12:D248,D248)=1,IF(H248=1,I248*H248,IF(H248="X","X",0)),0))</f>
        <v/>
      </c>
      <c r="K248" s="248" t="str">
        <f t="shared" ca="1" si="30"/>
        <v/>
      </c>
      <c r="L248" s="238"/>
      <c r="M248" s="212"/>
      <c r="N248" s="212"/>
      <c r="O248" s="213"/>
      <c r="P248" s="212"/>
      <c r="Q248" s="214"/>
      <c r="R248" s="212"/>
      <c r="S248" s="212"/>
      <c r="T248" s="212"/>
      <c r="U248" s="212"/>
      <c r="V248" s="214"/>
      <c r="W248" s="214"/>
      <c r="X248" s="214"/>
      <c r="Y248" s="214"/>
      <c r="Z248" s="214"/>
      <c r="AA248" s="212"/>
      <c r="AB248" s="212"/>
      <c r="AC248" s="212"/>
      <c r="AD248" s="214">
        <v>1.0515829999999999</v>
      </c>
      <c r="AE248" s="214">
        <v>603</v>
      </c>
      <c r="AF248" s="214">
        <v>0.74329999999999996</v>
      </c>
      <c r="AG248" s="214">
        <v>-99</v>
      </c>
      <c r="AH248" s="212" t="s">
        <v>224</v>
      </c>
      <c r="AI248" s="212" t="s">
        <v>449</v>
      </c>
      <c r="AJ248" s="212" t="s">
        <v>417</v>
      </c>
      <c r="AK248" s="212" t="s">
        <v>531</v>
      </c>
      <c r="AL248" s="212" t="s">
        <v>453</v>
      </c>
      <c r="AM248" s="214" t="b">
        <v>1</v>
      </c>
      <c r="AN248" s="214" t="b">
        <v>0</v>
      </c>
      <c r="AO248" s="212" t="s">
        <v>418</v>
      </c>
      <c r="AP248" s="212" t="s">
        <v>419</v>
      </c>
      <c r="AQ248" s="214">
        <v>128.2551</v>
      </c>
      <c r="AR248" s="214" t="b">
        <v>0</v>
      </c>
      <c r="AS248" s="212" t="s">
        <v>534</v>
      </c>
    </row>
    <row r="249" spans="1:45" s="262" customFormat="1" x14ac:dyDescent="0.25">
      <c r="A249" s="245" t="str">
        <f t="shared" si="31"/>
        <v/>
      </c>
      <c r="B249" s="246" t="str">
        <f t="shared" si="24"/>
        <v/>
      </c>
      <c r="C249" s="246" t="str">
        <f>IF(B249="","",VLOOKUP(D249,'Species Data'!B:E,4,FALSE))</f>
        <v/>
      </c>
      <c r="D249" s="246" t="str">
        <f t="shared" ca="1" si="25"/>
        <v/>
      </c>
      <c r="E249" s="246" t="str">
        <f t="shared" ca="1" si="26"/>
        <v/>
      </c>
      <c r="F249" s="246" t="str">
        <f t="shared" ca="1" si="27"/>
        <v/>
      </c>
      <c r="G249" s="246" t="str">
        <f t="shared" ca="1" si="28"/>
        <v/>
      </c>
      <c r="H249" s="204" t="str">
        <f ca="1">IF(G249="","",IF(VLOOKUP(Separator!F249,'Species Data'!D:F,3,FALSE)=0,"X",IF(G249&lt;44.1,2,1)))</f>
        <v/>
      </c>
      <c r="I249" s="204" t="str">
        <f t="shared" ca="1" si="29"/>
        <v/>
      </c>
      <c r="J249" s="247" t="str">
        <f ca="1">IF(I249="","",IF(COUNTIF($D$12:D249,D249)=1,IF(H249=1,I249*H249,IF(H249="X","X",0)),0))</f>
        <v/>
      </c>
      <c r="K249" s="248" t="str">
        <f t="shared" ca="1" si="30"/>
        <v/>
      </c>
      <c r="L249" s="238"/>
      <c r="M249" s="212"/>
      <c r="N249" s="212"/>
      <c r="O249" s="213"/>
      <c r="P249" s="212"/>
      <c r="Q249" s="214"/>
      <c r="R249" s="212"/>
      <c r="S249" s="212"/>
      <c r="T249" s="212"/>
      <c r="U249" s="212"/>
      <c r="V249" s="214"/>
      <c r="W249" s="214"/>
      <c r="X249" s="214"/>
      <c r="Y249" s="214"/>
      <c r="Z249" s="214"/>
      <c r="AA249" s="212"/>
      <c r="AB249" s="212"/>
      <c r="AC249" s="212"/>
      <c r="AD249" s="214">
        <v>1.0515829999999999</v>
      </c>
      <c r="AE249" s="214">
        <v>604</v>
      </c>
      <c r="AF249" s="214">
        <v>1.2543</v>
      </c>
      <c r="AG249" s="214">
        <v>-99</v>
      </c>
      <c r="AH249" s="212" t="s">
        <v>224</v>
      </c>
      <c r="AI249" s="212" t="s">
        <v>449</v>
      </c>
      <c r="AJ249" s="212" t="s">
        <v>282</v>
      </c>
      <c r="AK249" s="212" t="s">
        <v>531</v>
      </c>
      <c r="AL249" s="212" t="s">
        <v>380</v>
      </c>
      <c r="AM249" s="214" t="b">
        <v>1</v>
      </c>
      <c r="AN249" s="214" t="b">
        <v>0</v>
      </c>
      <c r="AO249" s="212" t="s">
        <v>283</v>
      </c>
      <c r="AP249" s="212" t="s">
        <v>284</v>
      </c>
      <c r="AQ249" s="214">
        <v>114.22852</v>
      </c>
      <c r="AR249" s="214" t="b">
        <v>0</v>
      </c>
      <c r="AS249" s="212" t="s">
        <v>534</v>
      </c>
    </row>
    <row r="250" spans="1:45" s="262" customFormat="1" x14ac:dyDescent="0.25">
      <c r="A250" s="245" t="str">
        <f t="shared" si="31"/>
        <v/>
      </c>
      <c r="B250" s="246" t="str">
        <f t="shared" si="24"/>
        <v/>
      </c>
      <c r="C250" s="246" t="str">
        <f>IF(B250="","",VLOOKUP(D250,'Species Data'!B:E,4,FALSE))</f>
        <v/>
      </c>
      <c r="D250" s="246" t="str">
        <f t="shared" ca="1" si="25"/>
        <v/>
      </c>
      <c r="E250" s="246" t="str">
        <f t="shared" ca="1" si="26"/>
        <v/>
      </c>
      <c r="F250" s="246" t="str">
        <f t="shared" ca="1" si="27"/>
        <v/>
      </c>
      <c r="G250" s="246" t="str">
        <f t="shared" ca="1" si="28"/>
        <v/>
      </c>
      <c r="H250" s="204" t="str">
        <f ca="1">IF(G250="","",IF(VLOOKUP(Separator!F250,'Species Data'!D:F,3,FALSE)=0,"X",IF(G250&lt;44.1,2,1)))</f>
        <v/>
      </c>
      <c r="I250" s="204" t="str">
        <f t="shared" ca="1" si="29"/>
        <v/>
      </c>
      <c r="J250" s="247" t="str">
        <f ca="1">IF(I250="","",IF(COUNTIF($D$12:D250,D250)=1,IF(H250=1,I250*H250,IF(H250="X","X",0)),0))</f>
        <v/>
      </c>
      <c r="K250" s="248" t="str">
        <f t="shared" ca="1" si="30"/>
        <v/>
      </c>
      <c r="L250" s="238"/>
      <c r="M250" s="212"/>
      <c r="N250" s="212"/>
      <c r="O250" s="213"/>
      <c r="P250" s="212"/>
      <c r="Q250" s="214"/>
      <c r="R250" s="212"/>
      <c r="S250" s="212"/>
      <c r="T250" s="212"/>
      <c r="U250" s="212"/>
      <c r="V250" s="214"/>
      <c r="W250" s="214"/>
      <c r="X250" s="214"/>
      <c r="Y250" s="214"/>
      <c r="Z250" s="214"/>
      <c r="AA250" s="212"/>
      <c r="AB250" s="212"/>
      <c r="AC250" s="212"/>
      <c r="AD250" s="214">
        <v>1.0515829999999999</v>
      </c>
      <c r="AE250" s="214">
        <v>605</v>
      </c>
      <c r="AF250" s="214">
        <v>6.9599999999999995E-2</v>
      </c>
      <c r="AG250" s="214">
        <v>-99</v>
      </c>
      <c r="AH250" s="212" t="s">
        <v>224</v>
      </c>
      <c r="AI250" s="212" t="s">
        <v>449</v>
      </c>
      <c r="AJ250" s="212" t="s">
        <v>285</v>
      </c>
      <c r="AK250" s="212" t="s">
        <v>531</v>
      </c>
      <c r="AL250" s="212" t="s">
        <v>381</v>
      </c>
      <c r="AM250" s="214" t="b">
        <v>1</v>
      </c>
      <c r="AN250" s="214" t="b">
        <v>0</v>
      </c>
      <c r="AO250" s="212" t="s">
        <v>286</v>
      </c>
      <c r="AP250" s="212" t="s">
        <v>287</v>
      </c>
      <c r="AQ250" s="214">
        <v>72.148780000000002</v>
      </c>
      <c r="AR250" s="214" t="b">
        <v>0</v>
      </c>
      <c r="AS250" s="212" t="s">
        <v>534</v>
      </c>
    </row>
    <row r="251" spans="1:45" s="262" customFormat="1" x14ac:dyDescent="0.25">
      <c r="A251" s="245" t="str">
        <f t="shared" si="31"/>
        <v/>
      </c>
      <c r="B251" s="246" t="str">
        <f t="shared" si="24"/>
        <v/>
      </c>
      <c r="C251" s="246" t="str">
        <f>IF(B251="","",VLOOKUP(D251,'Species Data'!B:E,4,FALSE))</f>
        <v/>
      </c>
      <c r="D251" s="246" t="str">
        <f t="shared" ca="1" si="25"/>
        <v/>
      </c>
      <c r="E251" s="246" t="str">
        <f t="shared" ca="1" si="26"/>
        <v/>
      </c>
      <c r="F251" s="246" t="str">
        <f t="shared" ca="1" si="27"/>
        <v/>
      </c>
      <c r="G251" s="246" t="str">
        <f t="shared" ca="1" si="28"/>
        <v/>
      </c>
      <c r="H251" s="204" t="str">
        <f ca="1">IF(G251="","",IF(VLOOKUP(Separator!F251,'Species Data'!D:F,3,FALSE)=0,"X",IF(G251&lt;44.1,2,1)))</f>
        <v/>
      </c>
      <c r="I251" s="204" t="str">
        <f t="shared" ca="1" si="29"/>
        <v/>
      </c>
      <c r="J251" s="247" t="str">
        <f ca="1">IF(I251="","",IF(COUNTIF($D$12:D251,D251)=1,IF(H251=1,I251*H251,IF(H251="X","X",0)),0))</f>
        <v/>
      </c>
      <c r="K251" s="248" t="str">
        <f t="shared" ca="1" si="30"/>
        <v/>
      </c>
      <c r="L251" s="238"/>
      <c r="M251" s="212"/>
      <c r="N251" s="212"/>
      <c r="O251" s="213"/>
      <c r="P251" s="212"/>
      <c r="Q251" s="214"/>
      <c r="R251" s="212"/>
      <c r="S251" s="212"/>
      <c r="T251" s="212"/>
      <c r="U251" s="212"/>
      <c r="V251" s="214"/>
      <c r="W251" s="214"/>
      <c r="X251" s="214"/>
      <c r="Y251" s="214"/>
      <c r="Z251" s="214"/>
      <c r="AA251" s="212"/>
      <c r="AB251" s="212"/>
      <c r="AC251" s="212"/>
      <c r="AD251" s="214">
        <v>1.0515829999999999</v>
      </c>
      <c r="AE251" s="214">
        <v>608</v>
      </c>
      <c r="AF251" s="214">
        <v>0.51190000000000002</v>
      </c>
      <c r="AG251" s="214">
        <v>-99</v>
      </c>
      <c r="AH251" s="212" t="s">
        <v>224</v>
      </c>
      <c r="AI251" s="212" t="s">
        <v>449</v>
      </c>
      <c r="AJ251" s="212" t="s">
        <v>420</v>
      </c>
      <c r="AK251" s="212" t="s">
        <v>531</v>
      </c>
      <c r="AL251" s="212" t="s">
        <v>454</v>
      </c>
      <c r="AM251" s="214" t="b">
        <v>1</v>
      </c>
      <c r="AN251" s="214" t="b">
        <v>0</v>
      </c>
      <c r="AO251" s="212" t="s">
        <v>421</v>
      </c>
      <c r="AP251" s="212" t="s">
        <v>422</v>
      </c>
      <c r="AQ251" s="214">
        <v>120.19158</v>
      </c>
      <c r="AR251" s="214" t="b">
        <v>0</v>
      </c>
      <c r="AS251" s="212" t="s">
        <v>534</v>
      </c>
    </row>
    <row r="252" spans="1:45" s="262" customFormat="1" x14ac:dyDescent="0.25">
      <c r="A252" s="245" t="str">
        <f t="shared" si="31"/>
        <v/>
      </c>
      <c r="B252" s="246" t="str">
        <f t="shared" si="24"/>
        <v/>
      </c>
      <c r="C252" s="246" t="str">
        <f>IF(B252="","",VLOOKUP(D252,'Species Data'!B:E,4,FALSE))</f>
        <v/>
      </c>
      <c r="D252" s="246" t="str">
        <f t="shared" ca="1" si="25"/>
        <v/>
      </c>
      <c r="E252" s="246" t="str">
        <f t="shared" ca="1" si="26"/>
        <v/>
      </c>
      <c r="F252" s="246" t="str">
        <f t="shared" ca="1" si="27"/>
        <v/>
      </c>
      <c r="G252" s="246" t="str">
        <f t="shared" ca="1" si="28"/>
        <v/>
      </c>
      <c r="H252" s="204" t="str">
        <f ca="1">IF(G252="","",IF(VLOOKUP(Separator!F252,'Species Data'!D:F,3,FALSE)=0,"X",IF(G252&lt;44.1,2,1)))</f>
        <v/>
      </c>
      <c r="I252" s="204" t="str">
        <f t="shared" ca="1" si="29"/>
        <v/>
      </c>
      <c r="J252" s="247" t="str">
        <f ca="1">IF(I252="","",IF(COUNTIF($D$12:D252,D252)=1,IF(H252=1,I252*H252,IF(H252="X","X",0)),0))</f>
        <v/>
      </c>
      <c r="K252" s="248" t="str">
        <f t="shared" ca="1" si="30"/>
        <v/>
      </c>
      <c r="L252" s="238"/>
      <c r="M252" s="212"/>
      <c r="N252" s="212"/>
      <c r="O252" s="213"/>
      <c r="P252" s="212"/>
      <c r="Q252" s="214"/>
      <c r="R252" s="212"/>
      <c r="S252" s="212"/>
      <c r="T252" s="212"/>
      <c r="U252" s="212"/>
      <c r="V252" s="214"/>
      <c r="W252" s="214"/>
      <c r="X252" s="214"/>
      <c r="Y252" s="214"/>
      <c r="Z252" s="214"/>
      <c r="AA252" s="212"/>
      <c r="AB252" s="212"/>
      <c r="AC252" s="212"/>
      <c r="AD252" s="214">
        <v>1.0515829999999999</v>
      </c>
      <c r="AE252" s="214">
        <v>610</v>
      </c>
      <c r="AF252" s="214">
        <v>8.8999999999999999E-3</v>
      </c>
      <c r="AG252" s="214">
        <v>-99</v>
      </c>
      <c r="AH252" s="212" t="s">
        <v>224</v>
      </c>
      <c r="AI252" s="212" t="s">
        <v>449</v>
      </c>
      <c r="AJ252" s="212" t="s">
        <v>430</v>
      </c>
      <c r="AK252" s="212" t="s">
        <v>531</v>
      </c>
      <c r="AL252" s="212" t="s">
        <v>458</v>
      </c>
      <c r="AM252" s="214" t="b">
        <v>1</v>
      </c>
      <c r="AN252" s="214" t="b">
        <v>0</v>
      </c>
      <c r="AO252" s="212" t="s">
        <v>431</v>
      </c>
      <c r="AP252" s="212" t="s">
        <v>432</v>
      </c>
      <c r="AQ252" s="214">
        <v>156.30826000000002</v>
      </c>
      <c r="AR252" s="214" t="b">
        <v>0</v>
      </c>
      <c r="AS252" s="212" t="s">
        <v>534</v>
      </c>
    </row>
    <row r="253" spans="1:45" s="262" customFormat="1" x14ac:dyDescent="0.25">
      <c r="A253" s="245" t="str">
        <f t="shared" si="31"/>
        <v/>
      </c>
      <c r="B253" s="246" t="str">
        <f t="shared" si="24"/>
        <v/>
      </c>
      <c r="C253" s="246" t="str">
        <f>IF(B253="","",VLOOKUP(D253,'Species Data'!B:E,4,FALSE))</f>
        <v/>
      </c>
      <c r="D253" s="246" t="str">
        <f t="shared" ca="1" si="25"/>
        <v/>
      </c>
      <c r="E253" s="246" t="str">
        <f t="shared" ca="1" si="26"/>
        <v/>
      </c>
      <c r="F253" s="246" t="str">
        <f t="shared" ca="1" si="27"/>
        <v/>
      </c>
      <c r="G253" s="246" t="str">
        <f t="shared" ca="1" si="28"/>
        <v/>
      </c>
      <c r="H253" s="204" t="str">
        <f ca="1">IF(G253="","",IF(VLOOKUP(Separator!F253,'Species Data'!D:F,3,FALSE)=0,"X",IF(G253&lt;44.1,2,1)))</f>
        <v/>
      </c>
      <c r="I253" s="204" t="str">
        <f t="shared" ca="1" si="29"/>
        <v/>
      </c>
      <c r="J253" s="247" t="str">
        <f ca="1">IF(I253="","",IF(COUNTIF($D$12:D253,D253)=1,IF(H253=1,I253*H253,IF(H253="X","X",0)),0))</f>
        <v/>
      </c>
      <c r="K253" s="248" t="str">
        <f t="shared" ca="1" si="30"/>
        <v/>
      </c>
      <c r="L253" s="238"/>
      <c r="M253" s="212"/>
      <c r="N253" s="212"/>
      <c r="O253" s="213"/>
      <c r="P253" s="212"/>
      <c r="Q253" s="214"/>
      <c r="R253" s="212"/>
      <c r="S253" s="212"/>
      <c r="T253" s="212"/>
      <c r="U253" s="212"/>
      <c r="V253" s="214"/>
      <c r="W253" s="214"/>
      <c r="X253" s="214"/>
      <c r="Y253" s="214"/>
      <c r="Z253" s="214"/>
      <c r="AA253" s="212"/>
      <c r="AB253" s="212"/>
      <c r="AC253" s="212"/>
      <c r="AD253" s="214">
        <v>1.0515829999999999</v>
      </c>
      <c r="AE253" s="214">
        <v>620</v>
      </c>
      <c r="AF253" s="214">
        <v>0.86409999999999998</v>
      </c>
      <c r="AG253" s="214">
        <v>-99</v>
      </c>
      <c r="AH253" s="212" t="s">
        <v>224</v>
      </c>
      <c r="AI253" s="212" t="s">
        <v>449</v>
      </c>
      <c r="AJ253" s="212" t="s">
        <v>354</v>
      </c>
      <c r="AK253" s="212" t="s">
        <v>531</v>
      </c>
      <c r="AL253" s="212" t="s">
        <v>398</v>
      </c>
      <c r="AM253" s="214" t="b">
        <v>1</v>
      </c>
      <c r="AN253" s="214" t="b">
        <v>1</v>
      </c>
      <c r="AO253" s="212" t="s">
        <v>355</v>
      </c>
      <c r="AP253" s="212" t="s">
        <v>356</v>
      </c>
      <c r="AQ253" s="214">
        <v>106.16500000000001</v>
      </c>
      <c r="AR253" s="214" t="b">
        <v>0</v>
      </c>
      <c r="AS253" s="212" t="s">
        <v>534</v>
      </c>
    </row>
    <row r="254" spans="1:45" s="262" customFormat="1" x14ac:dyDescent="0.25">
      <c r="A254" s="245" t="str">
        <f t="shared" si="31"/>
        <v/>
      </c>
      <c r="B254" s="246" t="str">
        <f t="shared" si="24"/>
        <v/>
      </c>
      <c r="C254" s="246" t="str">
        <f>IF(B254="","",VLOOKUP(D254,'Species Data'!B:E,4,FALSE))</f>
        <v/>
      </c>
      <c r="D254" s="246" t="str">
        <f t="shared" ca="1" si="25"/>
        <v/>
      </c>
      <c r="E254" s="246" t="str">
        <f t="shared" ca="1" si="26"/>
        <v/>
      </c>
      <c r="F254" s="246" t="str">
        <f t="shared" ca="1" si="27"/>
        <v/>
      </c>
      <c r="G254" s="246" t="str">
        <f t="shared" ca="1" si="28"/>
        <v/>
      </c>
      <c r="H254" s="204" t="str">
        <f ca="1">IF(G254="","",IF(VLOOKUP(Separator!F254,'Species Data'!D:F,3,FALSE)=0,"X",IF(G254&lt;44.1,2,1)))</f>
        <v/>
      </c>
      <c r="I254" s="204" t="str">
        <f t="shared" ca="1" si="29"/>
        <v/>
      </c>
      <c r="J254" s="247" t="str">
        <f ca="1">IF(I254="","",IF(COUNTIF($D$12:D254,D254)=1,IF(H254=1,I254*H254,IF(H254="X","X",0)),0))</f>
        <v/>
      </c>
      <c r="K254" s="248" t="str">
        <f t="shared" ca="1" si="30"/>
        <v/>
      </c>
      <c r="L254" s="238"/>
      <c r="M254" s="212"/>
      <c r="N254" s="212"/>
      <c r="O254" s="213"/>
      <c r="P254" s="212"/>
      <c r="Q254" s="214"/>
      <c r="R254" s="212"/>
      <c r="S254" s="212"/>
      <c r="T254" s="212"/>
      <c r="U254" s="212"/>
      <c r="V254" s="214"/>
      <c r="W254" s="214"/>
      <c r="X254" s="214"/>
      <c r="Y254" s="214"/>
      <c r="Z254" s="214"/>
      <c r="AA254" s="212"/>
      <c r="AB254" s="212"/>
      <c r="AC254" s="212"/>
      <c r="AD254" s="214">
        <v>1.0515829999999999</v>
      </c>
      <c r="AE254" s="214">
        <v>648</v>
      </c>
      <c r="AF254" s="214">
        <v>0.1605</v>
      </c>
      <c r="AG254" s="214">
        <v>-99</v>
      </c>
      <c r="AH254" s="212" t="s">
        <v>224</v>
      </c>
      <c r="AI254" s="212" t="s">
        <v>449</v>
      </c>
      <c r="AJ254" s="212" t="s">
        <v>433</v>
      </c>
      <c r="AK254" s="212" t="s">
        <v>531</v>
      </c>
      <c r="AL254" s="212" t="s">
        <v>459</v>
      </c>
      <c r="AM254" s="214" t="b">
        <v>0</v>
      </c>
      <c r="AN254" s="214" t="b">
        <v>1</v>
      </c>
      <c r="AO254" s="212" t="s">
        <v>434</v>
      </c>
      <c r="AP254" s="212" t="s">
        <v>435</v>
      </c>
      <c r="AQ254" s="214">
        <v>106.16500000000001</v>
      </c>
      <c r="AR254" s="214" t="b">
        <v>0</v>
      </c>
      <c r="AS254" s="212" t="s">
        <v>534</v>
      </c>
    </row>
    <row r="255" spans="1:45" s="262" customFormat="1" x14ac:dyDescent="0.25">
      <c r="A255" s="245" t="str">
        <f t="shared" si="31"/>
        <v/>
      </c>
      <c r="B255" s="246" t="str">
        <f t="shared" si="24"/>
        <v/>
      </c>
      <c r="C255" s="246" t="str">
        <f>IF(B255="","",VLOOKUP(D255,'Species Data'!B:E,4,FALSE))</f>
        <v/>
      </c>
      <c r="D255" s="246" t="str">
        <f t="shared" ca="1" si="25"/>
        <v/>
      </c>
      <c r="E255" s="246" t="str">
        <f t="shared" ca="1" si="26"/>
        <v/>
      </c>
      <c r="F255" s="246" t="str">
        <f t="shared" ca="1" si="27"/>
        <v/>
      </c>
      <c r="G255" s="246" t="str">
        <f t="shared" ca="1" si="28"/>
        <v/>
      </c>
      <c r="H255" s="204" t="str">
        <f ca="1">IF(G255="","",IF(VLOOKUP(Separator!F255,'Species Data'!D:F,3,FALSE)=0,"X",IF(G255&lt;44.1,2,1)))</f>
        <v/>
      </c>
      <c r="I255" s="204" t="str">
        <f t="shared" ca="1" si="29"/>
        <v/>
      </c>
      <c r="J255" s="247" t="str">
        <f ca="1">IF(I255="","",IF(COUNTIF($D$12:D255,D255)=1,IF(H255=1,I255*H255,IF(H255="X","X",0)),0))</f>
        <v/>
      </c>
      <c r="K255" s="248" t="str">
        <f t="shared" ca="1" si="30"/>
        <v/>
      </c>
      <c r="L255" s="238"/>
      <c r="M255" s="212"/>
      <c r="N255" s="212"/>
      <c r="O255" s="213"/>
      <c r="P255" s="212"/>
      <c r="Q255" s="214"/>
      <c r="R255" s="212"/>
      <c r="S255" s="212"/>
      <c r="T255" s="212"/>
      <c r="U255" s="212"/>
      <c r="V255" s="214"/>
      <c r="W255" s="214"/>
      <c r="X255" s="214"/>
      <c r="Y255" s="214"/>
      <c r="Z255" s="214"/>
      <c r="AA255" s="212"/>
      <c r="AB255" s="212"/>
      <c r="AC255" s="212"/>
      <c r="AD255" s="214">
        <v>1.0515829999999999</v>
      </c>
      <c r="AE255" s="214">
        <v>671</v>
      </c>
      <c r="AF255" s="214">
        <v>0.30249999999999999</v>
      </c>
      <c r="AG255" s="214">
        <v>-99</v>
      </c>
      <c r="AH255" s="212" t="s">
        <v>224</v>
      </c>
      <c r="AI255" s="212" t="s">
        <v>449</v>
      </c>
      <c r="AJ255" s="212" t="s">
        <v>288</v>
      </c>
      <c r="AK255" s="212" t="s">
        <v>531</v>
      </c>
      <c r="AL255" s="212" t="s">
        <v>382</v>
      </c>
      <c r="AM255" s="214" t="b">
        <v>1</v>
      </c>
      <c r="AN255" s="214" t="b">
        <v>0</v>
      </c>
      <c r="AO255" s="212" t="s">
        <v>289</v>
      </c>
      <c r="AP255" s="212" t="s">
        <v>290</v>
      </c>
      <c r="AQ255" s="214">
        <v>44.095619999999997</v>
      </c>
      <c r="AR255" s="214" t="b">
        <v>0</v>
      </c>
      <c r="AS255" s="212" t="s">
        <v>534</v>
      </c>
    </row>
    <row r="256" spans="1:45" s="262" customFormat="1" x14ac:dyDescent="0.25">
      <c r="A256" s="245" t="str">
        <f t="shared" si="31"/>
        <v/>
      </c>
      <c r="B256" s="246" t="str">
        <f t="shared" si="24"/>
        <v/>
      </c>
      <c r="C256" s="246" t="str">
        <f>IF(B256="","",VLOOKUP(D256,'Species Data'!B:E,4,FALSE))</f>
        <v/>
      </c>
      <c r="D256" s="246" t="str">
        <f t="shared" ca="1" si="25"/>
        <v/>
      </c>
      <c r="E256" s="246" t="str">
        <f t="shared" ca="1" si="26"/>
        <v/>
      </c>
      <c r="F256" s="246" t="str">
        <f t="shared" ca="1" si="27"/>
        <v/>
      </c>
      <c r="G256" s="246" t="str">
        <f t="shared" ca="1" si="28"/>
        <v/>
      </c>
      <c r="H256" s="204" t="str">
        <f ca="1">IF(G256="","",IF(VLOOKUP(Separator!F256,'Species Data'!D:F,3,FALSE)=0,"X",IF(G256&lt;44.1,2,1)))</f>
        <v/>
      </c>
      <c r="I256" s="204" t="str">
        <f t="shared" ca="1" si="29"/>
        <v/>
      </c>
      <c r="J256" s="247" t="str">
        <f ca="1">IF(I256="","",IF(COUNTIF($D$12:D256,D256)=1,IF(H256=1,I256*H256,IF(H256="X","X",0)),0))</f>
        <v/>
      </c>
      <c r="K256" s="248" t="str">
        <f t="shared" ca="1" si="30"/>
        <v/>
      </c>
      <c r="L256" s="238"/>
      <c r="M256" s="212"/>
      <c r="N256" s="212"/>
      <c r="O256" s="213"/>
      <c r="P256" s="212"/>
      <c r="Q256" s="214"/>
      <c r="R256" s="212"/>
      <c r="S256" s="212"/>
      <c r="T256" s="212"/>
      <c r="U256" s="212"/>
      <c r="V256" s="214"/>
      <c r="W256" s="214"/>
      <c r="X256" s="214"/>
      <c r="Y256" s="214"/>
      <c r="Z256" s="214"/>
      <c r="AA256" s="212"/>
      <c r="AB256" s="212"/>
      <c r="AC256" s="212"/>
      <c r="AD256" s="214">
        <v>1.0515829999999999</v>
      </c>
      <c r="AE256" s="214">
        <v>703</v>
      </c>
      <c r="AF256" s="214">
        <v>0.64990000000000003</v>
      </c>
      <c r="AG256" s="214">
        <v>-99</v>
      </c>
      <c r="AH256" s="212" t="s">
        <v>224</v>
      </c>
      <c r="AI256" s="212" t="s">
        <v>449</v>
      </c>
      <c r="AJ256" s="212" t="s">
        <v>423</v>
      </c>
      <c r="AK256" s="212" t="s">
        <v>531</v>
      </c>
      <c r="AL256" s="212" t="s">
        <v>455</v>
      </c>
      <c r="AM256" s="214" t="b">
        <v>0</v>
      </c>
      <c r="AN256" s="214" t="b">
        <v>0</v>
      </c>
      <c r="AO256" s="212" t="s">
        <v>424</v>
      </c>
      <c r="AP256" s="212" t="s">
        <v>531</v>
      </c>
      <c r="AQ256" s="214">
        <v>134.21816000000001</v>
      </c>
      <c r="AR256" s="214" t="b">
        <v>0</v>
      </c>
      <c r="AS256" s="212" t="s">
        <v>534</v>
      </c>
    </row>
    <row r="257" spans="1:45" s="262" customFormat="1" x14ac:dyDescent="0.25">
      <c r="A257" s="245" t="str">
        <f t="shared" si="31"/>
        <v/>
      </c>
      <c r="B257" s="246" t="str">
        <f t="shared" si="24"/>
        <v/>
      </c>
      <c r="C257" s="246" t="str">
        <f>IF(B257="","",VLOOKUP(D257,'Species Data'!B:E,4,FALSE))</f>
        <v/>
      </c>
      <c r="D257" s="246" t="str">
        <f t="shared" ca="1" si="25"/>
        <v/>
      </c>
      <c r="E257" s="246" t="str">
        <f t="shared" ca="1" si="26"/>
        <v/>
      </c>
      <c r="F257" s="246" t="str">
        <f t="shared" ca="1" si="27"/>
        <v/>
      </c>
      <c r="G257" s="246" t="str">
        <f t="shared" ca="1" si="28"/>
        <v/>
      </c>
      <c r="H257" s="204" t="str">
        <f ca="1">IF(G257="","",IF(VLOOKUP(Separator!F257,'Species Data'!D:F,3,FALSE)=0,"X",IF(G257&lt;44.1,2,1)))</f>
        <v/>
      </c>
      <c r="I257" s="204" t="str">
        <f t="shared" ca="1" si="29"/>
        <v/>
      </c>
      <c r="J257" s="247" t="str">
        <f ca="1">IF(I257="","",IF(COUNTIF($D$12:D257,D257)=1,IF(H257=1,I257*H257,IF(H257="X","X",0)),0))</f>
        <v/>
      </c>
      <c r="K257" s="248" t="str">
        <f t="shared" ca="1" si="30"/>
        <v/>
      </c>
      <c r="L257" s="238"/>
      <c r="M257" s="212"/>
      <c r="N257" s="212"/>
      <c r="O257" s="213"/>
      <c r="P257" s="212"/>
      <c r="Q257" s="214"/>
      <c r="R257" s="212"/>
      <c r="S257" s="212"/>
      <c r="T257" s="212"/>
      <c r="U257" s="212"/>
      <c r="V257" s="214"/>
      <c r="W257" s="214"/>
      <c r="X257" s="214"/>
      <c r="Y257" s="214"/>
      <c r="Z257" s="214"/>
      <c r="AA257" s="212"/>
      <c r="AB257" s="212"/>
      <c r="AC257" s="212"/>
      <c r="AD257" s="214">
        <v>1.0515829999999999</v>
      </c>
      <c r="AE257" s="214">
        <v>717</v>
      </c>
      <c r="AF257" s="214">
        <v>0.25929999999999997</v>
      </c>
      <c r="AG257" s="214">
        <v>-99</v>
      </c>
      <c r="AH257" s="212" t="s">
        <v>224</v>
      </c>
      <c r="AI257" s="212" t="s">
        <v>449</v>
      </c>
      <c r="AJ257" s="212" t="s">
        <v>294</v>
      </c>
      <c r="AK257" s="212" t="s">
        <v>531</v>
      </c>
      <c r="AL257" s="212" t="s">
        <v>383</v>
      </c>
      <c r="AM257" s="214" t="b">
        <v>1</v>
      </c>
      <c r="AN257" s="214" t="b">
        <v>1</v>
      </c>
      <c r="AO257" s="212" t="s">
        <v>295</v>
      </c>
      <c r="AP257" s="212" t="s">
        <v>296</v>
      </c>
      <c r="AQ257" s="214">
        <v>92.138419999999996</v>
      </c>
      <c r="AR257" s="214" t="b">
        <v>0</v>
      </c>
      <c r="AS257" s="212" t="s">
        <v>534</v>
      </c>
    </row>
    <row r="258" spans="1:45" s="262" customFormat="1" x14ac:dyDescent="0.25">
      <c r="A258" s="245" t="str">
        <f t="shared" si="31"/>
        <v/>
      </c>
      <c r="B258" s="246" t="str">
        <f t="shared" si="24"/>
        <v/>
      </c>
      <c r="C258" s="246" t="str">
        <f>IF(B258="","",VLOOKUP(D258,'Species Data'!B:E,4,FALSE))</f>
        <v/>
      </c>
      <c r="D258" s="246" t="str">
        <f t="shared" ca="1" si="25"/>
        <v/>
      </c>
      <c r="E258" s="246" t="str">
        <f t="shared" ca="1" si="26"/>
        <v/>
      </c>
      <c r="F258" s="246" t="str">
        <f t="shared" ca="1" si="27"/>
        <v/>
      </c>
      <c r="G258" s="246" t="str">
        <f t="shared" ca="1" si="28"/>
        <v/>
      </c>
      <c r="H258" s="204" t="str">
        <f ca="1">IF(G258="","",IF(VLOOKUP(Separator!F258,'Species Data'!D:F,3,FALSE)=0,"X",IF(G258&lt;44.1,2,1)))</f>
        <v/>
      </c>
      <c r="I258" s="204" t="str">
        <f t="shared" ca="1" si="29"/>
        <v/>
      </c>
      <c r="J258" s="247" t="str">
        <f ca="1">IF(I258="","",IF(COUNTIF($D$12:D258,D258)=1,IF(H258=1,I258*H258,IF(H258="X","X",0)),0))</f>
        <v/>
      </c>
      <c r="K258" s="248" t="str">
        <f t="shared" ca="1" si="30"/>
        <v/>
      </c>
      <c r="L258" s="238"/>
      <c r="M258" s="212"/>
      <c r="N258" s="212"/>
      <c r="O258" s="213"/>
      <c r="P258" s="212"/>
      <c r="Q258" s="214"/>
      <c r="R258" s="212"/>
      <c r="S258" s="212"/>
      <c r="T258" s="212"/>
      <c r="U258" s="212"/>
      <c r="V258" s="214"/>
      <c r="W258" s="214"/>
      <c r="X258" s="214"/>
      <c r="Y258" s="214"/>
      <c r="Z258" s="214"/>
      <c r="AA258" s="212"/>
      <c r="AB258" s="212"/>
      <c r="AC258" s="212"/>
      <c r="AD258" s="214">
        <v>1.0515829999999999</v>
      </c>
      <c r="AE258" s="214">
        <v>981</v>
      </c>
      <c r="AF258" s="214">
        <v>0.189</v>
      </c>
      <c r="AG258" s="214">
        <v>-99</v>
      </c>
      <c r="AH258" s="212" t="s">
        <v>224</v>
      </c>
      <c r="AI258" s="212" t="s">
        <v>449</v>
      </c>
      <c r="AJ258" s="212" t="s">
        <v>645</v>
      </c>
      <c r="AK258" s="212" t="s">
        <v>531</v>
      </c>
      <c r="AL258" s="212" t="s">
        <v>531</v>
      </c>
      <c r="AM258" s="214" t="b">
        <v>0</v>
      </c>
      <c r="AN258" s="214" t="b">
        <v>0</v>
      </c>
      <c r="AO258" s="212" t="s">
        <v>646</v>
      </c>
      <c r="AP258" s="212" t="s">
        <v>647</v>
      </c>
      <c r="AQ258" s="214">
        <v>134.21816000000001</v>
      </c>
      <c r="AR258" s="214" t="b">
        <v>0</v>
      </c>
      <c r="AS258" s="212" t="s">
        <v>534</v>
      </c>
    </row>
    <row r="259" spans="1:45" s="262" customFormat="1" x14ac:dyDescent="0.25">
      <c r="A259" s="245" t="str">
        <f t="shared" si="31"/>
        <v/>
      </c>
      <c r="B259" s="246" t="str">
        <f t="shared" si="24"/>
        <v/>
      </c>
      <c r="C259" s="246" t="str">
        <f>IF(B259="","",VLOOKUP(D259,'Species Data'!B:E,4,FALSE))</f>
        <v/>
      </c>
      <c r="D259" s="246" t="str">
        <f t="shared" ca="1" si="25"/>
        <v/>
      </c>
      <c r="E259" s="246" t="str">
        <f t="shared" ca="1" si="26"/>
        <v/>
      </c>
      <c r="F259" s="246" t="str">
        <f t="shared" ca="1" si="27"/>
        <v/>
      </c>
      <c r="G259" s="246" t="str">
        <f t="shared" ca="1" si="28"/>
        <v/>
      </c>
      <c r="H259" s="204" t="str">
        <f ca="1">IF(G259="","",IF(VLOOKUP(Separator!F259,'Species Data'!D:F,3,FALSE)=0,"X",IF(G259&lt;44.1,2,1)))</f>
        <v/>
      </c>
      <c r="I259" s="204" t="str">
        <f t="shared" ca="1" si="29"/>
        <v/>
      </c>
      <c r="J259" s="247" t="str">
        <f ca="1">IF(I259="","",IF(COUNTIF($D$12:D259,D259)=1,IF(H259=1,I259*H259,IF(H259="X","X",0)),0))</f>
        <v/>
      </c>
      <c r="K259" s="248" t="str">
        <f t="shared" ca="1" si="30"/>
        <v/>
      </c>
      <c r="L259" s="238"/>
      <c r="M259" s="212"/>
      <c r="N259" s="212"/>
      <c r="O259" s="213"/>
      <c r="P259" s="212"/>
      <c r="Q259" s="214"/>
      <c r="R259" s="212"/>
      <c r="S259" s="212"/>
      <c r="T259" s="212"/>
      <c r="U259" s="212"/>
      <c r="V259" s="214"/>
      <c r="W259" s="214"/>
      <c r="X259" s="214"/>
      <c r="Y259" s="214"/>
      <c r="Z259" s="214"/>
      <c r="AA259" s="212"/>
      <c r="AB259" s="212"/>
      <c r="AC259" s="212"/>
      <c r="AD259" s="214">
        <v>1.0515829999999999</v>
      </c>
      <c r="AE259" s="214">
        <v>1924</v>
      </c>
      <c r="AF259" s="214">
        <v>6.7336999999999998</v>
      </c>
      <c r="AG259" s="214">
        <v>-99</v>
      </c>
      <c r="AH259" s="212" t="s">
        <v>224</v>
      </c>
      <c r="AI259" s="212" t="s">
        <v>449</v>
      </c>
      <c r="AJ259" s="212" t="s">
        <v>224</v>
      </c>
      <c r="AK259" s="212" t="s">
        <v>531</v>
      </c>
      <c r="AL259" s="212" t="s">
        <v>466</v>
      </c>
      <c r="AM259" s="214" t="b">
        <v>0</v>
      </c>
      <c r="AN259" s="214" t="b">
        <v>0</v>
      </c>
      <c r="AO259" s="212" t="s">
        <v>535</v>
      </c>
      <c r="AP259" s="212" t="s">
        <v>536</v>
      </c>
      <c r="AQ259" s="214">
        <v>142.28167999999999</v>
      </c>
      <c r="AR259" s="214" t="b">
        <v>0</v>
      </c>
      <c r="AS259" s="212" t="s">
        <v>534</v>
      </c>
    </row>
    <row r="260" spans="1:45" s="262" customFormat="1" x14ac:dyDescent="0.25">
      <c r="A260" s="245" t="str">
        <f t="shared" si="31"/>
        <v/>
      </c>
      <c r="B260" s="246" t="str">
        <f t="shared" si="24"/>
        <v/>
      </c>
      <c r="C260" s="246" t="str">
        <f>IF(B260="","",VLOOKUP(D260,'Species Data'!B:E,4,FALSE))</f>
        <v/>
      </c>
      <c r="D260" s="246" t="str">
        <f t="shared" ca="1" si="25"/>
        <v/>
      </c>
      <c r="E260" s="246" t="str">
        <f t="shared" ca="1" si="26"/>
        <v/>
      </c>
      <c r="F260" s="246" t="str">
        <f t="shared" ca="1" si="27"/>
        <v/>
      </c>
      <c r="G260" s="246" t="str">
        <f t="shared" ca="1" si="28"/>
        <v/>
      </c>
      <c r="H260" s="204" t="str">
        <f ca="1">IF(G260="","",IF(VLOOKUP(Separator!F260,'Species Data'!D:F,3,FALSE)=0,"X",IF(G260&lt;44.1,2,1)))</f>
        <v/>
      </c>
      <c r="I260" s="204" t="str">
        <f t="shared" ca="1" si="29"/>
        <v/>
      </c>
      <c r="J260" s="247" t="str">
        <f ca="1">IF(I260="","",IF(COUNTIF($D$12:D260,D260)=1,IF(H260=1,I260*H260,IF(H260="X","X",0)),0))</f>
        <v/>
      </c>
      <c r="K260" s="248" t="str">
        <f t="shared" ca="1" si="30"/>
        <v/>
      </c>
      <c r="L260" s="238"/>
      <c r="M260" s="212"/>
      <c r="N260" s="212"/>
      <c r="O260" s="213"/>
      <c r="P260" s="212"/>
      <c r="Q260" s="214"/>
      <c r="R260" s="212"/>
      <c r="S260" s="212"/>
      <c r="T260" s="212"/>
      <c r="U260" s="212"/>
      <c r="V260" s="214"/>
      <c r="W260" s="214"/>
      <c r="X260" s="214"/>
      <c r="Y260" s="214"/>
      <c r="Z260" s="214"/>
      <c r="AA260" s="212"/>
      <c r="AB260" s="212"/>
      <c r="AC260" s="212"/>
      <c r="AD260" s="214">
        <v>1.0515829999999999</v>
      </c>
      <c r="AE260" s="214">
        <v>1929</v>
      </c>
      <c r="AF260" s="214">
        <v>3.5299999999999998E-2</v>
      </c>
      <c r="AG260" s="214">
        <v>-99</v>
      </c>
      <c r="AH260" s="212" t="s">
        <v>224</v>
      </c>
      <c r="AI260" s="212" t="s">
        <v>449</v>
      </c>
      <c r="AJ260" s="212" t="s">
        <v>224</v>
      </c>
      <c r="AK260" s="212" t="s">
        <v>531</v>
      </c>
      <c r="AL260" s="212" t="s">
        <v>467</v>
      </c>
      <c r="AM260" s="214" t="b">
        <v>0</v>
      </c>
      <c r="AN260" s="214" t="b">
        <v>0</v>
      </c>
      <c r="AO260" s="212" t="s">
        <v>468</v>
      </c>
      <c r="AP260" s="212" t="s">
        <v>469</v>
      </c>
      <c r="AQ260" s="214">
        <v>156.30826000000002</v>
      </c>
      <c r="AR260" s="214" t="b">
        <v>0</v>
      </c>
      <c r="AS260" s="212" t="s">
        <v>534</v>
      </c>
    </row>
    <row r="261" spans="1:45" s="262" customFormat="1" x14ac:dyDescent="0.25">
      <c r="A261" s="245" t="str">
        <f t="shared" si="31"/>
        <v/>
      </c>
      <c r="B261" s="246" t="str">
        <f t="shared" si="24"/>
        <v/>
      </c>
      <c r="C261" s="246" t="str">
        <f>IF(B261="","",VLOOKUP(D261,'Species Data'!B:E,4,FALSE))</f>
        <v/>
      </c>
      <c r="D261" s="246" t="str">
        <f t="shared" ca="1" si="25"/>
        <v/>
      </c>
      <c r="E261" s="246" t="str">
        <f t="shared" ca="1" si="26"/>
        <v/>
      </c>
      <c r="F261" s="246" t="str">
        <f t="shared" ca="1" si="27"/>
        <v/>
      </c>
      <c r="G261" s="246" t="str">
        <f t="shared" ca="1" si="28"/>
        <v/>
      </c>
      <c r="H261" s="204" t="str">
        <f ca="1">IF(G261="","",IF(VLOOKUP(Separator!F261,'Species Data'!D:F,3,FALSE)=0,"X",IF(G261&lt;44.1,2,1)))</f>
        <v/>
      </c>
      <c r="I261" s="204" t="str">
        <f t="shared" ca="1" si="29"/>
        <v/>
      </c>
      <c r="J261" s="247" t="str">
        <f ca="1">IF(I261="","",IF(COUNTIF($D$12:D261,D261)=1,IF(H261=1,I261*H261,IF(H261="X","X",0)),0))</f>
        <v/>
      </c>
      <c r="K261" s="248" t="str">
        <f t="shared" ca="1" si="30"/>
        <v/>
      </c>
      <c r="L261" s="238"/>
      <c r="M261" s="212"/>
      <c r="N261" s="212"/>
      <c r="O261" s="213"/>
      <c r="P261" s="212"/>
      <c r="Q261" s="214"/>
      <c r="R261" s="212"/>
      <c r="S261" s="212"/>
      <c r="T261" s="212"/>
      <c r="U261" s="212"/>
      <c r="V261" s="214"/>
      <c r="W261" s="214"/>
      <c r="X261" s="214"/>
      <c r="Y261" s="214"/>
      <c r="Z261" s="214"/>
      <c r="AA261" s="212"/>
      <c r="AB261" s="212"/>
      <c r="AC261" s="212"/>
      <c r="AD261" s="214">
        <v>1.0515829999999999</v>
      </c>
      <c r="AE261" s="214">
        <v>1999</v>
      </c>
      <c r="AF261" s="214">
        <v>3.0064000000000002</v>
      </c>
      <c r="AG261" s="214">
        <v>-99</v>
      </c>
      <c r="AH261" s="212" t="s">
        <v>224</v>
      </c>
      <c r="AI261" s="212" t="s">
        <v>449</v>
      </c>
      <c r="AJ261" s="212" t="s">
        <v>224</v>
      </c>
      <c r="AK261" s="212" t="s">
        <v>531</v>
      </c>
      <c r="AL261" s="212" t="s">
        <v>540</v>
      </c>
      <c r="AM261" s="214" t="b">
        <v>0</v>
      </c>
      <c r="AN261" s="214" t="b">
        <v>0</v>
      </c>
      <c r="AO261" s="212" t="s">
        <v>541</v>
      </c>
      <c r="AP261" s="212" t="s">
        <v>542</v>
      </c>
      <c r="AQ261" s="214">
        <v>86.175359999999998</v>
      </c>
      <c r="AR261" s="214" t="b">
        <v>0</v>
      </c>
      <c r="AS261" s="212" t="s">
        <v>534</v>
      </c>
    </row>
    <row r="262" spans="1:45" s="262" customFormat="1" x14ac:dyDescent="0.25">
      <c r="A262" s="245" t="str">
        <f t="shared" si="31"/>
        <v/>
      </c>
      <c r="B262" s="246" t="str">
        <f t="shared" si="24"/>
        <v/>
      </c>
      <c r="C262" s="246" t="str">
        <f>IF(B262="","",VLOOKUP(D262,'Species Data'!B:E,4,FALSE))</f>
        <v/>
      </c>
      <c r="D262" s="246" t="str">
        <f t="shared" ca="1" si="25"/>
        <v/>
      </c>
      <c r="E262" s="246" t="str">
        <f t="shared" ca="1" si="26"/>
        <v/>
      </c>
      <c r="F262" s="246" t="str">
        <f t="shared" ca="1" si="27"/>
        <v/>
      </c>
      <c r="G262" s="246" t="str">
        <f t="shared" ca="1" si="28"/>
        <v/>
      </c>
      <c r="H262" s="204" t="str">
        <f ca="1">IF(G262="","",IF(VLOOKUP(Separator!F262,'Species Data'!D:F,3,FALSE)=0,"X",IF(G262&lt;44.1,2,1)))</f>
        <v/>
      </c>
      <c r="I262" s="204" t="str">
        <f t="shared" ca="1" si="29"/>
        <v/>
      </c>
      <c r="J262" s="247" t="str">
        <f ca="1">IF(I262="","",IF(COUNTIF($D$12:D262,D262)=1,IF(H262=1,I262*H262,IF(H262="X","X",0)),0))</f>
        <v/>
      </c>
      <c r="K262" s="248" t="str">
        <f t="shared" ca="1" si="30"/>
        <v/>
      </c>
      <c r="L262" s="238"/>
      <c r="M262" s="212"/>
      <c r="N262" s="212"/>
      <c r="O262" s="213"/>
      <c r="P262" s="212"/>
      <c r="Q262" s="214"/>
      <c r="R262" s="212"/>
      <c r="S262" s="212"/>
      <c r="T262" s="212"/>
      <c r="U262" s="212"/>
      <c r="V262" s="214"/>
      <c r="W262" s="214"/>
      <c r="X262" s="214"/>
      <c r="Y262" s="214"/>
      <c r="Z262" s="214"/>
      <c r="AA262" s="212"/>
      <c r="AB262" s="212"/>
      <c r="AC262" s="212"/>
      <c r="AD262" s="214">
        <v>1.0515829999999999</v>
      </c>
      <c r="AE262" s="214">
        <v>2005</v>
      </c>
      <c r="AF262" s="214">
        <v>21.5246</v>
      </c>
      <c r="AG262" s="214">
        <v>-99</v>
      </c>
      <c r="AH262" s="212" t="s">
        <v>224</v>
      </c>
      <c r="AI262" s="212" t="s">
        <v>449</v>
      </c>
      <c r="AJ262" s="212" t="s">
        <v>224</v>
      </c>
      <c r="AK262" s="212" t="s">
        <v>531</v>
      </c>
      <c r="AL262" s="212" t="s">
        <v>543</v>
      </c>
      <c r="AM262" s="214" t="b">
        <v>0</v>
      </c>
      <c r="AN262" s="214" t="b">
        <v>0</v>
      </c>
      <c r="AO262" s="212" t="s">
        <v>544</v>
      </c>
      <c r="AP262" s="212" t="s">
        <v>545</v>
      </c>
      <c r="AQ262" s="214">
        <v>100.20194000000001</v>
      </c>
      <c r="AR262" s="214" t="b">
        <v>0</v>
      </c>
      <c r="AS262" s="212" t="s">
        <v>534</v>
      </c>
    </row>
    <row r="263" spans="1:45" s="262" customFormat="1" x14ac:dyDescent="0.25">
      <c r="A263" s="245" t="str">
        <f t="shared" si="31"/>
        <v/>
      </c>
      <c r="B263" s="246" t="str">
        <f t="shared" si="24"/>
        <v/>
      </c>
      <c r="C263" s="246" t="str">
        <f>IF(B263="","",VLOOKUP(D263,'Species Data'!B:E,4,FALSE))</f>
        <v/>
      </c>
      <c r="D263" s="246" t="str">
        <f t="shared" ca="1" si="25"/>
        <v/>
      </c>
      <c r="E263" s="246" t="str">
        <f t="shared" ca="1" si="26"/>
        <v/>
      </c>
      <c r="F263" s="246" t="str">
        <f t="shared" ca="1" si="27"/>
        <v/>
      </c>
      <c r="G263" s="246" t="str">
        <f t="shared" ca="1" si="28"/>
        <v/>
      </c>
      <c r="H263" s="204" t="str">
        <f ca="1">IF(G263="","",IF(VLOOKUP(Separator!F263,'Species Data'!D:F,3,FALSE)=0,"X",IF(G263&lt;44.1,2,1)))</f>
        <v/>
      </c>
      <c r="I263" s="204" t="str">
        <f t="shared" ca="1" si="29"/>
        <v/>
      </c>
      <c r="J263" s="247" t="str">
        <f ca="1">IF(I263="","",IF(COUNTIF($D$12:D263,D263)=1,IF(H263=1,I263*H263,IF(H263="X","X",0)),0))</f>
        <v/>
      </c>
      <c r="K263" s="248" t="str">
        <f t="shared" ca="1" si="30"/>
        <v/>
      </c>
      <c r="L263" s="238"/>
      <c r="M263" s="212"/>
      <c r="N263" s="212"/>
      <c r="O263" s="213"/>
      <c r="P263" s="212"/>
      <c r="Q263" s="214"/>
      <c r="R263" s="212"/>
      <c r="S263" s="212"/>
      <c r="T263" s="212"/>
      <c r="U263" s="212"/>
      <c r="V263" s="214"/>
      <c r="W263" s="214"/>
      <c r="X263" s="214"/>
      <c r="Y263" s="214"/>
      <c r="Z263" s="214"/>
      <c r="AA263" s="212"/>
      <c r="AB263" s="212"/>
      <c r="AC263" s="212"/>
      <c r="AD263" s="214">
        <v>1.0515829999999999</v>
      </c>
      <c r="AE263" s="214">
        <v>2011</v>
      </c>
      <c r="AF263" s="214">
        <v>22.475000000000001</v>
      </c>
      <c r="AG263" s="214">
        <v>-99</v>
      </c>
      <c r="AH263" s="212" t="s">
        <v>224</v>
      </c>
      <c r="AI263" s="212" t="s">
        <v>449</v>
      </c>
      <c r="AJ263" s="212" t="s">
        <v>224</v>
      </c>
      <c r="AK263" s="212" t="s">
        <v>531</v>
      </c>
      <c r="AL263" s="212" t="s">
        <v>546</v>
      </c>
      <c r="AM263" s="214" t="b">
        <v>0</v>
      </c>
      <c r="AN263" s="214" t="b">
        <v>0</v>
      </c>
      <c r="AO263" s="212" t="s">
        <v>547</v>
      </c>
      <c r="AP263" s="212" t="s">
        <v>548</v>
      </c>
      <c r="AQ263" s="214">
        <v>113.21160686946486</v>
      </c>
      <c r="AR263" s="214" t="b">
        <v>0</v>
      </c>
      <c r="AS263" s="212" t="s">
        <v>534</v>
      </c>
    </row>
    <row r="264" spans="1:45" s="218" customFormat="1" x14ac:dyDescent="0.25">
      <c r="A264" s="245" t="str">
        <f t="shared" si="31"/>
        <v/>
      </c>
      <c r="B264" s="246" t="str">
        <f t="shared" si="24"/>
        <v/>
      </c>
      <c r="C264" s="246" t="str">
        <f>IF(B264="","",VLOOKUP(D264,'Species Data'!B:E,4,FALSE))</f>
        <v/>
      </c>
      <c r="D264" s="246" t="str">
        <f t="shared" ca="1" si="25"/>
        <v/>
      </c>
      <c r="E264" s="246" t="str">
        <f t="shared" ca="1" si="26"/>
        <v/>
      </c>
      <c r="F264" s="246" t="str">
        <f t="shared" ca="1" si="27"/>
        <v/>
      </c>
      <c r="G264" s="246" t="str">
        <f t="shared" ca="1" si="28"/>
        <v/>
      </c>
      <c r="H264" s="204" t="str">
        <f ca="1">IF(G264="","",IF(VLOOKUP(Separator!F264,'Species Data'!D:F,3,FALSE)=0,"X",IF(G264&lt;44.1,2,1)))</f>
        <v/>
      </c>
      <c r="I264" s="204" t="str">
        <f t="shared" ca="1" si="29"/>
        <v/>
      </c>
      <c r="J264" s="247" t="str">
        <f ca="1">IF(I264="","",IF(COUNTIF($D$12:D264,D264)=1,IF(H264=1,I264*H264,IF(H264="X","X",0)),0))</f>
        <v/>
      </c>
      <c r="K264" s="248" t="str">
        <f t="shared" ca="1" si="30"/>
        <v/>
      </c>
      <c r="L264" s="238"/>
      <c r="M264" s="212"/>
      <c r="N264" s="212"/>
      <c r="O264" s="213"/>
      <c r="P264" s="212"/>
      <c r="Q264" s="214"/>
      <c r="R264" s="212"/>
      <c r="S264" s="212"/>
      <c r="T264" s="212"/>
      <c r="U264" s="212"/>
      <c r="V264" s="214"/>
      <c r="W264" s="214"/>
      <c r="X264" s="214"/>
      <c r="Y264" s="214"/>
      <c r="Z264" s="214"/>
      <c r="AA264" s="212"/>
      <c r="AB264" s="212"/>
      <c r="AC264" s="212"/>
      <c r="AD264" s="214">
        <v>1.0515829999999999</v>
      </c>
      <c r="AE264" s="214">
        <v>2018</v>
      </c>
      <c r="AF264" s="214">
        <v>19.777999999999999</v>
      </c>
      <c r="AG264" s="214">
        <v>-99</v>
      </c>
      <c r="AH264" s="212" t="s">
        <v>224</v>
      </c>
      <c r="AI264" s="212" t="s">
        <v>449</v>
      </c>
      <c r="AJ264" s="212" t="s">
        <v>224</v>
      </c>
      <c r="AK264" s="212" t="s">
        <v>531</v>
      </c>
      <c r="AL264" s="212" t="s">
        <v>464</v>
      </c>
      <c r="AM264" s="214" t="b">
        <v>0</v>
      </c>
      <c r="AN264" s="214" t="b">
        <v>0</v>
      </c>
      <c r="AO264" s="212" t="s">
        <v>549</v>
      </c>
      <c r="AP264" s="212" t="s">
        <v>550</v>
      </c>
      <c r="AQ264" s="214">
        <v>127.23917598649743</v>
      </c>
      <c r="AR264" s="214" t="b">
        <v>0</v>
      </c>
      <c r="AS264" s="212" t="s">
        <v>534</v>
      </c>
    </row>
    <row r="265" spans="1:45" s="218" customFormat="1" x14ac:dyDescent="0.25">
      <c r="A265" s="245" t="str">
        <f t="shared" si="31"/>
        <v/>
      </c>
      <c r="B265" s="246" t="str">
        <f t="shared" si="24"/>
        <v/>
      </c>
      <c r="C265" s="246" t="str">
        <f>IF(B265="","",VLOOKUP(D265,'Species Data'!B:E,4,FALSE))</f>
        <v/>
      </c>
      <c r="D265" s="246" t="str">
        <f t="shared" ca="1" si="25"/>
        <v/>
      </c>
      <c r="E265" s="246" t="str">
        <f t="shared" ca="1" si="26"/>
        <v/>
      </c>
      <c r="F265" s="246" t="str">
        <f t="shared" ca="1" si="27"/>
        <v/>
      </c>
      <c r="G265" s="246" t="str">
        <f t="shared" ca="1" si="28"/>
        <v/>
      </c>
      <c r="H265" s="204" t="str">
        <f ca="1">IF(G265="","",IF(VLOOKUP(Separator!F265,'Species Data'!D:F,3,FALSE)=0,"X",IF(G265&lt;44.1,2,1)))</f>
        <v/>
      </c>
      <c r="I265" s="204" t="str">
        <f t="shared" ca="1" si="29"/>
        <v/>
      </c>
      <c r="J265" s="247" t="str">
        <f ca="1">IF(I265="","",IF(COUNTIF($D$12:D265,D265)=1,IF(H265=1,I265*H265,IF(H265="X","X",0)),0))</f>
        <v/>
      </c>
      <c r="K265" s="248" t="str">
        <f t="shared" ca="1" si="30"/>
        <v/>
      </c>
      <c r="L265" s="239"/>
      <c r="M265" s="215"/>
      <c r="N265" s="215"/>
      <c r="O265" s="216"/>
      <c r="P265" s="215"/>
      <c r="Q265" s="217"/>
      <c r="R265" s="215"/>
      <c r="S265" s="215"/>
      <c r="T265" s="215"/>
      <c r="U265" s="215"/>
      <c r="V265" s="217"/>
      <c r="W265" s="217"/>
      <c r="X265" s="217"/>
      <c r="Y265" s="217"/>
      <c r="Z265" s="217"/>
      <c r="AA265" s="215"/>
      <c r="AB265" s="215"/>
      <c r="AC265" s="215"/>
      <c r="AD265" s="217">
        <v>2.3802949999999998</v>
      </c>
      <c r="AE265" s="217">
        <v>30</v>
      </c>
      <c r="AF265" s="217">
        <v>4.7999999999999996E-3</v>
      </c>
      <c r="AG265" s="217">
        <v>-99</v>
      </c>
      <c r="AH265" s="215" t="s">
        <v>224</v>
      </c>
      <c r="AI265" s="215" t="s">
        <v>449</v>
      </c>
      <c r="AJ265" s="215" t="s">
        <v>359</v>
      </c>
      <c r="AK265" s="215" t="s">
        <v>531</v>
      </c>
      <c r="AL265" s="215" t="s">
        <v>531</v>
      </c>
      <c r="AM265" s="217" t="b">
        <v>1</v>
      </c>
      <c r="AN265" s="217" t="b">
        <v>0</v>
      </c>
      <c r="AO265" s="215" t="s">
        <v>360</v>
      </c>
      <c r="AP265" s="215" t="s">
        <v>361</v>
      </c>
      <c r="AQ265" s="217">
        <v>120.19158</v>
      </c>
      <c r="AR265" s="217" t="b">
        <v>0</v>
      </c>
      <c r="AS265" s="215" t="s">
        <v>534</v>
      </c>
    </row>
    <row r="266" spans="1:45" s="218" customFormat="1" x14ac:dyDescent="0.25">
      <c r="A266" s="245" t="str">
        <f t="shared" si="31"/>
        <v/>
      </c>
      <c r="B266" s="246" t="str">
        <f t="shared" si="24"/>
        <v/>
      </c>
      <c r="C266" s="246" t="str">
        <f>IF(B266="","",VLOOKUP(D266,'Species Data'!B:E,4,FALSE))</f>
        <v/>
      </c>
      <c r="D266" s="246" t="str">
        <f t="shared" ca="1" si="25"/>
        <v/>
      </c>
      <c r="E266" s="246" t="str">
        <f t="shared" ca="1" si="26"/>
        <v/>
      </c>
      <c r="F266" s="246" t="str">
        <f t="shared" ca="1" si="27"/>
        <v/>
      </c>
      <c r="G266" s="246" t="str">
        <f t="shared" ca="1" si="28"/>
        <v/>
      </c>
      <c r="H266" s="204" t="str">
        <f ca="1">IF(G266="","",IF(VLOOKUP(Separator!F266,'Species Data'!D:F,3,FALSE)=0,"X",IF(G266&lt;44.1,2,1)))</f>
        <v/>
      </c>
      <c r="I266" s="204" t="str">
        <f t="shared" ca="1" si="29"/>
        <v/>
      </c>
      <c r="J266" s="247" t="str">
        <f ca="1">IF(I266="","",IF(COUNTIF($D$12:D266,D266)=1,IF(H266=1,I266*H266,IF(H266="X","X",0)),0))</f>
        <v/>
      </c>
      <c r="K266" s="248" t="str">
        <f t="shared" ca="1" si="30"/>
        <v/>
      </c>
      <c r="L266" s="239"/>
      <c r="M266" s="215"/>
      <c r="N266" s="215"/>
      <c r="O266" s="216"/>
      <c r="P266" s="215"/>
      <c r="Q266" s="217"/>
      <c r="R266" s="215"/>
      <c r="S266" s="215"/>
      <c r="T266" s="215"/>
      <c r="U266" s="215"/>
      <c r="V266" s="217"/>
      <c r="W266" s="217"/>
      <c r="X266" s="217"/>
      <c r="Y266" s="217"/>
      <c r="Z266" s="217"/>
      <c r="AA266" s="215"/>
      <c r="AB266" s="215"/>
      <c r="AC266" s="215"/>
      <c r="AD266" s="217">
        <v>2.3802949999999998</v>
      </c>
      <c r="AE266" s="217">
        <v>44</v>
      </c>
      <c r="AF266" s="217">
        <v>5.7000000000000002E-3</v>
      </c>
      <c r="AG266" s="217">
        <v>-99</v>
      </c>
      <c r="AH266" s="215" t="s">
        <v>224</v>
      </c>
      <c r="AI266" s="215" t="s">
        <v>449</v>
      </c>
      <c r="AJ266" s="215" t="s">
        <v>400</v>
      </c>
      <c r="AK266" s="215" t="s">
        <v>531</v>
      </c>
      <c r="AL266" s="215" t="s">
        <v>401</v>
      </c>
      <c r="AM266" s="217" t="b">
        <v>1</v>
      </c>
      <c r="AN266" s="217" t="b">
        <v>0</v>
      </c>
      <c r="AO266" s="215" t="s">
        <v>402</v>
      </c>
      <c r="AP266" s="215" t="s">
        <v>403</v>
      </c>
      <c r="AQ266" s="217">
        <v>120.19158</v>
      </c>
      <c r="AR266" s="217" t="b">
        <v>0</v>
      </c>
      <c r="AS266" s="215" t="s">
        <v>534</v>
      </c>
    </row>
    <row r="267" spans="1:45" s="218" customFormat="1" x14ac:dyDescent="0.25">
      <c r="A267" s="245" t="str">
        <f t="shared" si="31"/>
        <v/>
      </c>
      <c r="B267" s="246" t="str">
        <f t="shared" si="24"/>
        <v/>
      </c>
      <c r="C267" s="246" t="str">
        <f>IF(B267="","",VLOOKUP(D267,'Species Data'!B:E,4,FALSE))</f>
        <v/>
      </c>
      <c r="D267" s="246" t="str">
        <f t="shared" ca="1" si="25"/>
        <v/>
      </c>
      <c r="E267" s="246" t="str">
        <f t="shared" ca="1" si="26"/>
        <v/>
      </c>
      <c r="F267" s="246" t="str">
        <f t="shared" ca="1" si="27"/>
        <v/>
      </c>
      <c r="G267" s="246" t="str">
        <f t="shared" ca="1" si="28"/>
        <v/>
      </c>
      <c r="H267" s="204" t="str">
        <f ca="1">IF(G267="","",IF(VLOOKUP(Separator!F267,'Species Data'!D:F,3,FALSE)=0,"X",IF(G267&lt;44.1,2,1)))</f>
        <v/>
      </c>
      <c r="I267" s="204" t="str">
        <f t="shared" ca="1" si="29"/>
        <v/>
      </c>
      <c r="J267" s="247" t="str">
        <f ca="1">IF(I267="","",IF(COUNTIF($D$12:D267,D267)=1,IF(H267=1,I267*H267,IF(H267="X","X",0)),0))</f>
        <v/>
      </c>
      <c r="K267" s="248" t="str">
        <f t="shared" ca="1" si="30"/>
        <v/>
      </c>
      <c r="L267" s="239"/>
      <c r="M267" s="215"/>
      <c r="N267" s="215"/>
      <c r="O267" s="216"/>
      <c r="P267" s="215"/>
      <c r="Q267" s="217"/>
      <c r="R267" s="215"/>
      <c r="S267" s="215"/>
      <c r="T267" s="215"/>
      <c r="U267" s="215"/>
      <c r="V267" s="217"/>
      <c r="W267" s="217"/>
      <c r="X267" s="217"/>
      <c r="Y267" s="217"/>
      <c r="Z267" s="217"/>
      <c r="AA267" s="215"/>
      <c r="AB267" s="215"/>
      <c r="AC267" s="215"/>
      <c r="AD267" s="217">
        <v>2.3802949999999998</v>
      </c>
      <c r="AE267" s="217">
        <v>59</v>
      </c>
      <c r="AF267" s="217">
        <v>4.1999999999999997E-3</v>
      </c>
      <c r="AG267" s="217">
        <v>-99</v>
      </c>
      <c r="AH267" s="215" t="s">
        <v>224</v>
      </c>
      <c r="AI267" s="215" t="s">
        <v>449</v>
      </c>
      <c r="AJ267" s="215" t="s">
        <v>638</v>
      </c>
      <c r="AK267" s="215" t="s">
        <v>531</v>
      </c>
      <c r="AL267" s="215" t="s">
        <v>639</v>
      </c>
      <c r="AM267" s="217" t="b">
        <v>1</v>
      </c>
      <c r="AN267" s="217" t="b">
        <v>0</v>
      </c>
      <c r="AO267" s="215" t="s">
        <v>640</v>
      </c>
      <c r="AP267" s="215" t="s">
        <v>641</v>
      </c>
      <c r="AQ267" s="217">
        <v>134.21816000000001</v>
      </c>
      <c r="AR267" s="217" t="b">
        <v>0</v>
      </c>
      <c r="AS267" s="215" t="s">
        <v>534</v>
      </c>
    </row>
    <row r="268" spans="1:45" s="218" customFormat="1" x14ac:dyDescent="0.25">
      <c r="A268" s="245" t="str">
        <f t="shared" si="31"/>
        <v/>
      </c>
      <c r="B268" s="246" t="str">
        <f t="shared" ref="B268:B331" si="32">IF(ROW(A268)-(ROW($A$12))&lt;$B$10,$B$9,"")</f>
        <v/>
      </c>
      <c r="C268" s="246" t="str">
        <f>IF(B268="","",VLOOKUP(D268,'Species Data'!B:E,4,FALSE))</f>
        <v/>
      </c>
      <c r="D268" s="246" t="str">
        <f t="shared" ca="1" si="25"/>
        <v/>
      </c>
      <c r="E268" s="246" t="str">
        <f t="shared" ca="1" si="26"/>
        <v/>
      </c>
      <c r="F268" s="246" t="str">
        <f t="shared" ca="1" si="27"/>
        <v/>
      </c>
      <c r="G268" s="246" t="str">
        <f t="shared" ca="1" si="28"/>
        <v/>
      </c>
      <c r="H268" s="204" t="str">
        <f ca="1">IF(G268="","",IF(VLOOKUP(Separator!F268,'Species Data'!D:F,3,FALSE)=0,"X",IF(G268&lt;44.1,2,1)))</f>
        <v/>
      </c>
      <c r="I268" s="204" t="str">
        <f t="shared" ca="1" si="29"/>
        <v/>
      </c>
      <c r="J268" s="247" t="str">
        <f ca="1">IF(I268="","",IF(COUNTIF($D$12:D268,D268)=1,IF(H268=1,I268*H268,IF(H268="X","X",0)),0))</f>
        <v/>
      </c>
      <c r="K268" s="248" t="str">
        <f t="shared" ca="1" si="30"/>
        <v/>
      </c>
      <c r="L268" s="239"/>
      <c r="M268" s="215"/>
      <c r="N268" s="215"/>
      <c r="O268" s="216"/>
      <c r="P268" s="215"/>
      <c r="Q268" s="217"/>
      <c r="R268" s="215"/>
      <c r="S268" s="215"/>
      <c r="T268" s="215"/>
      <c r="U268" s="215"/>
      <c r="V268" s="217"/>
      <c r="W268" s="217"/>
      <c r="X268" s="217"/>
      <c r="Y268" s="217"/>
      <c r="Z268" s="217"/>
      <c r="AA268" s="215"/>
      <c r="AB268" s="215"/>
      <c r="AC268" s="215"/>
      <c r="AD268" s="217">
        <v>2.3802949999999998</v>
      </c>
      <c r="AE268" s="217">
        <v>80</v>
      </c>
      <c r="AF268" s="217">
        <v>2.5999999999999999E-3</v>
      </c>
      <c r="AG268" s="217">
        <v>-99</v>
      </c>
      <c r="AH268" s="215" t="s">
        <v>224</v>
      </c>
      <c r="AI268" s="215" t="s">
        <v>449</v>
      </c>
      <c r="AJ268" s="215" t="s">
        <v>408</v>
      </c>
      <c r="AK268" s="215" t="s">
        <v>531</v>
      </c>
      <c r="AL268" s="215" t="s">
        <v>450</v>
      </c>
      <c r="AM268" s="217" t="b">
        <v>1</v>
      </c>
      <c r="AN268" s="217" t="b">
        <v>0</v>
      </c>
      <c r="AO268" s="215" t="s">
        <v>409</v>
      </c>
      <c r="AP268" s="215" t="s">
        <v>410</v>
      </c>
      <c r="AQ268" s="217">
        <v>120.19158</v>
      </c>
      <c r="AR268" s="217" t="b">
        <v>0</v>
      </c>
      <c r="AS268" s="215" t="s">
        <v>534</v>
      </c>
    </row>
    <row r="269" spans="1:45" s="218" customFormat="1" x14ac:dyDescent="0.25">
      <c r="A269" s="245" t="str">
        <f t="shared" si="31"/>
        <v/>
      </c>
      <c r="B269" s="246" t="str">
        <f t="shared" si="32"/>
        <v/>
      </c>
      <c r="C269" s="246" t="str">
        <f>IF(B269="","",VLOOKUP(D269,'Species Data'!B:E,4,FALSE))</f>
        <v/>
      </c>
      <c r="D269" s="246" t="str">
        <f t="shared" ref="D269:D332" ca="1" si="33">IF(B269="","",INDIRECT("AE"&amp;$A269))</f>
        <v/>
      </c>
      <c r="E269" s="246" t="str">
        <f t="shared" ref="E269:E332" ca="1" si="34">IF(D269="","",INDIRECT("AF"&amp;$A269))</f>
        <v/>
      </c>
      <c r="F269" s="246" t="str">
        <f t="shared" ref="F269:F332" ca="1" si="35">IF(E269="","",INDIRECT("AO"&amp;$A269))</f>
        <v/>
      </c>
      <c r="G269" s="246" t="str">
        <f t="shared" ref="G269:G332" ca="1" si="36">IF(F269="","",INDIRECT("AQ"&amp;$A269))</f>
        <v/>
      </c>
      <c r="H269" s="204" t="str">
        <f ca="1">IF(G269="","",IF(VLOOKUP(Separator!F269,'Species Data'!D:F,3,FALSE)=0,"X",IF(G269&lt;44.1,2,1)))</f>
        <v/>
      </c>
      <c r="I269" s="204" t="str">
        <f t="shared" ref="I269:I332" ca="1" si="37">IF(H269="","",SUMIF(D:D,D269,E:E)/($E$9/100))</f>
        <v/>
      </c>
      <c r="J269" s="247" t="str">
        <f ca="1">IF(I269="","",IF(COUNTIF($D$12:D269,D269)=1,IF(H269=1,I269*H269,IF(H269="X","X",0)),0))</f>
        <v/>
      </c>
      <c r="K269" s="248" t="str">
        <f t="shared" ref="K269:K332" ca="1" si="38">IF(J269="","",IF(J269="X",0,J269/$J$9*100))</f>
        <v/>
      </c>
      <c r="L269" s="239"/>
      <c r="M269" s="215"/>
      <c r="N269" s="215"/>
      <c r="O269" s="216"/>
      <c r="P269" s="215"/>
      <c r="Q269" s="217"/>
      <c r="R269" s="215"/>
      <c r="S269" s="215"/>
      <c r="T269" s="215"/>
      <c r="U269" s="215"/>
      <c r="V269" s="217"/>
      <c r="W269" s="217"/>
      <c r="X269" s="217"/>
      <c r="Y269" s="217"/>
      <c r="Z269" s="217"/>
      <c r="AA269" s="215"/>
      <c r="AB269" s="215"/>
      <c r="AC269" s="215"/>
      <c r="AD269" s="217">
        <v>2.3802949999999998</v>
      </c>
      <c r="AE269" s="217">
        <v>89</v>
      </c>
      <c r="AF269" s="217">
        <v>7.1999999999999998E-3</v>
      </c>
      <c r="AG269" s="217">
        <v>-99</v>
      </c>
      <c r="AH269" s="215" t="s">
        <v>224</v>
      </c>
      <c r="AI269" s="215" t="s">
        <v>449</v>
      </c>
      <c r="AJ269" s="215" t="s">
        <v>411</v>
      </c>
      <c r="AK269" s="215" t="s">
        <v>531</v>
      </c>
      <c r="AL269" s="215" t="s">
        <v>451</v>
      </c>
      <c r="AM269" s="217" t="b">
        <v>1</v>
      </c>
      <c r="AN269" s="217" t="b">
        <v>0</v>
      </c>
      <c r="AO269" s="215" t="s">
        <v>412</v>
      </c>
      <c r="AP269" s="215" t="s">
        <v>413</v>
      </c>
      <c r="AQ269" s="217">
        <v>120.19158</v>
      </c>
      <c r="AR269" s="217" t="b">
        <v>0</v>
      </c>
      <c r="AS269" s="215" t="s">
        <v>534</v>
      </c>
    </row>
    <row r="270" spans="1:45" s="218" customFormat="1" x14ac:dyDescent="0.25">
      <c r="A270" s="245" t="str">
        <f t="shared" ref="A270:A333" si="39">IF(B270="","",A269+1)</f>
        <v/>
      </c>
      <c r="B270" s="246" t="str">
        <f t="shared" si="32"/>
        <v/>
      </c>
      <c r="C270" s="246" t="str">
        <f>IF(B270="","",VLOOKUP(D270,'Species Data'!B:E,4,FALSE))</f>
        <v/>
      </c>
      <c r="D270" s="246" t="str">
        <f t="shared" ca="1" si="33"/>
        <v/>
      </c>
      <c r="E270" s="246" t="str">
        <f t="shared" ca="1" si="34"/>
        <v/>
      </c>
      <c r="F270" s="246" t="str">
        <f t="shared" ca="1" si="35"/>
        <v/>
      </c>
      <c r="G270" s="246" t="str">
        <f t="shared" ca="1" si="36"/>
        <v/>
      </c>
      <c r="H270" s="204" t="str">
        <f ca="1">IF(G270="","",IF(VLOOKUP(Separator!F270,'Species Data'!D:F,3,FALSE)=0,"X",IF(G270&lt;44.1,2,1)))</f>
        <v/>
      </c>
      <c r="I270" s="204" t="str">
        <f t="shared" ca="1" si="37"/>
        <v/>
      </c>
      <c r="J270" s="247" t="str">
        <f ca="1">IF(I270="","",IF(COUNTIF($D$12:D270,D270)=1,IF(H270=1,I270*H270,IF(H270="X","X",0)),0))</f>
        <v/>
      </c>
      <c r="K270" s="248" t="str">
        <f t="shared" ca="1" si="38"/>
        <v/>
      </c>
      <c r="L270" s="239"/>
      <c r="M270" s="215"/>
      <c r="N270" s="215"/>
      <c r="O270" s="216"/>
      <c r="P270" s="215"/>
      <c r="Q270" s="217"/>
      <c r="R270" s="215"/>
      <c r="S270" s="215"/>
      <c r="T270" s="215"/>
      <c r="U270" s="215"/>
      <c r="V270" s="217"/>
      <c r="W270" s="217"/>
      <c r="X270" s="217"/>
      <c r="Y270" s="217"/>
      <c r="Z270" s="217"/>
      <c r="AA270" s="215"/>
      <c r="AB270" s="215"/>
      <c r="AC270" s="215"/>
      <c r="AD270" s="217">
        <v>2.3802949999999998</v>
      </c>
      <c r="AE270" s="217">
        <v>122</v>
      </c>
      <c r="AF270" s="217">
        <v>4.3799999999999999E-2</v>
      </c>
      <c r="AG270" s="217">
        <v>-99</v>
      </c>
      <c r="AH270" s="215" t="s">
        <v>224</v>
      </c>
      <c r="AI270" s="215" t="s">
        <v>449</v>
      </c>
      <c r="AJ270" s="215" t="s">
        <v>301</v>
      </c>
      <c r="AK270" s="215" t="s">
        <v>531</v>
      </c>
      <c r="AL270" s="215" t="s">
        <v>384</v>
      </c>
      <c r="AM270" s="217" t="b">
        <v>1</v>
      </c>
      <c r="AN270" s="217" t="b">
        <v>0</v>
      </c>
      <c r="AO270" s="215" t="s">
        <v>302</v>
      </c>
      <c r="AP270" s="215" t="s">
        <v>303</v>
      </c>
      <c r="AQ270" s="217">
        <v>86.175359999999998</v>
      </c>
      <c r="AR270" s="217" t="b">
        <v>0</v>
      </c>
      <c r="AS270" s="215" t="s">
        <v>534</v>
      </c>
    </row>
    <row r="271" spans="1:45" s="218" customFormat="1" x14ac:dyDescent="0.25">
      <c r="A271" s="245" t="str">
        <f t="shared" si="39"/>
        <v/>
      </c>
      <c r="B271" s="246" t="str">
        <f t="shared" si="32"/>
        <v/>
      </c>
      <c r="C271" s="246" t="str">
        <f>IF(B271="","",VLOOKUP(D271,'Species Data'!B:E,4,FALSE))</f>
        <v/>
      </c>
      <c r="D271" s="246" t="str">
        <f t="shared" ca="1" si="33"/>
        <v/>
      </c>
      <c r="E271" s="246" t="str">
        <f t="shared" ca="1" si="34"/>
        <v/>
      </c>
      <c r="F271" s="246" t="str">
        <f t="shared" ca="1" si="35"/>
        <v/>
      </c>
      <c r="G271" s="246" t="str">
        <f t="shared" ca="1" si="36"/>
        <v/>
      </c>
      <c r="H271" s="204" t="str">
        <f ca="1">IF(G271="","",IF(VLOOKUP(Separator!F271,'Species Data'!D:F,3,FALSE)=0,"X",IF(G271&lt;44.1,2,1)))</f>
        <v/>
      </c>
      <c r="I271" s="204" t="str">
        <f t="shared" ca="1" si="37"/>
        <v/>
      </c>
      <c r="J271" s="247" t="str">
        <f ca="1">IF(I271="","",IF(COUNTIF($D$12:D271,D271)=1,IF(H271=1,I271*H271,IF(H271="X","X",0)),0))</f>
        <v/>
      </c>
      <c r="K271" s="248" t="str">
        <f t="shared" ca="1" si="38"/>
        <v/>
      </c>
      <c r="L271" s="239"/>
      <c r="M271" s="215"/>
      <c r="N271" s="215"/>
      <c r="O271" s="216"/>
      <c r="P271" s="215"/>
      <c r="Q271" s="217"/>
      <c r="R271" s="215"/>
      <c r="S271" s="215"/>
      <c r="T271" s="215"/>
      <c r="U271" s="215"/>
      <c r="V271" s="217"/>
      <c r="W271" s="217"/>
      <c r="X271" s="217"/>
      <c r="Y271" s="217"/>
      <c r="Z271" s="217"/>
      <c r="AA271" s="215"/>
      <c r="AB271" s="215"/>
      <c r="AC271" s="215"/>
      <c r="AD271" s="217">
        <v>2.3802949999999998</v>
      </c>
      <c r="AE271" s="217">
        <v>127</v>
      </c>
      <c r="AF271" s="217">
        <v>2.0299999999999999E-2</v>
      </c>
      <c r="AG271" s="217">
        <v>-99</v>
      </c>
      <c r="AH271" s="215" t="s">
        <v>224</v>
      </c>
      <c r="AI271" s="215" t="s">
        <v>449</v>
      </c>
      <c r="AJ271" s="215" t="s">
        <v>441</v>
      </c>
      <c r="AK271" s="215" t="s">
        <v>531</v>
      </c>
      <c r="AL271" s="215" t="s">
        <v>462</v>
      </c>
      <c r="AM271" s="217" t="b">
        <v>0</v>
      </c>
      <c r="AN271" s="217" t="b">
        <v>0</v>
      </c>
      <c r="AO271" s="215" t="s">
        <v>442</v>
      </c>
      <c r="AP271" s="215" t="s">
        <v>531</v>
      </c>
      <c r="AQ271" s="217">
        <v>72.148780000000002</v>
      </c>
      <c r="AR271" s="217" t="b">
        <v>0</v>
      </c>
      <c r="AS271" s="215" t="s">
        <v>534</v>
      </c>
    </row>
    <row r="272" spans="1:45" s="218" customFormat="1" x14ac:dyDescent="0.25">
      <c r="A272" s="245" t="str">
        <f t="shared" si="39"/>
        <v/>
      </c>
      <c r="B272" s="246" t="str">
        <f t="shared" si="32"/>
        <v/>
      </c>
      <c r="C272" s="246" t="str">
        <f>IF(B272="","",VLOOKUP(D272,'Species Data'!B:E,4,FALSE))</f>
        <v/>
      </c>
      <c r="D272" s="246" t="str">
        <f t="shared" ca="1" si="33"/>
        <v/>
      </c>
      <c r="E272" s="246" t="str">
        <f t="shared" ca="1" si="34"/>
        <v/>
      </c>
      <c r="F272" s="246" t="str">
        <f t="shared" ca="1" si="35"/>
        <v/>
      </c>
      <c r="G272" s="246" t="str">
        <f t="shared" ca="1" si="36"/>
        <v/>
      </c>
      <c r="H272" s="204" t="str">
        <f ca="1">IF(G272="","",IF(VLOOKUP(Separator!F272,'Species Data'!D:F,3,FALSE)=0,"X",IF(G272&lt;44.1,2,1)))</f>
        <v/>
      </c>
      <c r="I272" s="204" t="str">
        <f t="shared" ca="1" si="37"/>
        <v/>
      </c>
      <c r="J272" s="247" t="str">
        <f ca="1">IF(I272="","",IF(COUNTIF($D$12:D272,D272)=1,IF(H272=1,I272*H272,IF(H272="X","X",0)),0))</f>
        <v/>
      </c>
      <c r="K272" s="248" t="str">
        <f t="shared" ca="1" si="38"/>
        <v/>
      </c>
      <c r="L272" s="239"/>
      <c r="M272" s="215"/>
      <c r="N272" s="215"/>
      <c r="O272" s="216"/>
      <c r="P272" s="215"/>
      <c r="Q272" s="217"/>
      <c r="R272" s="215"/>
      <c r="S272" s="215"/>
      <c r="T272" s="215"/>
      <c r="U272" s="215"/>
      <c r="V272" s="217"/>
      <c r="W272" s="217"/>
      <c r="X272" s="217"/>
      <c r="Y272" s="217"/>
      <c r="Z272" s="217"/>
      <c r="AA272" s="215"/>
      <c r="AB272" s="215"/>
      <c r="AC272" s="215"/>
      <c r="AD272" s="217">
        <v>2.3802949999999998</v>
      </c>
      <c r="AE272" s="217">
        <v>130</v>
      </c>
      <c r="AF272" s="217">
        <v>0.25259999999999999</v>
      </c>
      <c r="AG272" s="217">
        <v>-99</v>
      </c>
      <c r="AH272" s="215" t="s">
        <v>224</v>
      </c>
      <c r="AI272" s="215" t="s">
        <v>449</v>
      </c>
      <c r="AJ272" s="215" t="s">
        <v>404</v>
      </c>
      <c r="AK272" s="215" t="s">
        <v>531</v>
      </c>
      <c r="AL272" s="215" t="s">
        <v>405</v>
      </c>
      <c r="AM272" s="217" t="b">
        <v>1</v>
      </c>
      <c r="AN272" s="217" t="b">
        <v>0</v>
      </c>
      <c r="AO272" s="215" t="s">
        <v>406</v>
      </c>
      <c r="AP272" s="215" t="s">
        <v>407</v>
      </c>
      <c r="AQ272" s="217">
        <v>114.22852</v>
      </c>
      <c r="AR272" s="217" t="b">
        <v>0</v>
      </c>
      <c r="AS272" s="215" t="s">
        <v>534</v>
      </c>
    </row>
    <row r="273" spans="1:45" s="218" customFormat="1" x14ac:dyDescent="0.25">
      <c r="A273" s="245" t="str">
        <f t="shared" si="39"/>
        <v/>
      </c>
      <c r="B273" s="246" t="str">
        <f t="shared" si="32"/>
        <v/>
      </c>
      <c r="C273" s="246" t="str">
        <f>IF(B273="","",VLOOKUP(D273,'Species Data'!B:E,4,FALSE))</f>
        <v/>
      </c>
      <c r="D273" s="246" t="str">
        <f t="shared" ca="1" si="33"/>
        <v/>
      </c>
      <c r="E273" s="246" t="str">
        <f t="shared" ca="1" si="34"/>
        <v/>
      </c>
      <c r="F273" s="246" t="str">
        <f t="shared" ca="1" si="35"/>
        <v/>
      </c>
      <c r="G273" s="246" t="str">
        <f t="shared" ca="1" si="36"/>
        <v/>
      </c>
      <c r="H273" s="204" t="str">
        <f ca="1">IF(G273="","",IF(VLOOKUP(Separator!F273,'Species Data'!D:F,3,FALSE)=0,"X",IF(G273&lt;44.1,2,1)))</f>
        <v/>
      </c>
      <c r="I273" s="204" t="str">
        <f t="shared" ca="1" si="37"/>
        <v/>
      </c>
      <c r="J273" s="247" t="str">
        <f ca="1">IF(I273="","",IF(COUNTIF($D$12:D273,D273)=1,IF(H273=1,I273*H273,IF(H273="X","X",0)),0))</f>
        <v/>
      </c>
      <c r="K273" s="248" t="str">
        <f t="shared" ca="1" si="38"/>
        <v/>
      </c>
      <c r="L273" s="239"/>
      <c r="M273" s="215"/>
      <c r="N273" s="215"/>
      <c r="O273" s="216"/>
      <c r="P273" s="215"/>
      <c r="Q273" s="217"/>
      <c r="R273" s="215"/>
      <c r="S273" s="215"/>
      <c r="T273" s="215"/>
      <c r="U273" s="215"/>
      <c r="V273" s="217"/>
      <c r="W273" s="217"/>
      <c r="X273" s="217"/>
      <c r="Y273" s="217"/>
      <c r="Z273" s="217"/>
      <c r="AA273" s="215"/>
      <c r="AB273" s="215"/>
      <c r="AC273" s="215"/>
      <c r="AD273" s="217">
        <v>2.3802949999999998</v>
      </c>
      <c r="AE273" s="217">
        <v>136</v>
      </c>
      <c r="AF273" s="217">
        <v>0.1474</v>
      </c>
      <c r="AG273" s="217">
        <v>-99</v>
      </c>
      <c r="AH273" s="215" t="s">
        <v>224</v>
      </c>
      <c r="AI273" s="215" t="s">
        <v>449</v>
      </c>
      <c r="AJ273" s="215" t="s">
        <v>304</v>
      </c>
      <c r="AK273" s="215" t="s">
        <v>531</v>
      </c>
      <c r="AL273" s="215" t="s">
        <v>620</v>
      </c>
      <c r="AM273" s="217" t="b">
        <v>1</v>
      </c>
      <c r="AN273" s="217" t="b">
        <v>0</v>
      </c>
      <c r="AO273" s="215" t="s">
        <v>305</v>
      </c>
      <c r="AP273" s="215" t="s">
        <v>306</v>
      </c>
      <c r="AQ273" s="217">
        <v>86.175359999999998</v>
      </c>
      <c r="AR273" s="217" t="b">
        <v>0</v>
      </c>
      <c r="AS273" s="215" t="s">
        <v>534</v>
      </c>
    </row>
    <row r="274" spans="1:45" s="218" customFormat="1" x14ac:dyDescent="0.25">
      <c r="A274" s="245" t="str">
        <f t="shared" si="39"/>
        <v/>
      </c>
      <c r="B274" s="246" t="str">
        <f t="shared" si="32"/>
        <v/>
      </c>
      <c r="C274" s="246" t="str">
        <f>IF(B274="","",VLOOKUP(D274,'Species Data'!B:E,4,FALSE))</f>
        <v/>
      </c>
      <c r="D274" s="246" t="str">
        <f t="shared" ca="1" si="33"/>
        <v/>
      </c>
      <c r="E274" s="246" t="str">
        <f t="shared" ca="1" si="34"/>
        <v/>
      </c>
      <c r="F274" s="246" t="str">
        <f t="shared" ca="1" si="35"/>
        <v/>
      </c>
      <c r="G274" s="246" t="str">
        <f t="shared" ca="1" si="36"/>
        <v/>
      </c>
      <c r="H274" s="204" t="str">
        <f ca="1">IF(G274="","",IF(VLOOKUP(Separator!F274,'Species Data'!D:F,3,FALSE)=0,"X",IF(G274&lt;44.1,2,1)))</f>
        <v/>
      </c>
      <c r="I274" s="204" t="str">
        <f t="shared" ca="1" si="37"/>
        <v/>
      </c>
      <c r="J274" s="247" t="str">
        <f ca="1">IF(I274="","",IF(COUNTIF($D$12:D274,D274)=1,IF(H274=1,I274*H274,IF(H274="X","X",0)),0))</f>
        <v/>
      </c>
      <c r="K274" s="248" t="str">
        <f t="shared" ca="1" si="38"/>
        <v/>
      </c>
      <c r="L274" s="239"/>
      <c r="M274" s="215"/>
      <c r="N274" s="215"/>
      <c r="O274" s="216"/>
      <c r="P274" s="215"/>
      <c r="Q274" s="217"/>
      <c r="R274" s="215"/>
      <c r="S274" s="215"/>
      <c r="T274" s="215"/>
      <c r="U274" s="215"/>
      <c r="V274" s="217"/>
      <c r="W274" s="217"/>
      <c r="X274" s="217"/>
      <c r="Y274" s="217"/>
      <c r="Z274" s="217"/>
      <c r="AA274" s="215"/>
      <c r="AB274" s="215"/>
      <c r="AC274" s="215"/>
      <c r="AD274" s="217">
        <v>2.3802949999999998</v>
      </c>
      <c r="AE274" s="217">
        <v>138</v>
      </c>
      <c r="AF274" s="217">
        <v>1.7500000000000002E-2</v>
      </c>
      <c r="AG274" s="217">
        <v>-99</v>
      </c>
      <c r="AH274" s="215" t="s">
        <v>224</v>
      </c>
      <c r="AI274" s="215" t="s">
        <v>449</v>
      </c>
      <c r="AJ274" s="215" t="s">
        <v>443</v>
      </c>
      <c r="AK274" s="215" t="s">
        <v>531</v>
      </c>
      <c r="AL274" s="215" t="s">
        <v>463</v>
      </c>
      <c r="AM274" s="217" t="b">
        <v>0</v>
      </c>
      <c r="AN274" s="217" t="b">
        <v>0</v>
      </c>
      <c r="AO274" s="215" t="s">
        <v>444</v>
      </c>
      <c r="AP274" s="215" t="s">
        <v>531</v>
      </c>
      <c r="AQ274" s="217">
        <v>114.22852</v>
      </c>
      <c r="AR274" s="217" t="b">
        <v>0</v>
      </c>
      <c r="AS274" s="215" t="s">
        <v>534</v>
      </c>
    </row>
    <row r="275" spans="1:45" s="218" customFormat="1" x14ac:dyDescent="0.25">
      <c r="A275" s="245" t="str">
        <f t="shared" si="39"/>
        <v/>
      </c>
      <c r="B275" s="246" t="str">
        <f t="shared" si="32"/>
        <v/>
      </c>
      <c r="C275" s="246" t="str">
        <f>IF(B275="","",VLOOKUP(D275,'Species Data'!B:E,4,FALSE))</f>
        <v/>
      </c>
      <c r="D275" s="246" t="str">
        <f t="shared" ca="1" si="33"/>
        <v/>
      </c>
      <c r="E275" s="246" t="str">
        <f t="shared" ca="1" si="34"/>
        <v/>
      </c>
      <c r="F275" s="246" t="str">
        <f t="shared" ca="1" si="35"/>
        <v/>
      </c>
      <c r="G275" s="246" t="str">
        <f t="shared" ca="1" si="36"/>
        <v/>
      </c>
      <c r="H275" s="204" t="str">
        <f ca="1">IF(G275="","",IF(VLOOKUP(Separator!F275,'Species Data'!D:F,3,FALSE)=0,"X",IF(G275&lt;44.1,2,1)))</f>
        <v/>
      </c>
      <c r="I275" s="204" t="str">
        <f t="shared" ca="1" si="37"/>
        <v/>
      </c>
      <c r="J275" s="247" t="str">
        <f ca="1">IF(I275="","",IF(COUNTIF($D$12:D275,D275)=1,IF(H275=1,I275*H275,IF(H275="X","X",0)),0))</f>
        <v/>
      </c>
      <c r="K275" s="248" t="str">
        <f t="shared" ca="1" si="38"/>
        <v/>
      </c>
      <c r="L275" s="239"/>
      <c r="M275" s="215"/>
      <c r="N275" s="215"/>
      <c r="O275" s="216"/>
      <c r="P275" s="215"/>
      <c r="Q275" s="217"/>
      <c r="R275" s="215"/>
      <c r="S275" s="215"/>
      <c r="T275" s="215"/>
      <c r="U275" s="215"/>
      <c r="V275" s="217"/>
      <c r="W275" s="217"/>
      <c r="X275" s="217"/>
      <c r="Y275" s="217"/>
      <c r="Z275" s="217"/>
      <c r="AA275" s="215"/>
      <c r="AB275" s="215"/>
      <c r="AC275" s="215"/>
      <c r="AD275" s="217">
        <v>2.3802949999999998</v>
      </c>
      <c r="AE275" s="217">
        <v>140</v>
      </c>
      <c r="AF275" s="217">
        <v>0.14280000000000001</v>
      </c>
      <c r="AG275" s="217">
        <v>-99</v>
      </c>
      <c r="AH275" s="215" t="s">
        <v>224</v>
      </c>
      <c r="AI275" s="215" t="s">
        <v>449</v>
      </c>
      <c r="AJ275" s="215" t="s">
        <v>307</v>
      </c>
      <c r="AK275" s="215" t="s">
        <v>531</v>
      </c>
      <c r="AL275" s="215" t="s">
        <v>385</v>
      </c>
      <c r="AM275" s="217" t="b">
        <v>1</v>
      </c>
      <c r="AN275" s="217" t="b">
        <v>0</v>
      </c>
      <c r="AO275" s="215" t="s">
        <v>308</v>
      </c>
      <c r="AP275" s="215" t="s">
        <v>309</v>
      </c>
      <c r="AQ275" s="217">
        <v>100.20194000000001</v>
      </c>
      <c r="AR275" s="217" t="b">
        <v>0</v>
      </c>
      <c r="AS275" s="215" t="s">
        <v>534</v>
      </c>
    </row>
    <row r="276" spans="1:45" s="218" customFormat="1" x14ac:dyDescent="0.25">
      <c r="A276" s="245" t="str">
        <f t="shared" si="39"/>
        <v/>
      </c>
      <c r="B276" s="246" t="str">
        <f t="shared" si="32"/>
        <v/>
      </c>
      <c r="C276" s="246" t="str">
        <f>IF(B276="","",VLOOKUP(D276,'Species Data'!B:E,4,FALSE))</f>
        <v/>
      </c>
      <c r="D276" s="246" t="str">
        <f t="shared" ca="1" si="33"/>
        <v/>
      </c>
      <c r="E276" s="246" t="str">
        <f t="shared" ca="1" si="34"/>
        <v/>
      </c>
      <c r="F276" s="246" t="str">
        <f t="shared" ca="1" si="35"/>
        <v/>
      </c>
      <c r="G276" s="246" t="str">
        <f t="shared" ca="1" si="36"/>
        <v/>
      </c>
      <c r="H276" s="204" t="str">
        <f ca="1">IF(G276="","",IF(VLOOKUP(Separator!F276,'Species Data'!D:F,3,FALSE)=0,"X",IF(G276&lt;44.1,2,1)))</f>
        <v/>
      </c>
      <c r="I276" s="204" t="str">
        <f t="shared" ca="1" si="37"/>
        <v/>
      </c>
      <c r="J276" s="247" t="str">
        <f ca="1">IF(I276="","",IF(COUNTIF($D$12:D276,D276)=1,IF(H276=1,I276*H276,IF(H276="X","X",0)),0))</f>
        <v/>
      </c>
      <c r="K276" s="248" t="str">
        <f t="shared" ca="1" si="38"/>
        <v/>
      </c>
      <c r="L276" s="239"/>
      <c r="M276" s="215"/>
      <c r="N276" s="215"/>
      <c r="O276" s="216"/>
      <c r="P276" s="215"/>
      <c r="Q276" s="217"/>
      <c r="R276" s="215"/>
      <c r="S276" s="215"/>
      <c r="T276" s="215"/>
      <c r="U276" s="215"/>
      <c r="V276" s="217"/>
      <c r="W276" s="217"/>
      <c r="X276" s="217"/>
      <c r="Y276" s="217"/>
      <c r="Z276" s="217"/>
      <c r="AA276" s="215"/>
      <c r="AB276" s="215"/>
      <c r="AC276" s="215"/>
      <c r="AD276" s="217">
        <v>2.3802949999999998</v>
      </c>
      <c r="AE276" s="217">
        <v>149</v>
      </c>
      <c r="AF276" s="217">
        <v>0.1227</v>
      </c>
      <c r="AG276" s="217">
        <v>-99</v>
      </c>
      <c r="AH276" s="215" t="s">
        <v>224</v>
      </c>
      <c r="AI276" s="215" t="s">
        <v>449</v>
      </c>
      <c r="AJ276" s="215" t="s">
        <v>427</v>
      </c>
      <c r="AK276" s="215" t="s">
        <v>531</v>
      </c>
      <c r="AL276" s="215" t="s">
        <v>457</v>
      </c>
      <c r="AM276" s="217" t="b">
        <v>0</v>
      </c>
      <c r="AN276" s="217" t="b">
        <v>0</v>
      </c>
      <c r="AO276" s="215" t="s">
        <v>428</v>
      </c>
      <c r="AP276" s="215" t="s">
        <v>429</v>
      </c>
      <c r="AQ276" s="217">
        <v>114.22852</v>
      </c>
      <c r="AR276" s="217" t="b">
        <v>0</v>
      </c>
      <c r="AS276" s="215" t="s">
        <v>534</v>
      </c>
    </row>
    <row r="277" spans="1:45" s="218" customFormat="1" x14ac:dyDescent="0.25">
      <c r="A277" s="245" t="str">
        <f t="shared" si="39"/>
        <v/>
      </c>
      <c r="B277" s="246" t="str">
        <f t="shared" si="32"/>
        <v/>
      </c>
      <c r="C277" s="246" t="str">
        <f>IF(B277="","",VLOOKUP(D277,'Species Data'!B:E,4,FALSE))</f>
        <v/>
      </c>
      <c r="D277" s="246" t="str">
        <f t="shared" ca="1" si="33"/>
        <v/>
      </c>
      <c r="E277" s="246" t="str">
        <f t="shared" ca="1" si="34"/>
        <v/>
      </c>
      <c r="F277" s="246" t="str">
        <f t="shared" ca="1" si="35"/>
        <v/>
      </c>
      <c r="G277" s="246" t="str">
        <f t="shared" ca="1" si="36"/>
        <v/>
      </c>
      <c r="H277" s="204" t="str">
        <f ca="1">IF(G277="","",IF(VLOOKUP(Separator!F277,'Species Data'!D:F,3,FALSE)=0,"X",IF(G277&lt;44.1,2,1)))</f>
        <v/>
      </c>
      <c r="I277" s="204" t="str">
        <f t="shared" ca="1" si="37"/>
        <v/>
      </c>
      <c r="J277" s="247" t="str">
        <f ca="1">IF(I277="","",IF(COUNTIF($D$12:D277,D277)=1,IF(H277=1,I277*H277,IF(H277="X","X",0)),0))</f>
        <v/>
      </c>
      <c r="K277" s="248" t="str">
        <f t="shared" ca="1" si="38"/>
        <v/>
      </c>
      <c r="L277" s="239"/>
      <c r="M277" s="215"/>
      <c r="N277" s="215"/>
      <c r="O277" s="216"/>
      <c r="P277" s="215"/>
      <c r="Q277" s="217"/>
      <c r="R277" s="215"/>
      <c r="S277" s="215"/>
      <c r="T277" s="215"/>
      <c r="U277" s="215"/>
      <c r="V277" s="217"/>
      <c r="W277" s="217"/>
      <c r="X277" s="217"/>
      <c r="Y277" s="217"/>
      <c r="Z277" s="217"/>
      <c r="AA277" s="215"/>
      <c r="AB277" s="215"/>
      <c r="AC277" s="215"/>
      <c r="AD277" s="217">
        <v>2.3802949999999998</v>
      </c>
      <c r="AE277" s="217">
        <v>152</v>
      </c>
      <c r="AF277" s="217">
        <v>4.4200000000000003E-2</v>
      </c>
      <c r="AG277" s="217">
        <v>-99</v>
      </c>
      <c r="AH277" s="215" t="s">
        <v>224</v>
      </c>
      <c r="AI277" s="215" t="s">
        <v>449</v>
      </c>
      <c r="AJ277" s="215" t="s">
        <v>310</v>
      </c>
      <c r="AK277" s="215" t="s">
        <v>531</v>
      </c>
      <c r="AL277" s="215" t="s">
        <v>386</v>
      </c>
      <c r="AM277" s="217" t="b">
        <v>1</v>
      </c>
      <c r="AN277" s="217" t="b">
        <v>0</v>
      </c>
      <c r="AO277" s="215" t="s">
        <v>311</v>
      </c>
      <c r="AP277" s="215" t="s">
        <v>312</v>
      </c>
      <c r="AQ277" s="217">
        <v>100.20194000000001</v>
      </c>
      <c r="AR277" s="217" t="b">
        <v>0</v>
      </c>
      <c r="AS277" s="215" t="s">
        <v>534</v>
      </c>
    </row>
    <row r="278" spans="1:45" s="218" customFormat="1" x14ac:dyDescent="0.25">
      <c r="A278" s="245" t="str">
        <f t="shared" si="39"/>
        <v/>
      </c>
      <c r="B278" s="246" t="str">
        <f t="shared" si="32"/>
        <v/>
      </c>
      <c r="C278" s="246" t="str">
        <f>IF(B278="","",VLOOKUP(D278,'Species Data'!B:E,4,FALSE))</f>
        <v/>
      </c>
      <c r="D278" s="246" t="str">
        <f t="shared" ca="1" si="33"/>
        <v/>
      </c>
      <c r="E278" s="246" t="str">
        <f t="shared" ca="1" si="34"/>
        <v/>
      </c>
      <c r="F278" s="246" t="str">
        <f t="shared" ca="1" si="35"/>
        <v/>
      </c>
      <c r="G278" s="246" t="str">
        <f t="shared" ca="1" si="36"/>
        <v/>
      </c>
      <c r="H278" s="204" t="str">
        <f ca="1">IF(G278="","",IF(VLOOKUP(Separator!F278,'Species Data'!D:F,3,FALSE)=0,"X",IF(G278&lt;44.1,2,1)))</f>
        <v/>
      </c>
      <c r="I278" s="204" t="str">
        <f t="shared" ca="1" si="37"/>
        <v/>
      </c>
      <c r="J278" s="247" t="str">
        <f ca="1">IF(I278="","",IF(COUNTIF($D$12:D278,D278)=1,IF(H278=1,I278*H278,IF(H278="X","X",0)),0))</f>
        <v/>
      </c>
      <c r="K278" s="248" t="str">
        <f t="shared" ca="1" si="38"/>
        <v/>
      </c>
      <c r="L278" s="239"/>
      <c r="M278" s="215"/>
      <c r="N278" s="215"/>
      <c r="O278" s="216"/>
      <c r="P278" s="215"/>
      <c r="Q278" s="217"/>
      <c r="R278" s="215"/>
      <c r="S278" s="215"/>
      <c r="T278" s="215"/>
      <c r="U278" s="215"/>
      <c r="V278" s="217"/>
      <c r="W278" s="217"/>
      <c r="X278" s="217"/>
      <c r="Y278" s="217"/>
      <c r="Z278" s="217"/>
      <c r="AA278" s="215"/>
      <c r="AB278" s="215"/>
      <c r="AC278" s="215"/>
      <c r="AD278" s="217">
        <v>2.3802949999999998</v>
      </c>
      <c r="AE278" s="217">
        <v>193</v>
      </c>
      <c r="AF278" s="217">
        <v>2.3599999999999999E-2</v>
      </c>
      <c r="AG278" s="217">
        <v>-99</v>
      </c>
      <c r="AH278" s="215" t="s">
        <v>224</v>
      </c>
      <c r="AI278" s="215" t="s">
        <v>449</v>
      </c>
      <c r="AJ278" s="215" t="s">
        <v>313</v>
      </c>
      <c r="AK278" s="215" t="s">
        <v>531</v>
      </c>
      <c r="AL278" s="215" t="s">
        <v>387</v>
      </c>
      <c r="AM278" s="217" t="b">
        <v>1</v>
      </c>
      <c r="AN278" s="217" t="b">
        <v>0</v>
      </c>
      <c r="AO278" s="215" t="s">
        <v>314</v>
      </c>
      <c r="AP278" s="215" t="s">
        <v>315</v>
      </c>
      <c r="AQ278" s="217">
        <v>114.22852</v>
      </c>
      <c r="AR278" s="217" t="b">
        <v>0</v>
      </c>
      <c r="AS278" s="215" t="s">
        <v>534</v>
      </c>
    </row>
    <row r="279" spans="1:45" s="218" customFormat="1" x14ac:dyDescent="0.25">
      <c r="A279" s="245" t="str">
        <f t="shared" si="39"/>
        <v/>
      </c>
      <c r="B279" s="246" t="str">
        <f t="shared" si="32"/>
        <v/>
      </c>
      <c r="C279" s="246" t="str">
        <f>IF(B279="","",VLOOKUP(D279,'Species Data'!B:E,4,FALSE))</f>
        <v/>
      </c>
      <c r="D279" s="246" t="str">
        <f t="shared" ca="1" si="33"/>
        <v/>
      </c>
      <c r="E279" s="246" t="str">
        <f t="shared" ca="1" si="34"/>
        <v/>
      </c>
      <c r="F279" s="246" t="str">
        <f t="shared" ca="1" si="35"/>
        <v/>
      </c>
      <c r="G279" s="246" t="str">
        <f t="shared" ca="1" si="36"/>
        <v/>
      </c>
      <c r="H279" s="204" t="str">
        <f ca="1">IF(G279="","",IF(VLOOKUP(Separator!F279,'Species Data'!D:F,3,FALSE)=0,"X",IF(G279&lt;44.1,2,1)))</f>
        <v/>
      </c>
      <c r="I279" s="204" t="str">
        <f t="shared" ca="1" si="37"/>
        <v/>
      </c>
      <c r="J279" s="247" t="str">
        <f ca="1">IF(I279="","",IF(COUNTIF($D$12:D279,D279)=1,IF(H279=1,I279*H279,IF(H279="X","X",0)),0))</f>
        <v/>
      </c>
      <c r="K279" s="248" t="str">
        <f t="shared" ca="1" si="38"/>
        <v/>
      </c>
      <c r="L279" s="239"/>
      <c r="M279" s="215"/>
      <c r="N279" s="215"/>
      <c r="O279" s="216"/>
      <c r="P279" s="215"/>
      <c r="Q279" s="217"/>
      <c r="R279" s="215"/>
      <c r="S279" s="215"/>
      <c r="T279" s="215"/>
      <c r="U279" s="215"/>
      <c r="V279" s="217"/>
      <c r="W279" s="217"/>
      <c r="X279" s="217"/>
      <c r="Y279" s="217"/>
      <c r="Z279" s="217"/>
      <c r="AA279" s="215"/>
      <c r="AB279" s="215"/>
      <c r="AC279" s="215"/>
      <c r="AD279" s="217">
        <v>2.3802949999999998</v>
      </c>
      <c r="AE279" s="217">
        <v>194</v>
      </c>
      <c r="AF279" s="217">
        <v>0.1767</v>
      </c>
      <c r="AG279" s="217">
        <v>-99</v>
      </c>
      <c r="AH279" s="215" t="s">
        <v>224</v>
      </c>
      <c r="AI279" s="215" t="s">
        <v>449</v>
      </c>
      <c r="AJ279" s="215" t="s">
        <v>316</v>
      </c>
      <c r="AK279" s="215" t="s">
        <v>531</v>
      </c>
      <c r="AL279" s="215" t="s">
        <v>388</v>
      </c>
      <c r="AM279" s="217" t="b">
        <v>1</v>
      </c>
      <c r="AN279" s="217" t="b">
        <v>0</v>
      </c>
      <c r="AO279" s="215" t="s">
        <v>317</v>
      </c>
      <c r="AP279" s="215" t="s">
        <v>318</v>
      </c>
      <c r="AQ279" s="217">
        <v>100.20194000000001</v>
      </c>
      <c r="AR279" s="217" t="b">
        <v>0</v>
      </c>
      <c r="AS279" s="215" t="s">
        <v>534</v>
      </c>
    </row>
    <row r="280" spans="1:45" s="218" customFormat="1" x14ac:dyDescent="0.25">
      <c r="A280" s="245" t="str">
        <f t="shared" si="39"/>
        <v/>
      </c>
      <c r="B280" s="246" t="str">
        <f t="shared" si="32"/>
        <v/>
      </c>
      <c r="C280" s="246" t="str">
        <f>IF(B280="","",VLOOKUP(D280,'Species Data'!B:E,4,FALSE))</f>
        <v/>
      </c>
      <c r="D280" s="246" t="str">
        <f t="shared" ca="1" si="33"/>
        <v/>
      </c>
      <c r="E280" s="246" t="str">
        <f t="shared" ca="1" si="34"/>
        <v/>
      </c>
      <c r="F280" s="246" t="str">
        <f t="shared" ca="1" si="35"/>
        <v/>
      </c>
      <c r="G280" s="246" t="str">
        <f t="shared" ca="1" si="36"/>
        <v/>
      </c>
      <c r="H280" s="204" t="str">
        <f ca="1">IF(G280="","",IF(VLOOKUP(Separator!F280,'Species Data'!D:F,3,FALSE)=0,"X",IF(G280&lt;44.1,2,1)))</f>
        <v/>
      </c>
      <c r="I280" s="204" t="str">
        <f t="shared" ca="1" si="37"/>
        <v/>
      </c>
      <c r="J280" s="247" t="str">
        <f ca="1">IF(I280="","",IF(COUNTIF($D$12:D280,D280)=1,IF(H280=1,I280*H280,IF(H280="X","X",0)),0))</f>
        <v/>
      </c>
      <c r="K280" s="248" t="str">
        <f t="shared" ca="1" si="38"/>
        <v/>
      </c>
      <c r="L280" s="239"/>
      <c r="M280" s="215"/>
      <c r="N280" s="215"/>
      <c r="O280" s="216"/>
      <c r="P280" s="215"/>
      <c r="Q280" s="217"/>
      <c r="R280" s="215"/>
      <c r="S280" s="215"/>
      <c r="T280" s="215"/>
      <c r="U280" s="215"/>
      <c r="V280" s="217"/>
      <c r="W280" s="217"/>
      <c r="X280" s="217"/>
      <c r="Y280" s="217"/>
      <c r="Z280" s="217"/>
      <c r="AA280" s="215"/>
      <c r="AB280" s="215"/>
      <c r="AC280" s="215"/>
      <c r="AD280" s="217">
        <v>2.3802949999999998</v>
      </c>
      <c r="AE280" s="217">
        <v>199</v>
      </c>
      <c r="AF280" s="217">
        <v>1.0353000000000001</v>
      </c>
      <c r="AG280" s="217">
        <v>-99</v>
      </c>
      <c r="AH280" s="215" t="s">
        <v>224</v>
      </c>
      <c r="AI280" s="215" t="s">
        <v>449</v>
      </c>
      <c r="AJ280" s="215" t="s">
        <v>319</v>
      </c>
      <c r="AK280" s="215" t="s">
        <v>531</v>
      </c>
      <c r="AL280" s="215" t="s">
        <v>389</v>
      </c>
      <c r="AM280" s="217" t="b">
        <v>1</v>
      </c>
      <c r="AN280" s="217" t="b">
        <v>0</v>
      </c>
      <c r="AO280" s="215" t="s">
        <v>320</v>
      </c>
      <c r="AP280" s="215" t="s">
        <v>321</v>
      </c>
      <c r="AQ280" s="217">
        <v>86.175359999999998</v>
      </c>
      <c r="AR280" s="217" t="b">
        <v>0</v>
      </c>
      <c r="AS280" s="215" t="s">
        <v>534</v>
      </c>
    </row>
    <row r="281" spans="1:45" s="218" customFormat="1" x14ac:dyDescent="0.25">
      <c r="A281" s="245" t="str">
        <f t="shared" si="39"/>
        <v/>
      </c>
      <c r="B281" s="246" t="str">
        <f t="shared" si="32"/>
        <v/>
      </c>
      <c r="C281" s="246" t="str">
        <f>IF(B281="","",VLOOKUP(D281,'Species Data'!B:E,4,FALSE))</f>
        <v/>
      </c>
      <c r="D281" s="246" t="str">
        <f t="shared" ca="1" si="33"/>
        <v/>
      </c>
      <c r="E281" s="246" t="str">
        <f t="shared" ca="1" si="34"/>
        <v/>
      </c>
      <c r="F281" s="246" t="str">
        <f t="shared" ca="1" si="35"/>
        <v/>
      </c>
      <c r="G281" s="246" t="str">
        <f t="shared" ca="1" si="36"/>
        <v/>
      </c>
      <c r="H281" s="204" t="str">
        <f ca="1">IF(G281="","",IF(VLOOKUP(Separator!F281,'Species Data'!D:F,3,FALSE)=0,"X",IF(G281&lt;44.1,2,1)))</f>
        <v/>
      </c>
      <c r="I281" s="204" t="str">
        <f t="shared" ca="1" si="37"/>
        <v/>
      </c>
      <c r="J281" s="247" t="str">
        <f ca="1">IF(I281="","",IF(COUNTIF($D$12:D281,D281)=1,IF(H281=1,I281*H281,IF(H281="X","X",0)),0))</f>
        <v/>
      </c>
      <c r="K281" s="248" t="str">
        <f t="shared" ca="1" si="38"/>
        <v/>
      </c>
      <c r="L281" s="239"/>
      <c r="M281" s="215"/>
      <c r="N281" s="215"/>
      <c r="O281" s="216"/>
      <c r="P281" s="215"/>
      <c r="Q281" s="217"/>
      <c r="R281" s="215"/>
      <c r="S281" s="215"/>
      <c r="T281" s="215"/>
      <c r="U281" s="215"/>
      <c r="V281" s="217"/>
      <c r="W281" s="217"/>
      <c r="X281" s="217"/>
      <c r="Y281" s="217"/>
      <c r="Z281" s="217"/>
      <c r="AA281" s="215"/>
      <c r="AB281" s="215"/>
      <c r="AC281" s="215"/>
      <c r="AD281" s="217">
        <v>2.3802949999999998</v>
      </c>
      <c r="AE281" s="217">
        <v>226</v>
      </c>
      <c r="AF281" s="217">
        <v>4.7699999999999999E-2</v>
      </c>
      <c r="AG281" s="217">
        <v>-99</v>
      </c>
      <c r="AH281" s="215" t="s">
        <v>224</v>
      </c>
      <c r="AI281" s="215" t="s">
        <v>449</v>
      </c>
      <c r="AJ281" s="215" t="s">
        <v>439</v>
      </c>
      <c r="AK281" s="215" t="s">
        <v>531</v>
      </c>
      <c r="AL281" s="215" t="s">
        <v>461</v>
      </c>
      <c r="AM281" s="217" t="b">
        <v>0</v>
      </c>
      <c r="AN281" s="217" t="b">
        <v>0</v>
      </c>
      <c r="AO281" s="215" t="s">
        <v>440</v>
      </c>
      <c r="AP281" s="215" t="s">
        <v>531</v>
      </c>
      <c r="AQ281" s="217">
        <v>114.22852</v>
      </c>
      <c r="AR281" s="217" t="b">
        <v>0</v>
      </c>
      <c r="AS281" s="215" t="s">
        <v>534</v>
      </c>
    </row>
    <row r="282" spans="1:45" s="218" customFormat="1" x14ac:dyDescent="0.25">
      <c r="A282" s="245" t="str">
        <f t="shared" si="39"/>
        <v/>
      </c>
      <c r="B282" s="246" t="str">
        <f t="shared" si="32"/>
        <v/>
      </c>
      <c r="C282" s="246" t="str">
        <f>IF(B282="","",VLOOKUP(D282,'Species Data'!B:E,4,FALSE))</f>
        <v/>
      </c>
      <c r="D282" s="246" t="str">
        <f t="shared" ca="1" si="33"/>
        <v/>
      </c>
      <c r="E282" s="246" t="str">
        <f t="shared" ca="1" si="34"/>
        <v/>
      </c>
      <c r="F282" s="246" t="str">
        <f t="shared" ca="1" si="35"/>
        <v/>
      </c>
      <c r="G282" s="246" t="str">
        <f t="shared" ca="1" si="36"/>
        <v/>
      </c>
      <c r="H282" s="204" t="str">
        <f ca="1">IF(G282="","",IF(VLOOKUP(Separator!F282,'Species Data'!D:F,3,FALSE)=0,"X",IF(G282&lt;44.1,2,1)))</f>
        <v/>
      </c>
      <c r="I282" s="204" t="str">
        <f t="shared" ca="1" si="37"/>
        <v/>
      </c>
      <c r="J282" s="247" t="str">
        <f ca="1">IF(I282="","",IF(COUNTIF($D$12:D282,D282)=1,IF(H282=1,I282*H282,IF(H282="X","X",0)),0))</f>
        <v/>
      </c>
      <c r="K282" s="248" t="str">
        <f t="shared" ca="1" si="38"/>
        <v/>
      </c>
      <c r="L282" s="239"/>
      <c r="M282" s="215"/>
      <c r="N282" s="215"/>
      <c r="O282" s="216"/>
      <c r="P282" s="215"/>
      <c r="Q282" s="217"/>
      <c r="R282" s="215"/>
      <c r="S282" s="215"/>
      <c r="T282" s="215"/>
      <c r="U282" s="215"/>
      <c r="V282" s="217"/>
      <c r="W282" s="217"/>
      <c r="X282" s="217"/>
      <c r="Y282" s="217"/>
      <c r="Z282" s="217"/>
      <c r="AA282" s="215"/>
      <c r="AB282" s="215"/>
      <c r="AC282" s="215"/>
      <c r="AD282" s="217">
        <v>2.3802949999999998</v>
      </c>
      <c r="AE282" s="217">
        <v>245</v>
      </c>
      <c r="AF282" s="217">
        <v>0.2271</v>
      </c>
      <c r="AG282" s="217">
        <v>-99</v>
      </c>
      <c r="AH282" s="215" t="s">
        <v>224</v>
      </c>
      <c r="AI282" s="215" t="s">
        <v>449</v>
      </c>
      <c r="AJ282" s="215" t="s">
        <v>325</v>
      </c>
      <c r="AK282" s="215" t="s">
        <v>531</v>
      </c>
      <c r="AL282" s="215" t="s">
        <v>390</v>
      </c>
      <c r="AM282" s="217" t="b">
        <v>1</v>
      </c>
      <c r="AN282" s="217" t="b">
        <v>0</v>
      </c>
      <c r="AO282" s="215" t="s">
        <v>326</v>
      </c>
      <c r="AP282" s="215" t="s">
        <v>327</v>
      </c>
      <c r="AQ282" s="217">
        <v>100.20194000000001</v>
      </c>
      <c r="AR282" s="217" t="b">
        <v>0</v>
      </c>
      <c r="AS282" s="215" t="s">
        <v>534</v>
      </c>
    </row>
    <row r="283" spans="1:45" s="218" customFormat="1" x14ac:dyDescent="0.25">
      <c r="A283" s="245" t="str">
        <f t="shared" si="39"/>
        <v/>
      </c>
      <c r="B283" s="246" t="str">
        <f t="shared" si="32"/>
        <v/>
      </c>
      <c r="C283" s="246" t="str">
        <f>IF(B283="","",VLOOKUP(D283,'Species Data'!B:E,4,FALSE))</f>
        <v/>
      </c>
      <c r="D283" s="246" t="str">
        <f t="shared" ca="1" si="33"/>
        <v/>
      </c>
      <c r="E283" s="246" t="str">
        <f t="shared" ca="1" si="34"/>
        <v/>
      </c>
      <c r="F283" s="246" t="str">
        <f t="shared" ca="1" si="35"/>
        <v/>
      </c>
      <c r="G283" s="246" t="str">
        <f t="shared" ca="1" si="36"/>
        <v/>
      </c>
      <c r="H283" s="204" t="str">
        <f ca="1">IF(G283="","",IF(VLOOKUP(Separator!F283,'Species Data'!D:F,3,FALSE)=0,"X",IF(G283&lt;44.1,2,1)))</f>
        <v/>
      </c>
      <c r="I283" s="204" t="str">
        <f t="shared" ca="1" si="37"/>
        <v/>
      </c>
      <c r="J283" s="247" t="str">
        <f ca="1">IF(I283="","",IF(COUNTIF($D$12:D283,D283)=1,IF(H283=1,I283*H283,IF(H283="X","X",0)),0))</f>
        <v/>
      </c>
      <c r="K283" s="248" t="str">
        <f t="shared" ca="1" si="38"/>
        <v/>
      </c>
      <c r="L283" s="239"/>
      <c r="M283" s="215"/>
      <c r="N283" s="215"/>
      <c r="O283" s="216"/>
      <c r="P283" s="215"/>
      <c r="Q283" s="217"/>
      <c r="R283" s="215"/>
      <c r="S283" s="215"/>
      <c r="T283" s="215"/>
      <c r="U283" s="215"/>
      <c r="V283" s="217"/>
      <c r="W283" s="217"/>
      <c r="X283" s="217"/>
      <c r="Y283" s="217"/>
      <c r="Z283" s="217"/>
      <c r="AA283" s="215"/>
      <c r="AB283" s="215"/>
      <c r="AC283" s="215"/>
      <c r="AD283" s="217">
        <v>2.3802949999999998</v>
      </c>
      <c r="AE283" s="217">
        <v>248</v>
      </c>
      <c r="AF283" s="217">
        <v>0.64449999999999996</v>
      </c>
      <c r="AG283" s="217">
        <v>-99</v>
      </c>
      <c r="AH283" s="215" t="s">
        <v>224</v>
      </c>
      <c r="AI283" s="215" t="s">
        <v>449</v>
      </c>
      <c r="AJ283" s="215" t="s">
        <v>328</v>
      </c>
      <c r="AK283" s="215" t="s">
        <v>531</v>
      </c>
      <c r="AL283" s="215" t="s">
        <v>391</v>
      </c>
      <c r="AM283" s="217" t="b">
        <v>1</v>
      </c>
      <c r="AN283" s="217" t="b">
        <v>0</v>
      </c>
      <c r="AO283" s="215" t="s">
        <v>329</v>
      </c>
      <c r="AP283" s="215" t="s">
        <v>330</v>
      </c>
      <c r="AQ283" s="217">
        <v>86.175359999999998</v>
      </c>
      <c r="AR283" s="217" t="b">
        <v>0</v>
      </c>
      <c r="AS283" s="215" t="s">
        <v>534</v>
      </c>
    </row>
    <row r="284" spans="1:45" s="218" customFormat="1" x14ac:dyDescent="0.25">
      <c r="A284" s="245" t="str">
        <f t="shared" si="39"/>
        <v/>
      </c>
      <c r="B284" s="246" t="str">
        <f t="shared" si="32"/>
        <v/>
      </c>
      <c r="C284" s="246" t="str">
        <f>IF(B284="","",VLOOKUP(D284,'Species Data'!B:E,4,FALSE))</f>
        <v/>
      </c>
      <c r="D284" s="246" t="str">
        <f t="shared" ca="1" si="33"/>
        <v/>
      </c>
      <c r="E284" s="246" t="str">
        <f t="shared" ca="1" si="34"/>
        <v/>
      </c>
      <c r="F284" s="246" t="str">
        <f t="shared" ca="1" si="35"/>
        <v/>
      </c>
      <c r="G284" s="246" t="str">
        <f t="shared" ca="1" si="36"/>
        <v/>
      </c>
      <c r="H284" s="204" t="str">
        <f ca="1">IF(G284="","",IF(VLOOKUP(Separator!F284,'Species Data'!D:F,3,FALSE)=0,"X",IF(G284&lt;44.1,2,1)))</f>
        <v/>
      </c>
      <c r="I284" s="204" t="str">
        <f t="shared" ca="1" si="37"/>
        <v/>
      </c>
      <c r="J284" s="247" t="str">
        <f ca="1">IF(I284="","",IF(COUNTIF($D$12:D284,D284)=1,IF(H284=1,I284*H284,IF(H284="X","X",0)),0))</f>
        <v/>
      </c>
      <c r="K284" s="248" t="str">
        <f t="shared" ca="1" si="38"/>
        <v/>
      </c>
      <c r="L284" s="239"/>
      <c r="M284" s="215"/>
      <c r="N284" s="215"/>
      <c r="O284" s="216"/>
      <c r="P284" s="215"/>
      <c r="Q284" s="217"/>
      <c r="R284" s="215"/>
      <c r="S284" s="215"/>
      <c r="T284" s="215"/>
      <c r="U284" s="215"/>
      <c r="V284" s="217"/>
      <c r="W284" s="217"/>
      <c r="X284" s="217"/>
      <c r="Y284" s="217"/>
      <c r="Z284" s="217"/>
      <c r="AA284" s="215"/>
      <c r="AB284" s="215"/>
      <c r="AC284" s="215"/>
      <c r="AD284" s="217">
        <v>2.3802949999999998</v>
      </c>
      <c r="AE284" s="217">
        <v>302</v>
      </c>
      <c r="AF284" s="217">
        <v>0.1231</v>
      </c>
      <c r="AG284" s="217">
        <v>-99</v>
      </c>
      <c r="AH284" s="215" t="s">
        <v>224</v>
      </c>
      <c r="AI284" s="215" t="s">
        <v>449</v>
      </c>
      <c r="AJ284" s="215" t="s">
        <v>262</v>
      </c>
      <c r="AK284" s="215" t="s">
        <v>531</v>
      </c>
      <c r="AL284" s="215" t="s">
        <v>373</v>
      </c>
      <c r="AM284" s="217" t="b">
        <v>1</v>
      </c>
      <c r="AN284" s="217" t="b">
        <v>1</v>
      </c>
      <c r="AO284" s="215" t="s">
        <v>263</v>
      </c>
      <c r="AP284" s="215" t="s">
        <v>264</v>
      </c>
      <c r="AQ284" s="217">
        <v>78.111840000000001</v>
      </c>
      <c r="AR284" s="217" t="b">
        <v>0</v>
      </c>
      <c r="AS284" s="215" t="s">
        <v>534</v>
      </c>
    </row>
    <row r="285" spans="1:45" s="218" customFormat="1" x14ac:dyDescent="0.25">
      <c r="A285" s="245" t="str">
        <f t="shared" si="39"/>
        <v/>
      </c>
      <c r="B285" s="246" t="str">
        <f t="shared" si="32"/>
        <v/>
      </c>
      <c r="C285" s="246" t="str">
        <f>IF(B285="","",VLOOKUP(D285,'Species Data'!B:E,4,FALSE))</f>
        <v/>
      </c>
      <c r="D285" s="246" t="str">
        <f t="shared" ca="1" si="33"/>
        <v/>
      </c>
      <c r="E285" s="246" t="str">
        <f t="shared" ca="1" si="34"/>
        <v/>
      </c>
      <c r="F285" s="246" t="str">
        <f t="shared" ca="1" si="35"/>
        <v/>
      </c>
      <c r="G285" s="246" t="str">
        <f t="shared" ca="1" si="36"/>
        <v/>
      </c>
      <c r="H285" s="204" t="str">
        <f ca="1">IF(G285="","",IF(VLOOKUP(Separator!F285,'Species Data'!D:F,3,FALSE)=0,"X",IF(G285&lt;44.1,2,1)))</f>
        <v/>
      </c>
      <c r="I285" s="204" t="str">
        <f t="shared" ca="1" si="37"/>
        <v/>
      </c>
      <c r="J285" s="247" t="str">
        <f ca="1">IF(I285="","",IF(COUNTIF($D$12:D285,D285)=1,IF(H285=1,I285*H285,IF(H285="X","X",0)),0))</f>
        <v/>
      </c>
      <c r="K285" s="248" t="str">
        <f t="shared" ca="1" si="38"/>
        <v/>
      </c>
      <c r="L285" s="239"/>
      <c r="M285" s="215"/>
      <c r="N285" s="215"/>
      <c r="O285" s="216"/>
      <c r="P285" s="215"/>
      <c r="Q285" s="217"/>
      <c r="R285" s="215"/>
      <c r="S285" s="215"/>
      <c r="T285" s="215"/>
      <c r="U285" s="215"/>
      <c r="V285" s="217"/>
      <c r="W285" s="217"/>
      <c r="X285" s="217"/>
      <c r="Y285" s="217"/>
      <c r="Z285" s="217"/>
      <c r="AA285" s="215"/>
      <c r="AB285" s="215"/>
      <c r="AC285" s="215"/>
      <c r="AD285" s="217">
        <v>2.3802949999999998</v>
      </c>
      <c r="AE285" s="217">
        <v>385</v>
      </c>
      <c r="AF285" s="217">
        <v>8.5000000000000006E-3</v>
      </c>
      <c r="AG285" s="217">
        <v>-99</v>
      </c>
      <c r="AH285" s="215" t="s">
        <v>224</v>
      </c>
      <c r="AI285" s="215" t="s">
        <v>449</v>
      </c>
      <c r="AJ285" s="215" t="s">
        <v>331</v>
      </c>
      <c r="AK285" s="215" t="s">
        <v>531</v>
      </c>
      <c r="AL285" s="215" t="s">
        <v>392</v>
      </c>
      <c r="AM285" s="217" t="b">
        <v>1</v>
      </c>
      <c r="AN285" s="217" t="b">
        <v>0</v>
      </c>
      <c r="AO285" s="215" t="s">
        <v>332</v>
      </c>
      <c r="AP285" s="215" t="s">
        <v>333</v>
      </c>
      <c r="AQ285" s="217">
        <v>84.159480000000002</v>
      </c>
      <c r="AR285" s="217" t="b">
        <v>0</v>
      </c>
      <c r="AS285" s="215" t="s">
        <v>534</v>
      </c>
    </row>
    <row r="286" spans="1:45" s="218" customFormat="1" x14ac:dyDescent="0.25">
      <c r="A286" s="245" t="str">
        <f t="shared" si="39"/>
        <v/>
      </c>
      <c r="B286" s="246" t="str">
        <f t="shared" si="32"/>
        <v/>
      </c>
      <c r="C286" s="246" t="str">
        <f>IF(B286="","",VLOOKUP(D286,'Species Data'!B:E,4,FALSE))</f>
        <v/>
      </c>
      <c r="D286" s="246" t="str">
        <f t="shared" ca="1" si="33"/>
        <v/>
      </c>
      <c r="E286" s="246" t="str">
        <f t="shared" ca="1" si="34"/>
        <v/>
      </c>
      <c r="F286" s="246" t="str">
        <f t="shared" ca="1" si="35"/>
        <v/>
      </c>
      <c r="G286" s="246" t="str">
        <f t="shared" ca="1" si="36"/>
        <v/>
      </c>
      <c r="H286" s="204" t="str">
        <f ca="1">IF(G286="","",IF(VLOOKUP(Separator!F286,'Species Data'!D:F,3,FALSE)=0,"X",IF(G286&lt;44.1,2,1)))</f>
        <v/>
      </c>
      <c r="I286" s="204" t="str">
        <f t="shared" ca="1" si="37"/>
        <v/>
      </c>
      <c r="J286" s="247" t="str">
        <f ca="1">IF(I286="","",IF(COUNTIF($D$12:D286,D286)=1,IF(H286=1,I286*H286,IF(H286="X","X",0)),0))</f>
        <v/>
      </c>
      <c r="K286" s="248" t="str">
        <f t="shared" ca="1" si="38"/>
        <v/>
      </c>
      <c r="L286" s="239"/>
      <c r="M286" s="215"/>
      <c r="N286" s="215"/>
      <c r="O286" s="216"/>
      <c r="P286" s="215"/>
      <c r="Q286" s="217"/>
      <c r="R286" s="215"/>
      <c r="S286" s="215"/>
      <c r="T286" s="215"/>
      <c r="U286" s="215"/>
      <c r="V286" s="217"/>
      <c r="W286" s="217"/>
      <c r="X286" s="217"/>
      <c r="Y286" s="217"/>
      <c r="Z286" s="217"/>
      <c r="AA286" s="215"/>
      <c r="AB286" s="215"/>
      <c r="AC286" s="215"/>
      <c r="AD286" s="217">
        <v>2.3802949999999998</v>
      </c>
      <c r="AE286" s="217">
        <v>438</v>
      </c>
      <c r="AF286" s="217">
        <v>10.1622</v>
      </c>
      <c r="AG286" s="217">
        <v>-99</v>
      </c>
      <c r="AH286" s="215" t="s">
        <v>224</v>
      </c>
      <c r="AI286" s="215" t="s">
        <v>449</v>
      </c>
      <c r="AJ286" s="215" t="s">
        <v>265</v>
      </c>
      <c r="AK286" s="215" t="s">
        <v>531</v>
      </c>
      <c r="AL286" s="215" t="s">
        <v>374</v>
      </c>
      <c r="AM286" s="217" t="b">
        <v>1</v>
      </c>
      <c r="AN286" s="217" t="b">
        <v>0</v>
      </c>
      <c r="AO286" s="215" t="s">
        <v>266</v>
      </c>
      <c r="AP286" s="215" t="s">
        <v>267</v>
      </c>
      <c r="AQ286" s="217">
        <v>30.069040000000005</v>
      </c>
      <c r="AR286" s="217" t="b">
        <v>1</v>
      </c>
      <c r="AS286" s="215" t="s">
        <v>534</v>
      </c>
    </row>
    <row r="287" spans="1:45" s="218" customFormat="1" x14ac:dyDescent="0.25">
      <c r="A287" s="245" t="str">
        <f t="shared" si="39"/>
        <v/>
      </c>
      <c r="B287" s="246" t="str">
        <f t="shared" si="32"/>
        <v/>
      </c>
      <c r="C287" s="246" t="str">
        <f>IF(B287="","",VLOOKUP(D287,'Species Data'!B:E,4,FALSE))</f>
        <v/>
      </c>
      <c r="D287" s="246" t="str">
        <f t="shared" ca="1" si="33"/>
        <v/>
      </c>
      <c r="E287" s="246" t="str">
        <f t="shared" ca="1" si="34"/>
        <v/>
      </c>
      <c r="F287" s="246" t="str">
        <f t="shared" ca="1" si="35"/>
        <v/>
      </c>
      <c r="G287" s="246" t="str">
        <f t="shared" ca="1" si="36"/>
        <v/>
      </c>
      <c r="H287" s="204" t="str">
        <f ca="1">IF(G287="","",IF(VLOOKUP(Separator!F287,'Species Data'!D:F,3,FALSE)=0,"X",IF(G287&lt;44.1,2,1)))</f>
        <v/>
      </c>
      <c r="I287" s="204" t="str">
        <f t="shared" ca="1" si="37"/>
        <v/>
      </c>
      <c r="J287" s="247" t="str">
        <f ca="1">IF(I287="","",IF(COUNTIF($D$12:D287,D287)=1,IF(H287=1,I287*H287,IF(H287="X","X",0)),0))</f>
        <v/>
      </c>
      <c r="K287" s="248" t="str">
        <f t="shared" ca="1" si="38"/>
        <v/>
      </c>
      <c r="L287" s="239"/>
      <c r="M287" s="215"/>
      <c r="N287" s="215"/>
      <c r="O287" s="216"/>
      <c r="P287" s="215"/>
      <c r="Q287" s="217"/>
      <c r="R287" s="215"/>
      <c r="S287" s="215"/>
      <c r="T287" s="215"/>
      <c r="U287" s="215"/>
      <c r="V287" s="217"/>
      <c r="W287" s="217"/>
      <c r="X287" s="217"/>
      <c r="Y287" s="217"/>
      <c r="Z287" s="217"/>
      <c r="AA287" s="215"/>
      <c r="AB287" s="215"/>
      <c r="AC287" s="215"/>
      <c r="AD287" s="217">
        <v>2.3802949999999998</v>
      </c>
      <c r="AE287" s="217">
        <v>449</v>
      </c>
      <c r="AF287" s="217">
        <v>7.5499999999999998E-2</v>
      </c>
      <c r="AG287" s="217">
        <v>-99</v>
      </c>
      <c r="AH287" s="215" t="s">
        <v>224</v>
      </c>
      <c r="AI287" s="215" t="s">
        <v>449</v>
      </c>
      <c r="AJ287" s="215" t="s">
        <v>337</v>
      </c>
      <c r="AK287" s="215" t="s">
        <v>531</v>
      </c>
      <c r="AL287" s="215" t="s">
        <v>394</v>
      </c>
      <c r="AM287" s="217" t="b">
        <v>1</v>
      </c>
      <c r="AN287" s="217" t="b">
        <v>1</v>
      </c>
      <c r="AO287" s="215" t="s">
        <v>338</v>
      </c>
      <c r="AP287" s="215" t="s">
        <v>339</v>
      </c>
      <c r="AQ287" s="217">
        <v>106.16500000000001</v>
      </c>
      <c r="AR287" s="217" t="b">
        <v>0</v>
      </c>
      <c r="AS287" s="215" t="s">
        <v>534</v>
      </c>
    </row>
    <row r="288" spans="1:45" s="218" customFormat="1" x14ac:dyDescent="0.25">
      <c r="A288" s="245" t="str">
        <f t="shared" si="39"/>
        <v/>
      </c>
      <c r="B288" s="246" t="str">
        <f t="shared" si="32"/>
        <v/>
      </c>
      <c r="C288" s="246" t="str">
        <f>IF(B288="","",VLOOKUP(D288,'Species Data'!B:E,4,FALSE))</f>
        <v/>
      </c>
      <c r="D288" s="246" t="str">
        <f t="shared" ca="1" si="33"/>
        <v/>
      </c>
      <c r="E288" s="246" t="str">
        <f t="shared" ca="1" si="34"/>
        <v/>
      </c>
      <c r="F288" s="246" t="str">
        <f t="shared" ca="1" si="35"/>
        <v/>
      </c>
      <c r="G288" s="246" t="str">
        <f t="shared" ca="1" si="36"/>
        <v/>
      </c>
      <c r="H288" s="204" t="str">
        <f ca="1">IF(G288="","",IF(VLOOKUP(Separator!F288,'Species Data'!D:F,3,FALSE)=0,"X",IF(G288&lt;44.1,2,1)))</f>
        <v/>
      </c>
      <c r="I288" s="204" t="str">
        <f t="shared" ca="1" si="37"/>
        <v/>
      </c>
      <c r="J288" s="247" t="str">
        <f ca="1">IF(I288="","",IF(COUNTIF($D$12:D288,D288)=1,IF(H288=1,I288*H288,IF(H288="X","X",0)),0))</f>
        <v/>
      </c>
      <c r="K288" s="248" t="str">
        <f t="shared" ca="1" si="38"/>
        <v/>
      </c>
      <c r="L288" s="239"/>
      <c r="M288" s="215"/>
      <c r="N288" s="215"/>
      <c r="O288" s="216"/>
      <c r="P288" s="215"/>
      <c r="Q288" s="217"/>
      <c r="R288" s="215"/>
      <c r="S288" s="215"/>
      <c r="T288" s="215"/>
      <c r="U288" s="215"/>
      <c r="V288" s="217"/>
      <c r="W288" s="217"/>
      <c r="X288" s="217"/>
      <c r="Y288" s="217"/>
      <c r="Z288" s="217"/>
      <c r="AA288" s="215"/>
      <c r="AB288" s="215"/>
      <c r="AC288" s="215"/>
      <c r="AD288" s="217">
        <v>2.3802949999999998</v>
      </c>
      <c r="AE288" s="217">
        <v>491</v>
      </c>
      <c r="AF288" s="217">
        <v>2.7121</v>
      </c>
      <c r="AG288" s="217">
        <v>-99</v>
      </c>
      <c r="AH288" s="215" t="s">
        <v>224</v>
      </c>
      <c r="AI288" s="215" t="s">
        <v>449</v>
      </c>
      <c r="AJ288" s="215" t="s">
        <v>268</v>
      </c>
      <c r="AK288" s="215" t="s">
        <v>531</v>
      </c>
      <c r="AL288" s="215" t="s">
        <v>375</v>
      </c>
      <c r="AM288" s="217" t="b">
        <v>1</v>
      </c>
      <c r="AN288" s="217" t="b">
        <v>0</v>
      </c>
      <c r="AO288" s="215" t="s">
        <v>269</v>
      </c>
      <c r="AP288" s="215" t="s">
        <v>270</v>
      </c>
      <c r="AQ288" s="217">
        <v>58.122199999999992</v>
      </c>
      <c r="AR288" s="217" t="b">
        <v>0</v>
      </c>
      <c r="AS288" s="215" t="s">
        <v>534</v>
      </c>
    </row>
    <row r="289" spans="1:45" s="218" customFormat="1" x14ac:dyDescent="0.25">
      <c r="A289" s="245" t="str">
        <f t="shared" si="39"/>
        <v/>
      </c>
      <c r="B289" s="246" t="str">
        <f t="shared" si="32"/>
        <v/>
      </c>
      <c r="C289" s="246" t="str">
        <f>IF(B289="","",VLOOKUP(D289,'Species Data'!B:E,4,FALSE))</f>
        <v/>
      </c>
      <c r="D289" s="246" t="str">
        <f t="shared" ca="1" si="33"/>
        <v/>
      </c>
      <c r="E289" s="246" t="str">
        <f t="shared" ca="1" si="34"/>
        <v/>
      </c>
      <c r="F289" s="246" t="str">
        <f t="shared" ca="1" si="35"/>
        <v/>
      </c>
      <c r="G289" s="246" t="str">
        <f t="shared" ca="1" si="36"/>
        <v/>
      </c>
      <c r="H289" s="204" t="str">
        <f ca="1">IF(G289="","",IF(VLOOKUP(Separator!F289,'Species Data'!D:F,3,FALSE)=0,"X",IF(G289&lt;44.1,2,1)))</f>
        <v/>
      </c>
      <c r="I289" s="204" t="str">
        <f t="shared" ca="1" si="37"/>
        <v/>
      </c>
      <c r="J289" s="247" t="str">
        <f ca="1">IF(I289="","",IF(COUNTIF($D$12:D289,D289)=1,IF(H289=1,I289*H289,IF(H289="X","X",0)),0))</f>
        <v/>
      </c>
      <c r="K289" s="248" t="str">
        <f t="shared" ca="1" si="38"/>
        <v/>
      </c>
      <c r="L289" s="239"/>
      <c r="M289" s="215"/>
      <c r="N289" s="215"/>
      <c r="O289" s="216"/>
      <c r="P289" s="215"/>
      <c r="Q289" s="217"/>
      <c r="R289" s="215"/>
      <c r="S289" s="215"/>
      <c r="T289" s="215"/>
      <c r="U289" s="215"/>
      <c r="V289" s="217"/>
      <c r="W289" s="217"/>
      <c r="X289" s="217"/>
      <c r="Y289" s="217"/>
      <c r="Z289" s="217"/>
      <c r="AA289" s="215"/>
      <c r="AB289" s="215"/>
      <c r="AC289" s="215"/>
      <c r="AD289" s="217">
        <v>2.3802949999999998</v>
      </c>
      <c r="AE289" s="217">
        <v>499</v>
      </c>
      <c r="AF289" s="217">
        <v>4.4999999999999997E-3</v>
      </c>
      <c r="AG289" s="217">
        <v>-99</v>
      </c>
      <c r="AH289" s="215" t="s">
        <v>224</v>
      </c>
      <c r="AI289" s="215" t="s">
        <v>449</v>
      </c>
      <c r="AJ289" s="215" t="s">
        <v>531</v>
      </c>
      <c r="AK289" s="215" t="s">
        <v>642</v>
      </c>
      <c r="AL289" s="215" t="s">
        <v>643</v>
      </c>
      <c r="AM289" s="217" t="b">
        <v>0</v>
      </c>
      <c r="AN289" s="217" t="b">
        <v>0</v>
      </c>
      <c r="AO289" s="215" t="s">
        <v>644</v>
      </c>
      <c r="AP289" s="215" t="s">
        <v>531</v>
      </c>
      <c r="AQ289" s="217">
        <v>134.21816000000001</v>
      </c>
      <c r="AR289" s="217" t="b">
        <v>0</v>
      </c>
      <c r="AS289" s="215" t="s">
        <v>534</v>
      </c>
    </row>
    <row r="290" spans="1:45" s="218" customFormat="1" x14ac:dyDescent="0.25">
      <c r="A290" s="245" t="str">
        <f t="shared" si="39"/>
        <v/>
      </c>
      <c r="B290" s="246" t="str">
        <f t="shared" si="32"/>
        <v/>
      </c>
      <c r="C290" s="246" t="str">
        <f>IF(B290="","",VLOOKUP(D290,'Species Data'!B:E,4,FALSE))</f>
        <v/>
      </c>
      <c r="D290" s="246" t="str">
        <f t="shared" ca="1" si="33"/>
        <v/>
      </c>
      <c r="E290" s="246" t="str">
        <f t="shared" ca="1" si="34"/>
        <v/>
      </c>
      <c r="F290" s="246" t="str">
        <f t="shared" ca="1" si="35"/>
        <v/>
      </c>
      <c r="G290" s="246" t="str">
        <f t="shared" ca="1" si="36"/>
        <v/>
      </c>
      <c r="H290" s="204" t="str">
        <f ca="1">IF(G290="","",IF(VLOOKUP(Separator!F290,'Species Data'!D:F,3,FALSE)=0,"X",IF(G290&lt;44.1,2,1)))</f>
        <v/>
      </c>
      <c r="I290" s="204" t="str">
        <f t="shared" ca="1" si="37"/>
        <v/>
      </c>
      <c r="J290" s="247" t="str">
        <f ca="1">IF(I290="","",IF(COUNTIF($D$12:D290,D290)=1,IF(H290=1,I290*H290,IF(H290="X","X",0)),0))</f>
        <v/>
      </c>
      <c r="K290" s="248" t="str">
        <f t="shared" ca="1" si="38"/>
        <v/>
      </c>
      <c r="L290" s="239"/>
      <c r="M290" s="215"/>
      <c r="N290" s="215"/>
      <c r="O290" s="216"/>
      <c r="P290" s="215"/>
      <c r="Q290" s="217"/>
      <c r="R290" s="215"/>
      <c r="S290" s="215"/>
      <c r="T290" s="215"/>
      <c r="U290" s="215"/>
      <c r="V290" s="217"/>
      <c r="W290" s="217"/>
      <c r="X290" s="217"/>
      <c r="Y290" s="217"/>
      <c r="Z290" s="217"/>
      <c r="AA290" s="215"/>
      <c r="AB290" s="215"/>
      <c r="AC290" s="215"/>
      <c r="AD290" s="217">
        <v>2.3802949999999998</v>
      </c>
      <c r="AE290" s="217">
        <v>508</v>
      </c>
      <c r="AF290" s="217">
        <v>2.9424999999999999</v>
      </c>
      <c r="AG290" s="217">
        <v>-99</v>
      </c>
      <c r="AH290" s="215" t="s">
        <v>224</v>
      </c>
      <c r="AI290" s="215" t="s">
        <v>449</v>
      </c>
      <c r="AJ290" s="215" t="s">
        <v>342</v>
      </c>
      <c r="AK290" s="215" t="s">
        <v>531</v>
      </c>
      <c r="AL290" s="215" t="s">
        <v>395</v>
      </c>
      <c r="AM290" s="217" t="b">
        <v>1</v>
      </c>
      <c r="AN290" s="217" t="b">
        <v>0</v>
      </c>
      <c r="AO290" s="215" t="s">
        <v>343</v>
      </c>
      <c r="AP290" s="215" t="s">
        <v>344</v>
      </c>
      <c r="AQ290" s="217">
        <v>72.148780000000002</v>
      </c>
      <c r="AR290" s="217" t="b">
        <v>0</v>
      </c>
      <c r="AS290" s="215" t="s">
        <v>534</v>
      </c>
    </row>
    <row r="291" spans="1:45" s="218" customFormat="1" x14ac:dyDescent="0.25">
      <c r="A291" s="245" t="str">
        <f t="shared" si="39"/>
        <v/>
      </c>
      <c r="B291" s="246" t="str">
        <f t="shared" si="32"/>
        <v/>
      </c>
      <c r="C291" s="246" t="str">
        <f>IF(B291="","",VLOOKUP(D291,'Species Data'!B:E,4,FALSE))</f>
        <v/>
      </c>
      <c r="D291" s="246" t="str">
        <f t="shared" ca="1" si="33"/>
        <v/>
      </c>
      <c r="E291" s="246" t="str">
        <f t="shared" ca="1" si="34"/>
        <v/>
      </c>
      <c r="F291" s="246" t="str">
        <f t="shared" ca="1" si="35"/>
        <v/>
      </c>
      <c r="G291" s="246" t="str">
        <f t="shared" ca="1" si="36"/>
        <v/>
      </c>
      <c r="H291" s="204" t="str">
        <f ca="1">IF(G291="","",IF(VLOOKUP(Separator!F291,'Species Data'!D:F,3,FALSE)=0,"X",IF(G291&lt;44.1,2,1)))</f>
        <v/>
      </c>
      <c r="I291" s="204" t="str">
        <f t="shared" ca="1" si="37"/>
        <v/>
      </c>
      <c r="J291" s="247" t="str">
        <f ca="1">IF(I291="","",IF(COUNTIF($D$12:D291,D291)=1,IF(H291=1,I291*H291,IF(H291="X","X",0)),0))</f>
        <v/>
      </c>
      <c r="K291" s="248" t="str">
        <f t="shared" ca="1" si="38"/>
        <v/>
      </c>
      <c r="L291" s="239"/>
      <c r="M291" s="215"/>
      <c r="N291" s="215"/>
      <c r="O291" s="216"/>
      <c r="P291" s="215"/>
      <c r="Q291" s="217"/>
      <c r="R291" s="215"/>
      <c r="S291" s="215"/>
      <c r="T291" s="215"/>
      <c r="U291" s="215"/>
      <c r="V291" s="217"/>
      <c r="W291" s="217"/>
      <c r="X291" s="217"/>
      <c r="Y291" s="217"/>
      <c r="Z291" s="217"/>
      <c r="AA291" s="215"/>
      <c r="AB291" s="215"/>
      <c r="AC291" s="215"/>
      <c r="AD291" s="217">
        <v>2.3802949999999998</v>
      </c>
      <c r="AE291" s="217">
        <v>514</v>
      </c>
      <c r="AF291" s="217">
        <v>2.7000000000000001E-3</v>
      </c>
      <c r="AG291" s="217">
        <v>-99</v>
      </c>
      <c r="AH291" s="215" t="s">
        <v>224</v>
      </c>
      <c r="AI291" s="215" t="s">
        <v>449</v>
      </c>
      <c r="AJ291" s="215" t="s">
        <v>362</v>
      </c>
      <c r="AK291" s="215" t="s">
        <v>531</v>
      </c>
      <c r="AL291" s="215" t="s">
        <v>399</v>
      </c>
      <c r="AM291" s="217" t="b">
        <v>1</v>
      </c>
      <c r="AN291" s="217" t="b">
        <v>1</v>
      </c>
      <c r="AO291" s="215" t="s">
        <v>363</v>
      </c>
      <c r="AP291" s="215" t="s">
        <v>364</v>
      </c>
      <c r="AQ291" s="217">
        <v>120.19158</v>
      </c>
      <c r="AR291" s="217" t="b">
        <v>0</v>
      </c>
      <c r="AS291" s="215" t="s">
        <v>534</v>
      </c>
    </row>
    <row r="292" spans="1:45" s="218" customFormat="1" x14ac:dyDescent="0.25">
      <c r="A292" s="245" t="str">
        <f t="shared" si="39"/>
        <v/>
      </c>
      <c r="B292" s="246" t="str">
        <f t="shared" si="32"/>
        <v/>
      </c>
      <c r="C292" s="246" t="str">
        <f>IF(B292="","",VLOOKUP(D292,'Species Data'!B:E,4,FALSE))</f>
        <v/>
      </c>
      <c r="D292" s="246" t="str">
        <f t="shared" ca="1" si="33"/>
        <v/>
      </c>
      <c r="E292" s="246" t="str">
        <f t="shared" ca="1" si="34"/>
        <v/>
      </c>
      <c r="F292" s="246" t="str">
        <f t="shared" ca="1" si="35"/>
        <v/>
      </c>
      <c r="G292" s="246" t="str">
        <f t="shared" ca="1" si="36"/>
        <v/>
      </c>
      <c r="H292" s="204" t="str">
        <f ca="1">IF(G292="","",IF(VLOOKUP(Separator!F292,'Species Data'!D:F,3,FALSE)=0,"X",IF(G292&lt;44.1,2,1)))</f>
        <v/>
      </c>
      <c r="I292" s="204" t="str">
        <f t="shared" ca="1" si="37"/>
        <v/>
      </c>
      <c r="J292" s="247" t="str">
        <f ca="1">IF(I292="","",IF(COUNTIF($D$12:D292,D292)=1,IF(H292=1,I292*H292,IF(H292="X","X",0)),0))</f>
        <v/>
      </c>
      <c r="K292" s="248" t="str">
        <f t="shared" ca="1" si="38"/>
        <v/>
      </c>
      <c r="L292" s="239"/>
      <c r="M292" s="215"/>
      <c r="N292" s="215"/>
      <c r="O292" s="216"/>
      <c r="P292" s="215"/>
      <c r="Q292" s="217"/>
      <c r="R292" s="215"/>
      <c r="S292" s="215"/>
      <c r="T292" s="215"/>
      <c r="U292" s="215"/>
      <c r="V292" s="217"/>
      <c r="W292" s="217"/>
      <c r="X292" s="217"/>
      <c r="Y292" s="217"/>
      <c r="Z292" s="217"/>
      <c r="AA292" s="215"/>
      <c r="AB292" s="215"/>
      <c r="AC292" s="215"/>
      <c r="AD292" s="217">
        <v>2.3802949999999998</v>
      </c>
      <c r="AE292" s="217">
        <v>524</v>
      </c>
      <c r="AF292" s="217">
        <v>3.3399999999999999E-2</v>
      </c>
      <c r="AG292" s="217">
        <v>-99</v>
      </c>
      <c r="AH292" s="215" t="s">
        <v>224</v>
      </c>
      <c r="AI292" s="215" t="s">
        <v>449</v>
      </c>
      <c r="AJ292" s="215" t="s">
        <v>436</v>
      </c>
      <c r="AK292" s="215" t="s">
        <v>531</v>
      </c>
      <c r="AL292" s="215" t="s">
        <v>460</v>
      </c>
      <c r="AM292" s="217" t="b">
        <v>0</v>
      </c>
      <c r="AN292" s="217" t="b">
        <v>1</v>
      </c>
      <c r="AO292" s="215" t="s">
        <v>437</v>
      </c>
      <c r="AP292" s="215" t="s">
        <v>438</v>
      </c>
      <c r="AQ292" s="217">
        <v>106.16500000000001</v>
      </c>
      <c r="AR292" s="217" t="b">
        <v>0</v>
      </c>
      <c r="AS292" s="215" t="s">
        <v>534</v>
      </c>
    </row>
    <row r="293" spans="1:45" s="218" customFormat="1" x14ac:dyDescent="0.25">
      <c r="A293" s="245" t="str">
        <f t="shared" si="39"/>
        <v/>
      </c>
      <c r="B293" s="246" t="str">
        <f t="shared" si="32"/>
        <v/>
      </c>
      <c r="C293" s="246" t="str">
        <f>IF(B293="","",VLOOKUP(D293,'Species Data'!B:E,4,FALSE))</f>
        <v/>
      </c>
      <c r="D293" s="246" t="str">
        <f t="shared" ca="1" si="33"/>
        <v/>
      </c>
      <c r="E293" s="246" t="str">
        <f t="shared" ca="1" si="34"/>
        <v/>
      </c>
      <c r="F293" s="246" t="str">
        <f t="shared" ca="1" si="35"/>
        <v/>
      </c>
      <c r="G293" s="246" t="str">
        <f t="shared" ca="1" si="36"/>
        <v/>
      </c>
      <c r="H293" s="204" t="str">
        <f ca="1">IF(G293="","",IF(VLOOKUP(Separator!F293,'Species Data'!D:F,3,FALSE)=0,"X",IF(G293&lt;44.1,2,1)))</f>
        <v/>
      </c>
      <c r="I293" s="204" t="str">
        <f t="shared" ca="1" si="37"/>
        <v/>
      </c>
      <c r="J293" s="247" t="str">
        <f ca="1">IF(I293="","",IF(COUNTIF($D$12:D293,D293)=1,IF(H293=1,I293*H293,IF(H293="X","X",0)),0))</f>
        <v/>
      </c>
      <c r="K293" s="248" t="str">
        <f t="shared" ca="1" si="38"/>
        <v/>
      </c>
      <c r="L293" s="239"/>
      <c r="M293" s="215"/>
      <c r="N293" s="215"/>
      <c r="O293" s="216"/>
      <c r="P293" s="215"/>
      <c r="Q293" s="217"/>
      <c r="R293" s="215"/>
      <c r="S293" s="215"/>
      <c r="T293" s="215"/>
      <c r="U293" s="215"/>
      <c r="V293" s="217"/>
      <c r="W293" s="217"/>
      <c r="X293" s="217"/>
      <c r="Y293" s="217"/>
      <c r="Z293" s="217"/>
      <c r="AA293" s="215"/>
      <c r="AB293" s="215"/>
      <c r="AC293" s="215"/>
      <c r="AD293" s="217">
        <v>2.3802949999999998</v>
      </c>
      <c r="AE293" s="217">
        <v>529</v>
      </c>
      <c r="AF293" s="217">
        <v>47.8262</v>
      </c>
      <c r="AG293" s="217">
        <v>-99</v>
      </c>
      <c r="AH293" s="215" t="s">
        <v>224</v>
      </c>
      <c r="AI293" s="215" t="s">
        <v>449</v>
      </c>
      <c r="AJ293" s="215" t="s">
        <v>271</v>
      </c>
      <c r="AK293" s="215" t="s">
        <v>531</v>
      </c>
      <c r="AL293" s="215" t="s">
        <v>376</v>
      </c>
      <c r="AM293" s="217" t="b">
        <v>0</v>
      </c>
      <c r="AN293" s="217" t="b">
        <v>0</v>
      </c>
      <c r="AO293" s="215" t="s">
        <v>272</v>
      </c>
      <c r="AP293" s="215" t="s">
        <v>531</v>
      </c>
      <c r="AQ293" s="217">
        <v>16.042459999999998</v>
      </c>
      <c r="AR293" s="217" t="b">
        <v>1</v>
      </c>
      <c r="AS293" s="215" t="s">
        <v>534</v>
      </c>
    </row>
    <row r="294" spans="1:45" s="218" customFormat="1" x14ac:dyDescent="0.25">
      <c r="A294" s="245" t="str">
        <f t="shared" si="39"/>
        <v/>
      </c>
      <c r="B294" s="246" t="str">
        <f t="shared" si="32"/>
        <v/>
      </c>
      <c r="C294" s="246" t="str">
        <f>IF(B294="","",VLOOKUP(D294,'Species Data'!B:E,4,FALSE))</f>
        <v/>
      </c>
      <c r="D294" s="246" t="str">
        <f t="shared" ca="1" si="33"/>
        <v/>
      </c>
      <c r="E294" s="246" t="str">
        <f t="shared" ca="1" si="34"/>
        <v/>
      </c>
      <c r="F294" s="246" t="str">
        <f t="shared" ca="1" si="35"/>
        <v/>
      </c>
      <c r="G294" s="246" t="str">
        <f t="shared" ca="1" si="36"/>
        <v/>
      </c>
      <c r="H294" s="204" t="str">
        <f ca="1">IF(G294="","",IF(VLOOKUP(Separator!F294,'Species Data'!D:F,3,FALSE)=0,"X",IF(G294&lt;44.1,2,1)))</f>
        <v/>
      </c>
      <c r="I294" s="204" t="str">
        <f t="shared" ca="1" si="37"/>
        <v/>
      </c>
      <c r="J294" s="247" t="str">
        <f ca="1">IF(I294="","",IF(COUNTIF($D$12:D294,D294)=1,IF(H294=1,I294*H294,IF(H294="X","X",0)),0))</f>
        <v/>
      </c>
      <c r="K294" s="248" t="str">
        <f t="shared" ca="1" si="38"/>
        <v/>
      </c>
      <c r="L294" s="239"/>
      <c r="M294" s="215"/>
      <c r="N294" s="215"/>
      <c r="O294" s="216"/>
      <c r="P294" s="215"/>
      <c r="Q294" s="217"/>
      <c r="R294" s="215"/>
      <c r="S294" s="215"/>
      <c r="T294" s="215"/>
      <c r="U294" s="215"/>
      <c r="V294" s="217"/>
      <c r="W294" s="217"/>
      <c r="X294" s="217"/>
      <c r="Y294" s="217"/>
      <c r="Z294" s="217"/>
      <c r="AA294" s="215"/>
      <c r="AB294" s="215"/>
      <c r="AC294" s="215"/>
      <c r="AD294" s="217">
        <v>2.3802949999999998</v>
      </c>
      <c r="AE294" s="217">
        <v>551</v>
      </c>
      <c r="AF294" s="217">
        <v>1.6400000000000001E-2</v>
      </c>
      <c r="AG294" s="217">
        <v>-99</v>
      </c>
      <c r="AH294" s="215" t="s">
        <v>224</v>
      </c>
      <c r="AI294" s="215" t="s">
        <v>449</v>
      </c>
      <c r="AJ294" s="215" t="s">
        <v>351</v>
      </c>
      <c r="AK294" s="215" t="s">
        <v>531</v>
      </c>
      <c r="AL294" s="215" t="s">
        <v>397</v>
      </c>
      <c r="AM294" s="217" t="b">
        <v>1</v>
      </c>
      <c r="AN294" s="217" t="b">
        <v>0</v>
      </c>
      <c r="AO294" s="215" t="s">
        <v>352</v>
      </c>
      <c r="AP294" s="215" t="s">
        <v>353</v>
      </c>
      <c r="AQ294" s="217">
        <v>84.159480000000002</v>
      </c>
      <c r="AR294" s="217" t="b">
        <v>0</v>
      </c>
      <c r="AS294" s="215" t="s">
        <v>534</v>
      </c>
    </row>
    <row r="295" spans="1:45" s="218" customFormat="1" x14ac:dyDescent="0.25">
      <c r="A295" s="245" t="str">
        <f t="shared" si="39"/>
        <v/>
      </c>
      <c r="B295" s="246" t="str">
        <f t="shared" si="32"/>
        <v/>
      </c>
      <c r="C295" s="246" t="str">
        <f>IF(B295="","",VLOOKUP(D295,'Species Data'!B:E,4,FALSE))</f>
        <v/>
      </c>
      <c r="D295" s="246" t="str">
        <f t="shared" ca="1" si="33"/>
        <v/>
      </c>
      <c r="E295" s="246" t="str">
        <f t="shared" ca="1" si="34"/>
        <v/>
      </c>
      <c r="F295" s="246" t="str">
        <f t="shared" ca="1" si="35"/>
        <v/>
      </c>
      <c r="G295" s="246" t="str">
        <f t="shared" ca="1" si="36"/>
        <v/>
      </c>
      <c r="H295" s="204" t="str">
        <f ca="1">IF(G295="","",IF(VLOOKUP(Separator!F295,'Species Data'!D:F,3,FALSE)=0,"X",IF(G295&lt;44.1,2,1)))</f>
        <v/>
      </c>
      <c r="I295" s="204" t="str">
        <f t="shared" ca="1" si="37"/>
        <v/>
      </c>
      <c r="J295" s="247" t="str">
        <f ca="1">IF(I295="","",IF(COUNTIF($D$12:D295,D295)=1,IF(H295=1,I295*H295,IF(H295="X","X",0)),0))</f>
        <v/>
      </c>
      <c r="K295" s="248" t="str">
        <f t="shared" ca="1" si="38"/>
        <v/>
      </c>
      <c r="L295" s="239"/>
      <c r="M295" s="215"/>
      <c r="N295" s="215"/>
      <c r="O295" s="216"/>
      <c r="P295" s="215"/>
      <c r="Q295" s="217"/>
      <c r="R295" s="215"/>
      <c r="S295" s="215"/>
      <c r="T295" s="215"/>
      <c r="U295" s="215"/>
      <c r="V295" s="217"/>
      <c r="W295" s="217"/>
      <c r="X295" s="217"/>
      <c r="Y295" s="217"/>
      <c r="Z295" s="217"/>
      <c r="AA295" s="215"/>
      <c r="AB295" s="215"/>
      <c r="AC295" s="215"/>
      <c r="AD295" s="217">
        <v>2.3802949999999998</v>
      </c>
      <c r="AE295" s="217">
        <v>592</v>
      </c>
      <c r="AF295" s="217">
        <v>7.7709999999999999</v>
      </c>
      <c r="AG295" s="217">
        <v>-99</v>
      </c>
      <c r="AH295" s="215" t="s">
        <v>224</v>
      </c>
      <c r="AI295" s="215" t="s">
        <v>449</v>
      </c>
      <c r="AJ295" s="215" t="s">
        <v>273</v>
      </c>
      <c r="AK295" s="215" t="s">
        <v>531</v>
      </c>
      <c r="AL295" s="215" t="s">
        <v>377</v>
      </c>
      <c r="AM295" s="217" t="b">
        <v>1</v>
      </c>
      <c r="AN295" s="217" t="b">
        <v>0</v>
      </c>
      <c r="AO295" s="215" t="s">
        <v>274</v>
      </c>
      <c r="AP295" s="215" t="s">
        <v>275</v>
      </c>
      <c r="AQ295" s="217">
        <v>58.122199999999992</v>
      </c>
      <c r="AR295" s="217" t="b">
        <v>0</v>
      </c>
      <c r="AS295" s="215" t="s">
        <v>534</v>
      </c>
    </row>
    <row r="296" spans="1:45" s="218" customFormat="1" x14ac:dyDescent="0.25">
      <c r="A296" s="245" t="str">
        <f t="shared" si="39"/>
        <v/>
      </c>
      <c r="B296" s="246" t="str">
        <f t="shared" si="32"/>
        <v/>
      </c>
      <c r="C296" s="246" t="str">
        <f>IF(B296="","",VLOOKUP(D296,'Species Data'!B:E,4,FALSE))</f>
        <v/>
      </c>
      <c r="D296" s="246" t="str">
        <f t="shared" ca="1" si="33"/>
        <v/>
      </c>
      <c r="E296" s="246" t="str">
        <f t="shared" ca="1" si="34"/>
        <v/>
      </c>
      <c r="F296" s="246" t="str">
        <f t="shared" ca="1" si="35"/>
        <v/>
      </c>
      <c r="G296" s="246" t="str">
        <f t="shared" ca="1" si="36"/>
        <v/>
      </c>
      <c r="H296" s="204" t="str">
        <f ca="1">IF(G296="","",IF(VLOOKUP(Separator!F296,'Species Data'!D:F,3,FALSE)=0,"X",IF(G296&lt;44.1,2,1)))</f>
        <v/>
      </c>
      <c r="I296" s="204" t="str">
        <f t="shared" ca="1" si="37"/>
        <v/>
      </c>
      <c r="J296" s="247" t="str">
        <f ca="1">IF(I296="","",IF(COUNTIF($D$12:D296,D296)=1,IF(H296=1,I296*H296,IF(H296="X","X",0)),0))</f>
        <v/>
      </c>
      <c r="K296" s="248" t="str">
        <f t="shared" ca="1" si="38"/>
        <v/>
      </c>
      <c r="L296" s="239"/>
      <c r="M296" s="215"/>
      <c r="N296" s="215"/>
      <c r="O296" s="216"/>
      <c r="P296" s="215"/>
      <c r="Q296" s="217"/>
      <c r="R296" s="215"/>
      <c r="S296" s="215"/>
      <c r="T296" s="215"/>
      <c r="U296" s="215"/>
      <c r="V296" s="217"/>
      <c r="W296" s="217"/>
      <c r="X296" s="217"/>
      <c r="Y296" s="217"/>
      <c r="Z296" s="217"/>
      <c r="AA296" s="215"/>
      <c r="AB296" s="215"/>
      <c r="AC296" s="215"/>
      <c r="AD296" s="217">
        <v>2.3802949999999998</v>
      </c>
      <c r="AE296" s="217">
        <v>598</v>
      </c>
      <c r="AF296" s="217">
        <v>1.1000000000000001E-3</v>
      </c>
      <c r="AG296" s="217">
        <v>-99</v>
      </c>
      <c r="AH296" s="215" t="s">
        <v>224</v>
      </c>
      <c r="AI296" s="215" t="s">
        <v>449</v>
      </c>
      <c r="AJ296" s="215" t="s">
        <v>414</v>
      </c>
      <c r="AK296" s="215" t="s">
        <v>531</v>
      </c>
      <c r="AL296" s="215" t="s">
        <v>452</v>
      </c>
      <c r="AM296" s="217" t="b">
        <v>1</v>
      </c>
      <c r="AN296" s="217" t="b">
        <v>0</v>
      </c>
      <c r="AO296" s="215" t="s">
        <v>415</v>
      </c>
      <c r="AP296" s="215" t="s">
        <v>416</v>
      </c>
      <c r="AQ296" s="217">
        <v>142.28167999999999</v>
      </c>
      <c r="AR296" s="217" t="b">
        <v>0</v>
      </c>
      <c r="AS296" s="215" t="s">
        <v>534</v>
      </c>
    </row>
    <row r="297" spans="1:45" s="218" customFormat="1" x14ac:dyDescent="0.25">
      <c r="A297" s="245" t="str">
        <f t="shared" si="39"/>
        <v/>
      </c>
      <c r="B297" s="246" t="str">
        <f t="shared" si="32"/>
        <v/>
      </c>
      <c r="C297" s="246" t="str">
        <f>IF(B297="","",VLOOKUP(D297,'Species Data'!B:E,4,FALSE))</f>
        <v/>
      </c>
      <c r="D297" s="246" t="str">
        <f t="shared" ca="1" si="33"/>
        <v/>
      </c>
      <c r="E297" s="246" t="str">
        <f t="shared" ca="1" si="34"/>
        <v/>
      </c>
      <c r="F297" s="246" t="str">
        <f t="shared" ca="1" si="35"/>
        <v/>
      </c>
      <c r="G297" s="246" t="str">
        <f t="shared" ca="1" si="36"/>
        <v/>
      </c>
      <c r="H297" s="204" t="str">
        <f ca="1">IF(G297="","",IF(VLOOKUP(Separator!F297,'Species Data'!D:F,3,FALSE)=0,"X",IF(G297&lt;44.1,2,1)))</f>
        <v/>
      </c>
      <c r="I297" s="204" t="str">
        <f t="shared" ca="1" si="37"/>
        <v/>
      </c>
      <c r="J297" s="247" t="str">
        <f ca="1">IF(I297="","",IF(COUNTIF($D$12:D297,D297)=1,IF(H297=1,I297*H297,IF(H297="X","X",0)),0))</f>
        <v/>
      </c>
      <c r="K297" s="248" t="str">
        <f t="shared" ca="1" si="38"/>
        <v/>
      </c>
      <c r="L297" s="239"/>
      <c r="M297" s="215"/>
      <c r="N297" s="215"/>
      <c r="O297" s="216"/>
      <c r="P297" s="215"/>
      <c r="Q297" s="217"/>
      <c r="R297" s="215"/>
      <c r="S297" s="215"/>
      <c r="T297" s="215"/>
      <c r="U297" s="215"/>
      <c r="V297" s="217"/>
      <c r="W297" s="217"/>
      <c r="X297" s="217"/>
      <c r="Y297" s="217"/>
      <c r="Z297" s="217"/>
      <c r="AA297" s="215"/>
      <c r="AB297" s="215"/>
      <c r="AC297" s="215"/>
      <c r="AD297" s="217">
        <v>2.3802949999999998</v>
      </c>
      <c r="AE297" s="217">
        <v>600</v>
      </c>
      <c r="AF297" s="217">
        <v>0.31640000000000001</v>
      </c>
      <c r="AG297" s="217">
        <v>-99</v>
      </c>
      <c r="AH297" s="215" t="s">
        <v>224</v>
      </c>
      <c r="AI297" s="215" t="s">
        <v>449</v>
      </c>
      <c r="AJ297" s="215" t="s">
        <v>276</v>
      </c>
      <c r="AK297" s="215" t="s">
        <v>531</v>
      </c>
      <c r="AL297" s="215" t="s">
        <v>378</v>
      </c>
      <c r="AM297" s="217" t="b">
        <v>1</v>
      </c>
      <c r="AN297" s="217" t="b">
        <v>0</v>
      </c>
      <c r="AO297" s="215" t="s">
        <v>277</v>
      </c>
      <c r="AP297" s="215" t="s">
        <v>278</v>
      </c>
      <c r="AQ297" s="217">
        <v>100.20194000000001</v>
      </c>
      <c r="AR297" s="217" t="b">
        <v>0</v>
      </c>
      <c r="AS297" s="215" t="s">
        <v>534</v>
      </c>
    </row>
    <row r="298" spans="1:45" s="218" customFormat="1" x14ac:dyDescent="0.25">
      <c r="A298" s="245" t="str">
        <f t="shared" si="39"/>
        <v/>
      </c>
      <c r="B298" s="246" t="str">
        <f t="shared" si="32"/>
        <v/>
      </c>
      <c r="C298" s="246" t="str">
        <f>IF(B298="","",VLOOKUP(D298,'Species Data'!B:E,4,FALSE))</f>
        <v/>
      </c>
      <c r="D298" s="246" t="str">
        <f t="shared" ca="1" si="33"/>
        <v/>
      </c>
      <c r="E298" s="246" t="str">
        <f t="shared" ca="1" si="34"/>
        <v/>
      </c>
      <c r="F298" s="246" t="str">
        <f t="shared" ca="1" si="35"/>
        <v/>
      </c>
      <c r="G298" s="246" t="str">
        <f t="shared" ca="1" si="36"/>
        <v/>
      </c>
      <c r="H298" s="204" t="str">
        <f ca="1">IF(G298="","",IF(VLOOKUP(Separator!F298,'Species Data'!D:F,3,FALSE)=0,"X",IF(G298&lt;44.1,2,1)))</f>
        <v/>
      </c>
      <c r="I298" s="204" t="str">
        <f t="shared" ca="1" si="37"/>
        <v/>
      </c>
      <c r="J298" s="247" t="str">
        <f ca="1">IF(I298="","",IF(COUNTIF($D$12:D298,D298)=1,IF(H298=1,I298*H298,IF(H298="X","X",0)),0))</f>
        <v/>
      </c>
      <c r="K298" s="248" t="str">
        <f t="shared" ca="1" si="38"/>
        <v/>
      </c>
      <c r="L298" s="239"/>
      <c r="M298" s="215"/>
      <c r="N298" s="215"/>
      <c r="O298" s="216"/>
      <c r="P298" s="215"/>
      <c r="Q298" s="217"/>
      <c r="R298" s="215"/>
      <c r="S298" s="215"/>
      <c r="T298" s="215"/>
      <c r="U298" s="215"/>
      <c r="V298" s="217"/>
      <c r="W298" s="217"/>
      <c r="X298" s="217"/>
      <c r="Y298" s="217"/>
      <c r="Z298" s="217"/>
      <c r="AA298" s="215"/>
      <c r="AB298" s="215"/>
      <c r="AC298" s="215"/>
      <c r="AD298" s="217">
        <v>2.3802949999999998</v>
      </c>
      <c r="AE298" s="217">
        <v>601</v>
      </c>
      <c r="AF298" s="217">
        <v>1.1569</v>
      </c>
      <c r="AG298" s="217">
        <v>-99</v>
      </c>
      <c r="AH298" s="215" t="s">
        <v>224</v>
      </c>
      <c r="AI298" s="215" t="s">
        <v>449</v>
      </c>
      <c r="AJ298" s="215" t="s">
        <v>279</v>
      </c>
      <c r="AK298" s="215" t="s">
        <v>531</v>
      </c>
      <c r="AL298" s="215" t="s">
        <v>379</v>
      </c>
      <c r="AM298" s="217" t="b">
        <v>1</v>
      </c>
      <c r="AN298" s="217" t="b">
        <v>1</v>
      </c>
      <c r="AO298" s="215" t="s">
        <v>280</v>
      </c>
      <c r="AP298" s="215" t="s">
        <v>281</v>
      </c>
      <c r="AQ298" s="217">
        <v>86.175359999999998</v>
      </c>
      <c r="AR298" s="217" t="b">
        <v>0</v>
      </c>
      <c r="AS298" s="215" t="s">
        <v>534</v>
      </c>
    </row>
    <row r="299" spans="1:45" s="218" customFormat="1" x14ac:dyDescent="0.25">
      <c r="A299" s="245" t="str">
        <f t="shared" si="39"/>
        <v/>
      </c>
      <c r="B299" s="246" t="str">
        <f t="shared" si="32"/>
        <v/>
      </c>
      <c r="C299" s="246" t="str">
        <f>IF(B299="","",VLOOKUP(D299,'Species Data'!B:E,4,FALSE))</f>
        <v/>
      </c>
      <c r="D299" s="246" t="str">
        <f t="shared" ca="1" si="33"/>
        <v/>
      </c>
      <c r="E299" s="246" t="str">
        <f t="shared" ca="1" si="34"/>
        <v/>
      </c>
      <c r="F299" s="246" t="str">
        <f t="shared" ca="1" si="35"/>
        <v/>
      </c>
      <c r="G299" s="246" t="str">
        <f t="shared" ca="1" si="36"/>
        <v/>
      </c>
      <c r="H299" s="204" t="str">
        <f ca="1">IF(G299="","",IF(VLOOKUP(Separator!F299,'Species Data'!D:F,3,FALSE)=0,"X",IF(G299&lt;44.1,2,1)))</f>
        <v/>
      </c>
      <c r="I299" s="204" t="str">
        <f t="shared" ca="1" si="37"/>
        <v/>
      </c>
      <c r="J299" s="247" t="str">
        <f ca="1">IF(I299="","",IF(COUNTIF($D$12:D299,D299)=1,IF(H299=1,I299*H299,IF(H299="X","X",0)),0))</f>
        <v/>
      </c>
      <c r="K299" s="248" t="str">
        <f t="shared" ca="1" si="38"/>
        <v/>
      </c>
      <c r="L299" s="239"/>
      <c r="M299" s="215"/>
      <c r="N299" s="215"/>
      <c r="O299" s="216"/>
      <c r="P299" s="215"/>
      <c r="Q299" s="217"/>
      <c r="R299" s="215"/>
      <c r="S299" s="215"/>
      <c r="T299" s="215"/>
      <c r="U299" s="215"/>
      <c r="V299" s="217"/>
      <c r="W299" s="217"/>
      <c r="X299" s="217"/>
      <c r="Y299" s="217"/>
      <c r="Z299" s="217"/>
      <c r="AA299" s="215"/>
      <c r="AB299" s="215"/>
      <c r="AC299" s="215"/>
      <c r="AD299" s="217">
        <v>2.3802949999999998</v>
      </c>
      <c r="AE299" s="217">
        <v>603</v>
      </c>
      <c r="AF299" s="217">
        <v>1.8599999999999998E-2</v>
      </c>
      <c r="AG299" s="217">
        <v>-99</v>
      </c>
      <c r="AH299" s="215" t="s">
        <v>224</v>
      </c>
      <c r="AI299" s="215" t="s">
        <v>449</v>
      </c>
      <c r="AJ299" s="215" t="s">
        <v>417</v>
      </c>
      <c r="AK299" s="215" t="s">
        <v>531</v>
      </c>
      <c r="AL299" s="215" t="s">
        <v>453</v>
      </c>
      <c r="AM299" s="217" t="b">
        <v>1</v>
      </c>
      <c r="AN299" s="217" t="b">
        <v>0</v>
      </c>
      <c r="AO299" s="215" t="s">
        <v>418</v>
      </c>
      <c r="AP299" s="215" t="s">
        <v>419</v>
      </c>
      <c r="AQ299" s="217">
        <v>128.2551</v>
      </c>
      <c r="AR299" s="217" t="b">
        <v>0</v>
      </c>
      <c r="AS299" s="215" t="s">
        <v>534</v>
      </c>
    </row>
    <row r="300" spans="1:45" s="218" customFormat="1" x14ac:dyDescent="0.25">
      <c r="A300" s="245" t="str">
        <f t="shared" si="39"/>
        <v/>
      </c>
      <c r="B300" s="246" t="str">
        <f t="shared" si="32"/>
        <v/>
      </c>
      <c r="C300" s="246" t="str">
        <f>IF(B300="","",VLOOKUP(D300,'Species Data'!B:E,4,FALSE))</f>
        <v/>
      </c>
      <c r="D300" s="246" t="str">
        <f t="shared" ca="1" si="33"/>
        <v/>
      </c>
      <c r="E300" s="246" t="str">
        <f t="shared" ca="1" si="34"/>
        <v/>
      </c>
      <c r="F300" s="246" t="str">
        <f t="shared" ca="1" si="35"/>
        <v/>
      </c>
      <c r="G300" s="246" t="str">
        <f t="shared" ca="1" si="36"/>
        <v/>
      </c>
      <c r="H300" s="204" t="str">
        <f ca="1">IF(G300="","",IF(VLOOKUP(Separator!F300,'Species Data'!D:F,3,FALSE)=0,"X",IF(G300&lt;44.1,2,1)))</f>
        <v/>
      </c>
      <c r="I300" s="204" t="str">
        <f t="shared" ca="1" si="37"/>
        <v/>
      </c>
      <c r="J300" s="247" t="str">
        <f ca="1">IF(I300="","",IF(COUNTIF($D$12:D300,D300)=1,IF(H300=1,I300*H300,IF(H300="X","X",0)),0))</f>
        <v/>
      </c>
      <c r="K300" s="248" t="str">
        <f t="shared" ca="1" si="38"/>
        <v/>
      </c>
      <c r="L300" s="239"/>
      <c r="M300" s="215"/>
      <c r="N300" s="215"/>
      <c r="O300" s="216"/>
      <c r="P300" s="215"/>
      <c r="Q300" s="217"/>
      <c r="R300" s="215"/>
      <c r="S300" s="215"/>
      <c r="T300" s="215"/>
      <c r="U300" s="215"/>
      <c r="V300" s="217"/>
      <c r="W300" s="217"/>
      <c r="X300" s="217"/>
      <c r="Y300" s="217"/>
      <c r="Z300" s="217"/>
      <c r="AA300" s="215"/>
      <c r="AB300" s="215"/>
      <c r="AC300" s="215"/>
      <c r="AD300" s="217">
        <v>2.3802949999999998</v>
      </c>
      <c r="AE300" s="217">
        <v>604</v>
      </c>
      <c r="AF300" s="217">
        <v>8.14E-2</v>
      </c>
      <c r="AG300" s="217">
        <v>-99</v>
      </c>
      <c r="AH300" s="215" t="s">
        <v>224</v>
      </c>
      <c r="AI300" s="215" t="s">
        <v>449</v>
      </c>
      <c r="AJ300" s="215" t="s">
        <v>282</v>
      </c>
      <c r="AK300" s="215" t="s">
        <v>531</v>
      </c>
      <c r="AL300" s="215" t="s">
        <v>380</v>
      </c>
      <c r="AM300" s="217" t="b">
        <v>1</v>
      </c>
      <c r="AN300" s="217" t="b">
        <v>0</v>
      </c>
      <c r="AO300" s="215" t="s">
        <v>283</v>
      </c>
      <c r="AP300" s="215" t="s">
        <v>284</v>
      </c>
      <c r="AQ300" s="217">
        <v>114.22852</v>
      </c>
      <c r="AR300" s="217" t="b">
        <v>0</v>
      </c>
      <c r="AS300" s="215" t="s">
        <v>534</v>
      </c>
    </row>
    <row r="301" spans="1:45" s="218" customFormat="1" x14ac:dyDescent="0.25">
      <c r="A301" s="245" t="str">
        <f t="shared" si="39"/>
        <v/>
      </c>
      <c r="B301" s="246" t="str">
        <f t="shared" si="32"/>
        <v/>
      </c>
      <c r="C301" s="246" t="str">
        <f>IF(B301="","",VLOOKUP(D301,'Species Data'!B:E,4,FALSE))</f>
        <v/>
      </c>
      <c r="D301" s="246" t="str">
        <f t="shared" ca="1" si="33"/>
        <v/>
      </c>
      <c r="E301" s="246" t="str">
        <f t="shared" ca="1" si="34"/>
        <v/>
      </c>
      <c r="F301" s="246" t="str">
        <f t="shared" ca="1" si="35"/>
        <v/>
      </c>
      <c r="G301" s="246" t="str">
        <f t="shared" ca="1" si="36"/>
        <v/>
      </c>
      <c r="H301" s="204" t="str">
        <f ca="1">IF(G301="","",IF(VLOOKUP(Separator!F301,'Species Data'!D:F,3,FALSE)=0,"X",IF(G301&lt;44.1,2,1)))</f>
        <v/>
      </c>
      <c r="I301" s="204" t="str">
        <f t="shared" ca="1" si="37"/>
        <v/>
      </c>
      <c r="J301" s="247" t="str">
        <f ca="1">IF(I301="","",IF(COUNTIF($D$12:D301,D301)=1,IF(H301=1,I301*H301,IF(H301="X","X",0)),0))</f>
        <v/>
      </c>
      <c r="K301" s="248" t="str">
        <f t="shared" ca="1" si="38"/>
        <v/>
      </c>
      <c r="L301" s="239"/>
      <c r="M301" s="215"/>
      <c r="N301" s="215"/>
      <c r="O301" s="216"/>
      <c r="P301" s="215"/>
      <c r="Q301" s="217"/>
      <c r="R301" s="215"/>
      <c r="S301" s="215"/>
      <c r="T301" s="215"/>
      <c r="U301" s="215"/>
      <c r="V301" s="217"/>
      <c r="W301" s="217"/>
      <c r="X301" s="217"/>
      <c r="Y301" s="217"/>
      <c r="Z301" s="217"/>
      <c r="AA301" s="215"/>
      <c r="AB301" s="215"/>
      <c r="AC301" s="215"/>
      <c r="AD301" s="217">
        <v>2.3802949999999998</v>
      </c>
      <c r="AE301" s="217">
        <v>605</v>
      </c>
      <c r="AF301" s="217">
        <v>3.3931</v>
      </c>
      <c r="AG301" s="217">
        <v>-99</v>
      </c>
      <c r="AH301" s="215" t="s">
        <v>224</v>
      </c>
      <c r="AI301" s="215" t="s">
        <v>449</v>
      </c>
      <c r="AJ301" s="215" t="s">
        <v>285</v>
      </c>
      <c r="AK301" s="215" t="s">
        <v>531</v>
      </c>
      <c r="AL301" s="215" t="s">
        <v>381</v>
      </c>
      <c r="AM301" s="217" t="b">
        <v>1</v>
      </c>
      <c r="AN301" s="217" t="b">
        <v>0</v>
      </c>
      <c r="AO301" s="215" t="s">
        <v>286</v>
      </c>
      <c r="AP301" s="215" t="s">
        <v>287</v>
      </c>
      <c r="AQ301" s="217">
        <v>72.148780000000002</v>
      </c>
      <c r="AR301" s="217" t="b">
        <v>0</v>
      </c>
      <c r="AS301" s="215" t="s">
        <v>534</v>
      </c>
    </row>
    <row r="302" spans="1:45" s="218" customFormat="1" x14ac:dyDescent="0.25">
      <c r="A302" s="245" t="str">
        <f t="shared" si="39"/>
        <v/>
      </c>
      <c r="B302" s="246" t="str">
        <f t="shared" si="32"/>
        <v/>
      </c>
      <c r="C302" s="246" t="str">
        <f>IF(B302="","",VLOOKUP(D302,'Species Data'!B:E,4,FALSE))</f>
        <v/>
      </c>
      <c r="D302" s="246" t="str">
        <f t="shared" ca="1" si="33"/>
        <v/>
      </c>
      <c r="E302" s="246" t="str">
        <f t="shared" ca="1" si="34"/>
        <v/>
      </c>
      <c r="F302" s="246" t="str">
        <f t="shared" ca="1" si="35"/>
        <v/>
      </c>
      <c r="G302" s="246" t="str">
        <f t="shared" ca="1" si="36"/>
        <v/>
      </c>
      <c r="H302" s="204" t="str">
        <f ca="1">IF(G302="","",IF(VLOOKUP(Separator!F302,'Species Data'!D:F,3,FALSE)=0,"X",IF(G302&lt;44.1,2,1)))</f>
        <v/>
      </c>
      <c r="I302" s="204" t="str">
        <f t="shared" ca="1" si="37"/>
        <v/>
      </c>
      <c r="J302" s="247" t="str">
        <f ca="1">IF(I302="","",IF(COUNTIF($D$12:D302,D302)=1,IF(H302=1,I302*H302,IF(H302="X","X",0)),0))</f>
        <v/>
      </c>
      <c r="K302" s="248" t="str">
        <f t="shared" ca="1" si="38"/>
        <v/>
      </c>
      <c r="L302" s="239"/>
      <c r="M302" s="215"/>
      <c r="N302" s="215"/>
      <c r="O302" s="216"/>
      <c r="P302" s="215"/>
      <c r="Q302" s="217"/>
      <c r="R302" s="215"/>
      <c r="S302" s="215"/>
      <c r="T302" s="215"/>
      <c r="U302" s="215"/>
      <c r="V302" s="217"/>
      <c r="W302" s="217"/>
      <c r="X302" s="217"/>
      <c r="Y302" s="217"/>
      <c r="Z302" s="217"/>
      <c r="AA302" s="215"/>
      <c r="AB302" s="215"/>
      <c r="AC302" s="215"/>
      <c r="AD302" s="217">
        <v>2.3802949999999998</v>
      </c>
      <c r="AE302" s="217">
        <v>608</v>
      </c>
      <c r="AF302" s="217">
        <v>2.3400000000000001E-2</v>
      </c>
      <c r="AG302" s="217">
        <v>-99</v>
      </c>
      <c r="AH302" s="215" t="s">
        <v>224</v>
      </c>
      <c r="AI302" s="215" t="s">
        <v>449</v>
      </c>
      <c r="AJ302" s="215" t="s">
        <v>420</v>
      </c>
      <c r="AK302" s="215" t="s">
        <v>531</v>
      </c>
      <c r="AL302" s="215" t="s">
        <v>454</v>
      </c>
      <c r="AM302" s="217" t="b">
        <v>1</v>
      </c>
      <c r="AN302" s="217" t="b">
        <v>0</v>
      </c>
      <c r="AO302" s="215" t="s">
        <v>421</v>
      </c>
      <c r="AP302" s="215" t="s">
        <v>422</v>
      </c>
      <c r="AQ302" s="217">
        <v>120.19158</v>
      </c>
      <c r="AR302" s="217" t="b">
        <v>0</v>
      </c>
      <c r="AS302" s="215" t="s">
        <v>534</v>
      </c>
    </row>
    <row r="303" spans="1:45" s="218" customFormat="1" x14ac:dyDescent="0.25">
      <c r="A303" s="245" t="str">
        <f t="shared" si="39"/>
        <v/>
      </c>
      <c r="B303" s="246" t="str">
        <f t="shared" si="32"/>
        <v/>
      </c>
      <c r="C303" s="246" t="str">
        <f>IF(B303="","",VLOOKUP(D303,'Species Data'!B:E,4,FALSE))</f>
        <v/>
      </c>
      <c r="D303" s="246" t="str">
        <f t="shared" ca="1" si="33"/>
        <v/>
      </c>
      <c r="E303" s="246" t="str">
        <f t="shared" ca="1" si="34"/>
        <v/>
      </c>
      <c r="F303" s="246" t="str">
        <f t="shared" ca="1" si="35"/>
        <v/>
      </c>
      <c r="G303" s="246" t="str">
        <f t="shared" ca="1" si="36"/>
        <v/>
      </c>
      <c r="H303" s="204" t="str">
        <f ca="1">IF(G303="","",IF(VLOOKUP(Separator!F303,'Species Data'!D:F,3,FALSE)=0,"X",IF(G303&lt;44.1,2,1)))</f>
        <v/>
      </c>
      <c r="I303" s="204" t="str">
        <f t="shared" ca="1" si="37"/>
        <v/>
      </c>
      <c r="J303" s="247" t="str">
        <f ca="1">IF(I303="","",IF(COUNTIF($D$12:D303,D303)=1,IF(H303=1,I303*H303,IF(H303="X","X",0)),0))</f>
        <v/>
      </c>
      <c r="K303" s="248" t="str">
        <f t="shared" ca="1" si="38"/>
        <v/>
      </c>
      <c r="L303" s="239"/>
      <c r="M303" s="215"/>
      <c r="N303" s="215"/>
      <c r="O303" s="216"/>
      <c r="P303" s="215"/>
      <c r="Q303" s="217"/>
      <c r="R303" s="215"/>
      <c r="S303" s="215"/>
      <c r="T303" s="215"/>
      <c r="U303" s="215"/>
      <c r="V303" s="217"/>
      <c r="W303" s="217"/>
      <c r="X303" s="217"/>
      <c r="Y303" s="217"/>
      <c r="Z303" s="217"/>
      <c r="AA303" s="215"/>
      <c r="AB303" s="215"/>
      <c r="AC303" s="215"/>
      <c r="AD303" s="217">
        <v>2.3802949999999998</v>
      </c>
      <c r="AE303" s="217">
        <v>620</v>
      </c>
      <c r="AF303" s="217">
        <v>5.5999999999999999E-3</v>
      </c>
      <c r="AG303" s="217">
        <v>-99</v>
      </c>
      <c r="AH303" s="215" t="s">
        <v>224</v>
      </c>
      <c r="AI303" s="215" t="s">
        <v>449</v>
      </c>
      <c r="AJ303" s="215" t="s">
        <v>354</v>
      </c>
      <c r="AK303" s="215" t="s">
        <v>531</v>
      </c>
      <c r="AL303" s="215" t="s">
        <v>398</v>
      </c>
      <c r="AM303" s="217" t="b">
        <v>1</v>
      </c>
      <c r="AN303" s="217" t="b">
        <v>1</v>
      </c>
      <c r="AO303" s="215" t="s">
        <v>355</v>
      </c>
      <c r="AP303" s="215" t="s">
        <v>356</v>
      </c>
      <c r="AQ303" s="217">
        <v>106.16500000000001</v>
      </c>
      <c r="AR303" s="217" t="b">
        <v>0</v>
      </c>
      <c r="AS303" s="215" t="s">
        <v>534</v>
      </c>
    </row>
    <row r="304" spans="1:45" s="218" customFormat="1" x14ac:dyDescent="0.25">
      <c r="A304" s="245" t="str">
        <f t="shared" si="39"/>
        <v/>
      </c>
      <c r="B304" s="246" t="str">
        <f t="shared" si="32"/>
        <v/>
      </c>
      <c r="C304" s="246" t="str">
        <f>IF(B304="","",VLOOKUP(D304,'Species Data'!B:E,4,FALSE))</f>
        <v/>
      </c>
      <c r="D304" s="246" t="str">
        <f t="shared" ca="1" si="33"/>
        <v/>
      </c>
      <c r="E304" s="246" t="str">
        <f t="shared" ca="1" si="34"/>
        <v/>
      </c>
      <c r="F304" s="246" t="str">
        <f t="shared" ca="1" si="35"/>
        <v/>
      </c>
      <c r="G304" s="246" t="str">
        <f t="shared" ca="1" si="36"/>
        <v/>
      </c>
      <c r="H304" s="204" t="str">
        <f ca="1">IF(G304="","",IF(VLOOKUP(Separator!F304,'Species Data'!D:F,3,FALSE)=0,"X",IF(G304&lt;44.1,2,1)))</f>
        <v/>
      </c>
      <c r="I304" s="204" t="str">
        <f t="shared" ca="1" si="37"/>
        <v/>
      </c>
      <c r="J304" s="247" t="str">
        <f ca="1">IF(I304="","",IF(COUNTIF($D$12:D304,D304)=1,IF(H304=1,I304*H304,IF(H304="X","X",0)),0))</f>
        <v/>
      </c>
      <c r="K304" s="248" t="str">
        <f t="shared" ca="1" si="38"/>
        <v/>
      </c>
      <c r="L304" s="239"/>
      <c r="M304" s="215"/>
      <c r="N304" s="215"/>
      <c r="O304" s="216"/>
      <c r="P304" s="215"/>
      <c r="Q304" s="217"/>
      <c r="R304" s="215"/>
      <c r="S304" s="215"/>
      <c r="T304" s="215"/>
      <c r="U304" s="215"/>
      <c r="V304" s="217"/>
      <c r="W304" s="217"/>
      <c r="X304" s="217"/>
      <c r="Y304" s="217"/>
      <c r="Z304" s="217"/>
      <c r="AA304" s="215"/>
      <c r="AB304" s="215"/>
      <c r="AC304" s="215"/>
      <c r="AD304" s="217">
        <v>2.3802949999999998</v>
      </c>
      <c r="AE304" s="217">
        <v>648</v>
      </c>
      <c r="AF304" s="217">
        <v>4.4999999999999997E-3</v>
      </c>
      <c r="AG304" s="217">
        <v>-99</v>
      </c>
      <c r="AH304" s="215" t="s">
        <v>224</v>
      </c>
      <c r="AI304" s="215" t="s">
        <v>449</v>
      </c>
      <c r="AJ304" s="215" t="s">
        <v>433</v>
      </c>
      <c r="AK304" s="215" t="s">
        <v>531</v>
      </c>
      <c r="AL304" s="215" t="s">
        <v>459</v>
      </c>
      <c r="AM304" s="217" t="b">
        <v>0</v>
      </c>
      <c r="AN304" s="217" t="b">
        <v>1</v>
      </c>
      <c r="AO304" s="215" t="s">
        <v>434</v>
      </c>
      <c r="AP304" s="215" t="s">
        <v>435</v>
      </c>
      <c r="AQ304" s="217">
        <v>106.16500000000001</v>
      </c>
      <c r="AR304" s="217" t="b">
        <v>0</v>
      </c>
      <c r="AS304" s="215" t="s">
        <v>534</v>
      </c>
    </row>
    <row r="305" spans="1:45" s="218" customFormat="1" x14ac:dyDescent="0.25">
      <c r="A305" s="245" t="str">
        <f t="shared" si="39"/>
        <v/>
      </c>
      <c r="B305" s="246" t="str">
        <f t="shared" si="32"/>
        <v/>
      </c>
      <c r="C305" s="246" t="str">
        <f>IF(B305="","",VLOOKUP(D305,'Species Data'!B:E,4,FALSE))</f>
        <v/>
      </c>
      <c r="D305" s="246" t="str">
        <f t="shared" ca="1" si="33"/>
        <v/>
      </c>
      <c r="E305" s="246" t="str">
        <f t="shared" ca="1" si="34"/>
        <v/>
      </c>
      <c r="F305" s="246" t="str">
        <f t="shared" ca="1" si="35"/>
        <v/>
      </c>
      <c r="G305" s="246" t="str">
        <f t="shared" ca="1" si="36"/>
        <v/>
      </c>
      <c r="H305" s="204" t="str">
        <f ca="1">IF(G305="","",IF(VLOOKUP(Separator!F305,'Species Data'!D:F,3,FALSE)=0,"X",IF(G305&lt;44.1,2,1)))</f>
        <v/>
      </c>
      <c r="I305" s="204" t="str">
        <f t="shared" ca="1" si="37"/>
        <v/>
      </c>
      <c r="J305" s="247" t="str">
        <f ca="1">IF(I305="","",IF(COUNTIF($D$12:D305,D305)=1,IF(H305=1,I305*H305,IF(H305="X","X",0)),0))</f>
        <v/>
      </c>
      <c r="K305" s="248" t="str">
        <f t="shared" ca="1" si="38"/>
        <v/>
      </c>
      <c r="L305" s="239"/>
      <c r="M305" s="215"/>
      <c r="N305" s="215"/>
      <c r="O305" s="216"/>
      <c r="P305" s="215"/>
      <c r="Q305" s="217"/>
      <c r="R305" s="215"/>
      <c r="S305" s="215"/>
      <c r="T305" s="215"/>
      <c r="U305" s="215"/>
      <c r="V305" s="217"/>
      <c r="W305" s="217"/>
      <c r="X305" s="217"/>
      <c r="Y305" s="217"/>
      <c r="Z305" s="217"/>
      <c r="AA305" s="215"/>
      <c r="AB305" s="215"/>
      <c r="AC305" s="215"/>
      <c r="AD305" s="217">
        <v>2.3802949999999998</v>
      </c>
      <c r="AE305" s="217">
        <v>671</v>
      </c>
      <c r="AF305" s="217">
        <v>13.587300000000001</v>
      </c>
      <c r="AG305" s="217">
        <v>-99</v>
      </c>
      <c r="AH305" s="215" t="s">
        <v>224</v>
      </c>
      <c r="AI305" s="215" t="s">
        <v>449</v>
      </c>
      <c r="AJ305" s="215" t="s">
        <v>288</v>
      </c>
      <c r="AK305" s="215" t="s">
        <v>531</v>
      </c>
      <c r="AL305" s="215" t="s">
        <v>382</v>
      </c>
      <c r="AM305" s="217" t="b">
        <v>1</v>
      </c>
      <c r="AN305" s="217" t="b">
        <v>0</v>
      </c>
      <c r="AO305" s="215" t="s">
        <v>289</v>
      </c>
      <c r="AP305" s="215" t="s">
        <v>290</v>
      </c>
      <c r="AQ305" s="217">
        <v>44.095619999999997</v>
      </c>
      <c r="AR305" s="217" t="b">
        <v>0</v>
      </c>
      <c r="AS305" s="215" t="s">
        <v>534</v>
      </c>
    </row>
    <row r="306" spans="1:45" s="218" customFormat="1" x14ac:dyDescent="0.25">
      <c r="A306" s="245" t="str">
        <f t="shared" si="39"/>
        <v/>
      </c>
      <c r="B306" s="246" t="str">
        <f t="shared" si="32"/>
        <v/>
      </c>
      <c r="C306" s="246" t="str">
        <f>IF(B306="","",VLOOKUP(D306,'Species Data'!B:E,4,FALSE))</f>
        <v/>
      </c>
      <c r="D306" s="246" t="str">
        <f t="shared" ca="1" si="33"/>
        <v/>
      </c>
      <c r="E306" s="246" t="str">
        <f t="shared" ca="1" si="34"/>
        <v/>
      </c>
      <c r="F306" s="246" t="str">
        <f t="shared" ca="1" si="35"/>
        <v/>
      </c>
      <c r="G306" s="246" t="str">
        <f t="shared" ca="1" si="36"/>
        <v/>
      </c>
      <c r="H306" s="204" t="str">
        <f ca="1">IF(G306="","",IF(VLOOKUP(Separator!F306,'Species Data'!D:F,3,FALSE)=0,"X",IF(G306&lt;44.1,2,1)))</f>
        <v/>
      </c>
      <c r="I306" s="204" t="str">
        <f t="shared" ca="1" si="37"/>
        <v/>
      </c>
      <c r="J306" s="247" t="str">
        <f ca="1">IF(I306="","",IF(COUNTIF($D$12:D306,D306)=1,IF(H306=1,I306*H306,IF(H306="X","X",0)),0))</f>
        <v/>
      </c>
      <c r="K306" s="248" t="str">
        <f t="shared" ca="1" si="38"/>
        <v/>
      </c>
      <c r="L306" s="239"/>
      <c r="M306" s="215"/>
      <c r="N306" s="215"/>
      <c r="O306" s="216"/>
      <c r="P306" s="215"/>
      <c r="Q306" s="217"/>
      <c r="R306" s="215"/>
      <c r="S306" s="215"/>
      <c r="T306" s="215"/>
      <c r="U306" s="215"/>
      <c r="V306" s="217"/>
      <c r="W306" s="217"/>
      <c r="X306" s="217"/>
      <c r="Y306" s="217"/>
      <c r="Z306" s="217"/>
      <c r="AA306" s="215"/>
      <c r="AB306" s="215"/>
      <c r="AC306" s="215"/>
      <c r="AD306" s="217">
        <v>2.3802949999999998</v>
      </c>
      <c r="AE306" s="217">
        <v>703</v>
      </c>
      <c r="AF306" s="217">
        <v>8.3999999999999995E-3</v>
      </c>
      <c r="AG306" s="217">
        <v>-99</v>
      </c>
      <c r="AH306" s="215" t="s">
        <v>224</v>
      </c>
      <c r="AI306" s="215" t="s">
        <v>449</v>
      </c>
      <c r="AJ306" s="215" t="s">
        <v>423</v>
      </c>
      <c r="AK306" s="215" t="s">
        <v>531</v>
      </c>
      <c r="AL306" s="215" t="s">
        <v>455</v>
      </c>
      <c r="AM306" s="217" t="b">
        <v>0</v>
      </c>
      <c r="AN306" s="217" t="b">
        <v>0</v>
      </c>
      <c r="AO306" s="215" t="s">
        <v>424</v>
      </c>
      <c r="AP306" s="215" t="s">
        <v>531</v>
      </c>
      <c r="AQ306" s="217">
        <v>134.21816000000001</v>
      </c>
      <c r="AR306" s="217" t="b">
        <v>0</v>
      </c>
      <c r="AS306" s="215" t="s">
        <v>534</v>
      </c>
    </row>
    <row r="307" spans="1:45" s="218" customFormat="1" x14ac:dyDescent="0.25">
      <c r="A307" s="245" t="str">
        <f t="shared" si="39"/>
        <v/>
      </c>
      <c r="B307" s="246" t="str">
        <f t="shared" si="32"/>
        <v/>
      </c>
      <c r="C307" s="246" t="str">
        <f>IF(B307="","",VLOOKUP(D307,'Species Data'!B:E,4,FALSE))</f>
        <v/>
      </c>
      <c r="D307" s="246" t="str">
        <f t="shared" ca="1" si="33"/>
        <v/>
      </c>
      <c r="E307" s="246" t="str">
        <f t="shared" ca="1" si="34"/>
        <v/>
      </c>
      <c r="F307" s="246" t="str">
        <f t="shared" ca="1" si="35"/>
        <v/>
      </c>
      <c r="G307" s="246" t="str">
        <f t="shared" ca="1" si="36"/>
        <v/>
      </c>
      <c r="H307" s="204" t="str">
        <f ca="1">IF(G307="","",IF(VLOOKUP(Separator!F307,'Species Data'!D:F,3,FALSE)=0,"X",IF(G307&lt;44.1,2,1)))</f>
        <v/>
      </c>
      <c r="I307" s="204" t="str">
        <f t="shared" ca="1" si="37"/>
        <v/>
      </c>
      <c r="J307" s="247" t="str">
        <f ca="1">IF(I307="","",IF(COUNTIF($D$12:D307,D307)=1,IF(H307=1,I307*H307,IF(H307="X","X",0)),0))</f>
        <v/>
      </c>
      <c r="K307" s="248" t="str">
        <f t="shared" ca="1" si="38"/>
        <v/>
      </c>
      <c r="L307" s="239"/>
      <c r="M307" s="215"/>
      <c r="N307" s="215"/>
      <c r="O307" s="216"/>
      <c r="P307" s="215"/>
      <c r="Q307" s="217"/>
      <c r="R307" s="215"/>
      <c r="S307" s="215"/>
      <c r="T307" s="215"/>
      <c r="U307" s="215"/>
      <c r="V307" s="217"/>
      <c r="W307" s="217"/>
      <c r="X307" s="217"/>
      <c r="Y307" s="217"/>
      <c r="Z307" s="217"/>
      <c r="AA307" s="215"/>
      <c r="AB307" s="215"/>
      <c r="AC307" s="215"/>
      <c r="AD307" s="217">
        <v>2.3802949999999998</v>
      </c>
      <c r="AE307" s="217">
        <v>717</v>
      </c>
      <c r="AF307" s="217">
        <v>2.3599999999999999E-2</v>
      </c>
      <c r="AG307" s="217">
        <v>-99</v>
      </c>
      <c r="AH307" s="215" t="s">
        <v>224</v>
      </c>
      <c r="AI307" s="215" t="s">
        <v>449</v>
      </c>
      <c r="AJ307" s="215" t="s">
        <v>294</v>
      </c>
      <c r="AK307" s="215" t="s">
        <v>531</v>
      </c>
      <c r="AL307" s="215" t="s">
        <v>383</v>
      </c>
      <c r="AM307" s="217" t="b">
        <v>1</v>
      </c>
      <c r="AN307" s="217" t="b">
        <v>1</v>
      </c>
      <c r="AO307" s="215" t="s">
        <v>295</v>
      </c>
      <c r="AP307" s="215" t="s">
        <v>296</v>
      </c>
      <c r="AQ307" s="217">
        <v>92.138419999999996</v>
      </c>
      <c r="AR307" s="217" t="b">
        <v>0</v>
      </c>
      <c r="AS307" s="215" t="s">
        <v>534</v>
      </c>
    </row>
    <row r="308" spans="1:45" s="218" customFormat="1" x14ac:dyDescent="0.25">
      <c r="A308" s="245" t="str">
        <f t="shared" si="39"/>
        <v/>
      </c>
      <c r="B308" s="246" t="str">
        <f t="shared" si="32"/>
        <v/>
      </c>
      <c r="C308" s="246" t="str">
        <f>IF(B308="","",VLOOKUP(D308,'Species Data'!B:E,4,FALSE))</f>
        <v/>
      </c>
      <c r="D308" s="246" t="str">
        <f t="shared" ca="1" si="33"/>
        <v/>
      </c>
      <c r="E308" s="246" t="str">
        <f t="shared" ca="1" si="34"/>
        <v/>
      </c>
      <c r="F308" s="246" t="str">
        <f t="shared" ca="1" si="35"/>
        <v/>
      </c>
      <c r="G308" s="246" t="str">
        <f t="shared" ca="1" si="36"/>
        <v/>
      </c>
      <c r="H308" s="204" t="str">
        <f ca="1">IF(G308="","",IF(VLOOKUP(Separator!F308,'Species Data'!D:F,3,FALSE)=0,"X",IF(G308&lt;44.1,2,1)))</f>
        <v/>
      </c>
      <c r="I308" s="204" t="str">
        <f t="shared" ca="1" si="37"/>
        <v/>
      </c>
      <c r="J308" s="247" t="str">
        <f ca="1">IF(I308="","",IF(COUNTIF($D$12:D308,D308)=1,IF(H308=1,I308*H308,IF(H308="X","X",0)),0))</f>
        <v/>
      </c>
      <c r="K308" s="248" t="str">
        <f t="shared" ca="1" si="38"/>
        <v/>
      </c>
      <c r="L308" s="239"/>
      <c r="M308" s="215"/>
      <c r="N308" s="215"/>
      <c r="O308" s="216"/>
      <c r="P308" s="215"/>
      <c r="Q308" s="217"/>
      <c r="R308" s="215"/>
      <c r="S308" s="215"/>
      <c r="T308" s="215"/>
      <c r="U308" s="215"/>
      <c r="V308" s="217"/>
      <c r="W308" s="217"/>
      <c r="X308" s="217"/>
      <c r="Y308" s="217"/>
      <c r="Z308" s="217"/>
      <c r="AA308" s="215"/>
      <c r="AB308" s="215"/>
      <c r="AC308" s="215"/>
      <c r="AD308" s="217">
        <v>2.3802949999999998</v>
      </c>
      <c r="AE308" s="217">
        <v>981</v>
      </c>
      <c r="AF308" s="217">
        <v>5.7000000000000002E-3</v>
      </c>
      <c r="AG308" s="217">
        <v>-99</v>
      </c>
      <c r="AH308" s="215" t="s">
        <v>224</v>
      </c>
      <c r="AI308" s="215" t="s">
        <v>449</v>
      </c>
      <c r="AJ308" s="215" t="s">
        <v>645</v>
      </c>
      <c r="AK308" s="215" t="s">
        <v>531</v>
      </c>
      <c r="AL308" s="215" t="s">
        <v>531</v>
      </c>
      <c r="AM308" s="217" t="b">
        <v>0</v>
      </c>
      <c r="AN308" s="217" t="b">
        <v>0</v>
      </c>
      <c r="AO308" s="215" t="s">
        <v>646</v>
      </c>
      <c r="AP308" s="215" t="s">
        <v>647</v>
      </c>
      <c r="AQ308" s="217">
        <v>134.21816000000001</v>
      </c>
      <c r="AR308" s="217" t="b">
        <v>0</v>
      </c>
      <c r="AS308" s="215" t="s">
        <v>534</v>
      </c>
    </row>
    <row r="309" spans="1:45" s="218" customFormat="1" x14ac:dyDescent="0.25">
      <c r="A309" s="245" t="str">
        <f t="shared" si="39"/>
        <v/>
      </c>
      <c r="B309" s="246" t="str">
        <f t="shared" si="32"/>
        <v/>
      </c>
      <c r="C309" s="246" t="str">
        <f>IF(B309="","",VLOOKUP(D309,'Species Data'!B:E,4,FALSE))</f>
        <v/>
      </c>
      <c r="D309" s="246" t="str">
        <f t="shared" ca="1" si="33"/>
        <v/>
      </c>
      <c r="E309" s="246" t="str">
        <f t="shared" ca="1" si="34"/>
        <v/>
      </c>
      <c r="F309" s="246" t="str">
        <f t="shared" ca="1" si="35"/>
        <v/>
      </c>
      <c r="G309" s="246" t="str">
        <f t="shared" ca="1" si="36"/>
        <v/>
      </c>
      <c r="H309" s="204" t="str">
        <f ca="1">IF(G309="","",IF(VLOOKUP(Separator!F309,'Species Data'!D:F,3,FALSE)=0,"X",IF(G309&lt;44.1,2,1)))</f>
        <v/>
      </c>
      <c r="I309" s="204" t="str">
        <f t="shared" ca="1" si="37"/>
        <v/>
      </c>
      <c r="J309" s="247" t="str">
        <f ca="1">IF(I309="","",IF(COUNTIF($D$12:D309,D309)=1,IF(H309=1,I309*H309,IF(H309="X","X",0)),0))</f>
        <v/>
      </c>
      <c r="K309" s="248" t="str">
        <f t="shared" ca="1" si="38"/>
        <v/>
      </c>
      <c r="L309" s="239"/>
      <c r="M309" s="215"/>
      <c r="N309" s="215"/>
      <c r="O309" s="216"/>
      <c r="P309" s="215"/>
      <c r="Q309" s="217"/>
      <c r="R309" s="215"/>
      <c r="S309" s="215"/>
      <c r="T309" s="215"/>
      <c r="U309" s="215"/>
      <c r="V309" s="217"/>
      <c r="W309" s="217"/>
      <c r="X309" s="217"/>
      <c r="Y309" s="217"/>
      <c r="Z309" s="217"/>
      <c r="AA309" s="215"/>
      <c r="AB309" s="215"/>
      <c r="AC309" s="215"/>
      <c r="AD309" s="217">
        <v>2.3802949999999998</v>
      </c>
      <c r="AE309" s="217">
        <v>1924</v>
      </c>
      <c r="AF309" s="217">
        <v>4.8399999999999999E-2</v>
      </c>
      <c r="AG309" s="217">
        <v>-99</v>
      </c>
      <c r="AH309" s="215" t="s">
        <v>224</v>
      </c>
      <c r="AI309" s="215" t="s">
        <v>449</v>
      </c>
      <c r="AJ309" s="215" t="s">
        <v>224</v>
      </c>
      <c r="AK309" s="215" t="s">
        <v>531</v>
      </c>
      <c r="AL309" s="215" t="s">
        <v>466</v>
      </c>
      <c r="AM309" s="217" t="b">
        <v>0</v>
      </c>
      <c r="AN309" s="217" t="b">
        <v>0</v>
      </c>
      <c r="AO309" s="215" t="s">
        <v>535</v>
      </c>
      <c r="AP309" s="215" t="s">
        <v>536</v>
      </c>
      <c r="AQ309" s="217">
        <v>142.28167999999999</v>
      </c>
      <c r="AR309" s="217" t="b">
        <v>0</v>
      </c>
      <c r="AS309" s="215" t="s">
        <v>534</v>
      </c>
    </row>
    <row r="310" spans="1:45" s="218" customFormat="1" x14ac:dyDescent="0.25">
      <c r="A310" s="245" t="str">
        <f t="shared" si="39"/>
        <v/>
      </c>
      <c r="B310" s="246" t="str">
        <f t="shared" si="32"/>
        <v/>
      </c>
      <c r="C310" s="246" t="str">
        <f>IF(B310="","",VLOOKUP(D310,'Species Data'!B:E,4,FALSE))</f>
        <v/>
      </c>
      <c r="D310" s="246" t="str">
        <f t="shared" ca="1" si="33"/>
        <v/>
      </c>
      <c r="E310" s="246" t="str">
        <f t="shared" ca="1" si="34"/>
        <v/>
      </c>
      <c r="F310" s="246" t="str">
        <f t="shared" ca="1" si="35"/>
        <v/>
      </c>
      <c r="G310" s="246" t="str">
        <f t="shared" ca="1" si="36"/>
        <v/>
      </c>
      <c r="H310" s="204" t="str">
        <f ca="1">IF(G310="","",IF(VLOOKUP(Separator!F310,'Species Data'!D:F,3,FALSE)=0,"X",IF(G310&lt;44.1,2,1)))</f>
        <v/>
      </c>
      <c r="I310" s="204" t="str">
        <f t="shared" ca="1" si="37"/>
        <v/>
      </c>
      <c r="J310" s="247" t="str">
        <f ca="1">IF(I310="","",IF(COUNTIF($D$12:D310,D310)=1,IF(H310=1,I310*H310,IF(H310="X","X",0)),0))</f>
        <v/>
      </c>
      <c r="K310" s="248" t="str">
        <f t="shared" ca="1" si="38"/>
        <v/>
      </c>
      <c r="L310" s="239"/>
      <c r="M310" s="215"/>
      <c r="N310" s="215"/>
      <c r="O310" s="216"/>
      <c r="P310" s="215"/>
      <c r="Q310" s="217"/>
      <c r="R310" s="215"/>
      <c r="S310" s="215"/>
      <c r="T310" s="215"/>
      <c r="U310" s="215"/>
      <c r="V310" s="217"/>
      <c r="W310" s="217"/>
      <c r="X310" s="217"/>
      <c r="Y310" s="217"/>
      <c r="Z310" s="217"/>
      <c r="AA310" s="215"/>
      <c r="AB310" s="215"/>
      <c r="AC310" s="215"/>
      <c r="AD310" s="217">
        <v>2.3802949999999998</v>
      </c>
      <c r="AE310" s="217">
        <v>1929</v>
      </c>
      <c r="AF310" s="217">
        <v>9.1999999999999998E-3</v>
      </c>
      <c r="AG310" s="217">
        <v>-99</v>
      </c>
      <c r="AH310" s="215" t="s">
        <v>224</v>
      </c>
      <c r="AI310" s="215" t="s">
        <v>449</v>
      </c>
      <c r="AJ310" s="215" t="s">
        <v>224</v>
      </c>
      <c r="AK310" s="215" t="s">
        <v>531</v>
      </c>
      <c r="AL310" s="215" t="s">
        <v>467</v>
      </c>
      <c r="AM310" s="217" t="b">
        <v>0</v>
      </c>
      <c r="AN310" s="217" t="b">
        <v>0</v>
      </c>
      <c r="AO310" s="215" t="s">
        <v>468</v>
      </c>
      <c r="AP310" s="215" t="s">
        <v>469</v>
      </c>
      <c r="AQ310" s="217">
        <v>156.30826000000002</v>
      </c>
      <c r="AR310" s="217" t="b">
        <v>0</v>
      </c>
      <c r="AS310" s="215" t="s">
        <v>534</v>
      </c>
    </row>
    <row r="311" spans="1:45" s="218" customFormat="1" x14ac:dyDescent="0.25">
      <c r="A311" s="245" t="str">
        <f t="shared" si="39"/>
        <v/>
      </c>
      <c r="B311" s="246" t="str">
        <f t="shared" si="32"/>
        <v/>
      </c>
      <c r="C311" s="246" t="str">
        <f>IF(B311="","",VLOOKUP(D311,'Species Data'!B:E,4,FALSE))</f>
        <v/>
      </c>
      <c r="D311" s="246" t="str">
        <f t="shared" ca="1" si="33"/>
        <v/>
      </c>
      <c r="E311" s="246" t="str">
        <f t="shared" ca="1" si="34"/>
        <v/>
      </c>
      <c r="F311" s="246" t="str">
        <f t="shared" ca="1" si="35"/>
        <v/>
      </c>
      <c r="G311" s="246" t="str">
        <f t="shared" ca="1" si="36"/>
        <v/>
      </c>
      <c r="H311" s="204" t="str">
        <f ca="1">IF(G311="","",IF(VLOOKUP(Separator!F311,'Species Data'!D:F,3,FALSE)=0,"X",IF(G311&lt;44.1,2,1)))</f>
        <v/>
      </c>
      <c r="I311" s="204" t="str">
        <f t="shared" ca="1" si="37"/>
        <v/>
      </c>
      <c r="J311" s="247" t="str">
        <f ca="1">IF(I311="","",IF(COUNTIF($D$12:D311,D311)=1,IF(H311=1,I311*H311,IF(H311="X","X",0)),0))</f>
        <v/>
      </c>
      <c r="K311" s="248" t="str">
        <f t="shared" ca="1" si="38"/>
        <v/>
      </c>
      <c r="L311" s="239"/>
      <c r="M311" s="215"/>
      <c r="N311" s="215"/>
      <c r="O311" s="216"/>
      <c r="P311" s="215"/>
      <c r="Q311" s="217"/>
      <c r="R311" s="215"/>
      <c r="S311" s="215"/>
      <c r="T311" s="215"/>
      <c r="U311" s="215"/>
      <c r="V311" s="217"/>
      <c r="W311" s="217"/>
      <c r="X311" s="217"/>
      <c r="Y311" s="217"/>
      <c r="Z311" s="217"/>
      <c r="AA311" s="215"/>
      <c r="AB311" s="215"/>
      <c r="AC311" s="215"/>
      <c r="AD311" s="217">
        <v>2.3802949999999998</v>
      </c>
      <c r="AE311" s="217">
        <v>1999</v>
      </c>
      <c r="AF311" s="217">
        <v>0.52880000000000005</v>
      </c>
      <c r="AG311" s="217">
        <v>-99</v>
      </c>
      <c r="AH311" s="215" t="s">
        <v>224</v>
      </c>
      <c r="AI311" s="215" t="s">
        <v>449</v>
      </c>
      <c r="AJ311" s="215" t="s">
        <v>224</v>
      </c>
      <c r="AK311" s="215" t="s">
        <v>531</v>
      </c>
      <c r="AL311" s="215" t="s">
        <v>540</v>
      </c>
      <c r="AM311" s="217" t="b">
        <v>0</v>
      </c>
      <c r="AN311" s="217" t="b">
        <v>0</v>
      </c>
      <c r="AO311" s="215" t="s">
        <v>541</v>
      </c>
      <c r="AP311" s="215" t="s">
        <v>542</v>
      </c>
      <c r="AQ311" s="217">
        <v>86.175359999999998</v>
      </c>
      <c r="AR311" s="217" t="b">
        <v>0</v>
      </c>
      <c r="AS311" s="215" t="s">
        <v>534</v>
      </c>
    </row>
    <row r="312" spans="1:45" s="218" customFormat="1" x14ac:dyDescent="0.25">
      <c r="A312" s="245" t="str">
        <f t="shared" si="39"/>
        <v/>
      </c>
      <c r="B312" s="246" t="str">
        <f t="shared" si="32"/>
        <v/>
      </c>
      <c r="C312" s="246" t="str">
        <f>IF(B312="","",VLOOKUP(D312,'Species Data'!B:E,4,FALSE))</f>
        <v/>
      </c>
      <c r="D312" s="246" t="str">
        <f t="shared" ca="1" si="33"/>
        <v/>
      </c>
      <c r="E312" s="246" t="str">
        <f t="shared" ca="1" si="34"/>
        <v/>
      </c>
      <c r="F312" s="246" t="str">
        <f t="shared" ca="1" si="35"/>
        <v/>
      </c>
      <c r="G312" s="246" t="str">
        <f t="shared" ca="1" si="36"/>
        <v/>
      </c>
      <c r="H312" s="204" t="str">
        <f ca="1">IF(G312="","",IF(VLOOKUP(Separator!F312,'Species Data'!D:F,3,FALSE)=0,"X",IF(G312&lt;44.1,2,1)))</f>
        <v/>
      </c>
      <c r="I312" s="204" t="str">
        <f t="shared" ca="1" si="37"/>
        <v/>
      </c>
      <c r="J312" s="247" t="str">
        <f ca="1">IF(I312="","",IF(COUNTIF($D$12:D312,D312)=1,IF(H312=1,I312*H312,IF(H312="X","X",0)),0))</f>
        <v/>
      </c>
      <c r="K312" s="248" t="str">
        <f t="shared" ca="1" si="38"/>
        <v/>
      </c>
      <c r="L312" s="239"/>
      <c r="M312" s="215"/>
      <c r="N312" s="215"/>
      <c r="O312" s="216"/>
      <c r="P312" s="215"/>
      <c r="Q312" s="217"/>
      <c r="R312" s="215"/>
      <c r="S312" s="215"/>
      <c r="T312" s="215"/>
      <c r="U312" s="215"/>
      <c r="V312" s="217"/>
      <c r="W312" s="217"/>
      <c r="X312" s="217"/>
      <c r="Y312" s="217"/>
      <c r="Z312" s="217"/>
      <c r="AA312" s="215"/>
      <c r="AB312" s="215"/>
      <c r="AC312" s="215"/>
      <c r="AD312" s="217">
        <v>2.3802949999999998</v>
      </c>
      <c r="AE312" s="217">
        <v>2005</v>
      </c>
      <c r="AF312" s="217">
        <v>3.6993999999999998</v>
      </c>
      <c r="AG312" s="217">
        <v>-99</v>
      </c>
      <c r="AH312" s="215" t="s">
        <v>224</v>
      </c>
      <c r="AI312" s="215" t="s">
        <v>449</v>
      </c>
      <c r="AJ312" s="215" t="s">
        <v>224</v>
      </c>
      <c r="AK312" s="215" t="s">
        <v>531</v>
      </c>
      <c r="AL312" s="215" t="s">
        <v>543</v>
      </c>
      <c r="AM312" s="217" t="b">
        <v>0</v>
      </c>
      <c r="AN312" s="217" t="b">
        <v>0</v>
      </c>
      <c r="AO312" s="215" t="s">
        <v>544</v>
      </c>
      <c r="AP312" s="215" t="s">
        <v>545</v>
      </c>
      <c r="AQ312" s="217">
        <v>100.20194000000001</v>
      </c>
      <c r="AR312" s="217" t="b">
        <v>0</v>
      </c>
      <c r="AS312" s="215" t="s">
        <v>534</v>
      </c>
    </row>
    <row r="313" spans="1:45" s="218" customFormat="1" x14ac:dyDescent="0.25">
      <c r="A313" s="245" t="str">
        <f t="shared" si="39"/>
        <v/>
      </c>
      <c r="B313" s="246" t="str">
        <f t="shared" si="32"/>
        <v/>
      </c>
      <c r="C313" s="246" t="str">
        <f>IF(B313="","",VLOOKUP(D313,'Species Data'!B:E,4,FALSE))</f>
        <v/>
      </c>
      <c r="D313" s="246" t="str">
        <f t="shared" ca="1" si="33"/>
        <v/>
      </c>
      <c r="E313" s="246" t="str">
        <f t="shared" ca="1" si="34"/>
        <v/>
      </c>
      <c r="F313" s="246" t="str">
        <f t="shared" ca="1" si="35"/>
        <v/>
      </c>
      <c r="G313" s="246" t="str">
        <f t="shared" ca="1" si="36"/>
        <v/>
      </c>
      <c r="H313" s="204" t="str">
        <f ca="1">IF(G313="","",IF(VLOOKUP(Separator!F313,'Species Data'!D:F,3,FALSE)=0,"X",IF(G313&lt;44.1,2,1)))</f>
        <v/>
      </c>
      <c r="I313" s="204" t="str">
        <f t="shared" ca="1" si="37"/>
        <v/>
      </c>
      <c r="J313" s="247" t="str">
        <f ca="1">IF(I313="","",IF(COUNTIF($D$12:D313,D313)=1,IF(H313=1,I313*H313,IF(H313="X","X",0)),0))</f>
        <v/>
      </c>
      <c r="K313" s="248" t="str">
        <f t="shared" ca="1" si="38"/>
        <v/>
      </c>
      <c r="L313" s="239"/>
      <c r="M313" s="215"/>
      <c r="N313" s="215"/>
      <c r="O313" s="216"/>
      <c r="P313" s="215"/>
      <c r="Q313" s="217"/>
      <c r="R313" s="215"/>
      <c r="S313" s="215"/>
      <c r="T313" s="215"/>
      <c r="U313" s="215"/>
      <c r="V313" s="217"/>
      <c r="W313" s="217"/>
      <c r="X313" s="217"/>
      <c r="Y313" s="217"/>
      <c r="Z313" s="217"/>
      <c r="AA313" s="215"/>
      <c r="AB313" s="215"/>
      <c r="AC313" s="215"/>
      <c r="AD313" s="217">
        <v>2.3802949999999998</v>
      </c>
      <c r="AE313" s="217">
        <v>2011</v>
      </c>
      <c r="AF313" s="217">
        <v>1.4513</v>
      </c>
      <c r="AG313" s="217">
        <v>-99</v>
      </c>
      <c r="AH313" s="215" t="s">
        <v>224</v>
      </c>
      <c r="AI313" s="215" t="s">
        <v>449</v>
      </c>
      <c r="AJ313" s="215" t="s">
        <v>224</v>
      </c>
      <c r="AK313" s="215" t="s">
        <v>531</v>
      </c>
      <c r="AL313" s="215" t="s">
        <v>546</v>
      </c>
      <c r="AM313" s="217" t="b">
        <v>0</v>
      </c>
      <c r="AN313" s="217" t="b">
        <v>0</v>
      </c>
      <c r="AO313" s="215" t="s">
        <v>547</v>
      </c>
      <c r="AP313" s="215" t="s">
        <v>548</v>
      </c>
      <c r="AQ313" s="217">
        <v>113.21160686946486</v>
      </c>
      <c r="AR313" s="217" t="b">
        <v>0</v>
      </c>
      <c r="AS313" s="215" t="s">
        <v>534</v>
      </c>
    </row>
    <row r="314" spans="1:45" s="218" customFormat="1" x14ac:dyDescent="0.25">
      <c r="A314" s="245" t="str">
        <f t="shared" si="39"/>
        <v/>
      </c>
      <c r="B314" s="246" t="str">
        <f t="shared" si="32"/>
        <v/>
      </c>
      <c r="C314" s="246" t="str">
        <f>IF(B314="","",VLOOKUP(D314,'Species Data'!B:E,4,FALSE))</f>
        <v/>
      </c>
      <c r="D314" s="246" t="str">
        <f t="shared" ca="1" si="33"/>
        <v/>
      </c>
      <c r="E314" s="246" t="str">
        <f t="shared" ca="1" si="34"/>
        <v/>
      </c>
      <c r="F314" s="246" t="str">
        <f t="shared" ca="1" si="35"/>
        <v/>
      </c>
      <c r="G314" s="246" t="str">
        <f t="shared" ca="1" si="36"/>
        <v/>
      </c>
      <c r="H314" s="204" t="str">
        <f ca="1">IF(G314="","",IF(VLOOKUP(Separator!F314,'Species Data'!D:F,3,FALSE)=0,"X",IF(G314&lt;44.1,2,1)))</f>
        <v/>
      </c>
      <c r="I314" s="204" t="str">
        <f t="shared" ca="1" si="37"/>
        <v/>
      </c>
      <c r="J314" s="247" t="str">
        <f ca="1">IF(I314="","",IF(COUNTIF($D$12:D314,D314)=1,IF(H314=1,I314*H314,IF(H314="X","X",0)),0))</f>
        <v/>
      </c>
      <c r="K314" s="248" t="str">
        <f t="shared" ca="1" si="38"/>
        <v/>
      </c>
      <c r="L314" s="239"/>
      <c r="M314" s="215"/>
      <c r="N314" s="215"/>
      <c r="O314" s="216"/>
      <c r="P314" s="215"/>
      <c r="Q314" s="217"/>
      <c r="R314" s="215"/>
      <c r="S314" s="215"/>
      <c r="T314" s="215"/>
      <c r="U314" s="215"/>
      <c r="V314" s="217"/>
      <c r="W314" s="217"/>
      <c r="X314" s="217"/>
      <c r="Y314" s="217"/>
      <c r="Z314" s="217"/>
      <c r="AA314" s="215"/>
      <c r="AB314" s="215"/>
      <c r="AC314" s="215"/>
      <c r="AD314" s="217">
        <v>2.3802949999999998</v>
      </c>
      <c r="AE314" s="217">
        <v>2018</v>
      </c>
      <c r="AF314" s="217">
        <v>0.98809999999999998</v>
      </c>
      <c r="AG314" s="217">
        <v>-99</v>
      </c>
      <c r="AH314" s="215" t="s">
        <v>224</v>
      </c>
      <c r="AI314" s="215" t="s">
        <v>449</v>
      </c>
      <c r="AJ314" s="215" t="s">
        <v>224</v>
      </c>
      <c r="AK314" s="215" t="s">
        <v>531</v>
      </c>
      <c r="AL314" s="215" t="s">
        <v>464</v>
      </c>
      <c r="AM314" s="217" t="b">
        <v>0</v>
      </c>
      <c r="AN314" s="217" t="b">
        <v>0</v>
      </c>
      <c r="AO314" s="215" t="s">
        <v>549</v>
      </c>
      <c r="AP314" s="215" t="s">
        <v>550</v>
      </c>
      <c r="AQ314" s="217">
        <v>127.23917598649743</v>
      </c>
      <c r="AR314" s="217" t="b">
        <v>0</v>
      </c>
      <c r="AS314" s="215" t="s">
        <v>534</v>
      </c>
    </row>
    <row r="315" spans="1:45" s="218" customFormat="1" x14ac:dyDescent="0.25">
      <c r="A315" s="245" t="str">
        <f t="shared" si="39"/>
        <v/>
      </c>
      <c r="B315" s="246" t="str">
        <f t="shared" si="32"/>
        <v/>
      </c>
      <c r="C315" s="246" t="str">
        <f>IF(B315="","",VLOOKUP(D315,'Species Data'!B:E,4,FALSE))</f>
        <v/>
      </c>
      <c r="D315" s="246" t="str">
        <f t="shared" ca="1" si="33"/>
        <v/>
      </c>
      <c r="E315" s="246" t="str">
        <f t="shared" ca="1" si="34"/>
        <v/>
      </c>
      <c r="F315" s="246" t="str">
        <f t="shared" ca="1" si="35"/>
        <v/>
      </c>
      <c r="G315" s="246" t="str">
        <f t="shared" ca="1" si="36"/>
        <v/>
      </c>
      <c r="H315" s="204" t="str">
        <f ca="1">IF(G315="","",IF(VLOOKUP(Separator!F315,'Species Data'!D:F,3,FALSE)=0,"X",IF(G315&lt;44.1,2,1)))</f>
        <v/>
      </c>
      <c r="I315" s="204" t="str">
        <f t="shared" ca="1" si="37"/>
        <v/>
      </c>
      <c r="J315" s="247" t="str">
        <f ca="1">IF(I315="","",IF(COUNTIF($D$12:D315,D315)=1,IF(H315=1,I315*H315,IF(H315="X","X",0)),0))</f>
        <v/>
      </c>
      <c r="K315" s="248" t="str">
        <f t="shared" ca="1" si="38"/>
        <v/>
      </c>
      <c r="L315" s="239"/>
      <c r="M315" s="215"/>
      <c r="N315" s="215"/>
      <c r="O315" s="216"/>
      <c r="P315" s="215"/>
      <c r="Q315" s="217"/>
      <c r="R315" s="215"/>
      <c r="S315" s="215"/>
      <c r="T315" s="215"/>
      <c r="U315" s="215"/>
      <c r="V315" s="217"/>
      <c r="W315" s="217"/>
      <c r="X315" s="217"/>
      <c r="Y315" s="217"/>
      <c r="Z315" s="217"/>
      <c r="AA315" s="215"/>
      <c r="AB315" s="215"/>
      <c r="AC315" s="215"/>
      <c r="AD315" s="217">
        <v>2.2218420000000001</v>
      </c>
      <c r="AE315" s="217">
        <v>30</v>
      </c>
      <c r="AF315" s="217">
        <v>1.6400000000000001E-2</v>
      </c>
      <c r="AG315" s="217">
        <v>-99</v>
      </c>
      <c r="AH315" s="215" t="s">
        <v>224</v>
      </c>
      <c r="AI315" s="215" t="s">
        <v>449</v>
      </c>
      <c r="AJ315" s="215" t="s">
        <v>359</v>
      </c>
      <c r="AK315" s="215" t="s">
        <v>531</v>
      </c>
      <c r="AL315" s="215" t="s">
        <v>531</v>
      </c>
      <c r="AM315" s="217" t="b">
        <v>1</v>
      </c>
      <c r="AN315" s="217" t="b">
        <v>0</v>
      </c>
      <c r="AO315" s="215" t="s">
        <v>360</v>
      </c>
      <c r="AP315" s="215" t="s">
        <v>361</v>
      </c>
      <c r="AQ315" s="217">
        <v>120.19158</v>
      </c>
      <c r="AR315" s="217" t="b">
        <v>0</v>
      </c>
      <c r="AS315" s="215" t="s">
        <v>534</v>
      </c>
    </row>
    <row r="316" spans="1:45" s="218" customFormat="1" x14ac:dyDescent="0.25">
      <c r="A316" s="245" t="str">
        <f t="shared" si="39"/>
        <v/>
      </c>
      <c r="B316" s="246" t="str">
        <f t="shared" si="32"/>
        <v/>
      </c>
      <c r="C316" s="246" t="str">
        <f>IF(B316="","",VLOOKUP(D316,'Species Data'!B:E,4,FALSE))</f>
        <v/>
      </c>
      <c r="D316" s="246" t="str">
        <f t="shared" ca="1" si="33"/>
        <v/>
      </c>
      <c r="E316" s="246" t="str">
        <f t="shared" ca="1" si="34"/>
        <v/>
      </c>
      <c r="F316" s="246" t="str">
        <f t="shared" ca="1" si="35"/>
        <v/>
      </c>
      <c r="G316" s="246" t="str">
        <f t="shared" ca="1" si="36"/>
        <v/>
      </c>
      <c r="H316" s="204" t="str">
        <f ca="1">IF(G316="","",IF(VLOOKUP(Separator!F316,'Species Data'!D:F,3,FALSE)=0,"X",IF(G316&lt;44.1,2,1)))</f>
        <v/>
      </c>
      <c r="I316" s="204" t="str">
        <f t="shared" ca="1" si="37"/>
        <v/>
      </c>
      <c r="J316" s="247" t="str">
        <f ca="1">IF(I316="","",IF(COUNTIF($D$12:D316,D316)=1,IF(H316=1,I316*H316,IF(H316="X","X",0)),0))</f>
        <v/>
      </c>
      <c r="K316" s="248" t="str">
        <f t="shared" ca="1" si="38"/>
        <v/>
      </c>
      <c r="L316" s="239"/>
      <c r="M316" s="215"/>
      <c r="N316" s="215"/>
      <c r="O316" s="216"/>
      <c r="P316" s="215"/>
      <c r="Q316" s="217"/>
      <c r="R316" s="215"/>
      <c r="S316" s="215"/>
      <c r="T316" s="215"/>
      <c r="U316" s="215"/>
      <c r="V316" s="217"/>
      <c r="W316" s="217"/>
      <c r="X316" s="217"/>
      <c r="Y316" s="217"/>
      <c r="Z316" s="217"/>
      <c r="AA316" s="215"/>
      <c r="AB316" s="215"/>
      <c r="AC316" s="215"/>
      <c r="AD316" s="217">
        <v>2.2218420000000001</v>
      </c>
      <c r="AE316" s="217">
        <v>44</v>
      </c>
      <c r="AF316" s="217">
        <v>4.1000000000000003E-3</v>
      </c>
      <c r="AG316" s="217">
        <v>-99</v>
      </c>
      <c r="AH316" s="215" t="s">
        <v>224</v>
      </c>
      <c r="AI316" s="215" t="s">
        <v>449</v>
      </c>
      <c r="AJ316" s="215" t="s">
        <v>400</v>
      </c>
      <c r="AK316" s="215" t="s">
        <v>531</v>
      </c>
      <c r="AL316" s="215" t="s">
        <v>401</v>
      </c>
      <c r="AM316" s="217" t="b">
        <v>1</v>
      </c>
      <c r="AN316" s="217" t="b">
        <v>0</v>
      </c>
      <c r="AO316" s="215" t="s">
        <v>402</v>
      </c>
      <c r="AP316" s="215" t="s">
        <v>403</v>
      </c>
      <c r="AQ316" s="217">
        <v>120.19158</v>
      </c>
      <c r="AR316" s="217" t="b">
        <v>0</v>
      </c>
      <c r="AS316" s="215" t="s">
        <v>534</v>
      </c>
    </row>
    <row r="317" spans="1:45" s="218" customFormat="1" x14ac:dyDescent="0.25">
      <c r="A317" s="245" t="str">
        <f t="shared" si="39"/>
        <v/>
      </c>
      <c r="B317" s="246" t="str">
        <f t="shared" si="32"/>
        <v/>
      </c>
      <c r="C317" s="246" t="str">
        <f>IF(B317="","",VLOOKUP(D317,'Species Data'!B:E,4,FALSE))</f>
        <v/>
      </c>
      <c r="D317" s="246" t="str">
        <f t="shared" ca="1" si="33"/>
        <v/>
      </c>
      <c r="E317" s="246" t="str">
        <f t="shared" ca="1" si="34"/>
        <v/>
      </c>
      <c r="F317" s="246" t="str">
        <f t="shared" ca="1" si="35"/>
        <v/>
      </c>
      <c r="G317" s="246" t="str">
        <f t="shared" ca="1" si="36"/>
        <v/>
      </c>
      <c r="H317" s="204" t="str">
        <f ca="1">IF(G317="","",IF(VLOOKUP(Separator!F317,'Species Data'!D:F,3,FALSE)=0,"X",IF(G317&lt;44.1,2,1)))</f>
        <v/>
      </c>
      <c r="I317" s="204" t="str">
        <f t="shared" ca="1" si="37"/>
        <v/>
      </c>
      <c r="J317" s="247" t="str">
        <f ca="1">IF(I317="","",IF(COUNTIF($D$12:D317,D317)=1,IF(H317=1,I317*H317,IF(H317="X","X",0)),0))</f>
        <v/>
      </c>
      <c r="K317" s="248" t="str">
        <f t="shared" ca="1" si="38"/>
        <v/>
      </c>
      <c r="L317" s="239"/>
      <c r="M317" s="215"/>
      <c r="N317" s="215"/>
      <c r="O317" s="216"/>
      <c r="P317" s="215"/>
      <c r="Q317" s="217"/>
      <c r="R317" s="215"/>
      <c r="S317" s="215"/>
      <c r="T317" s="215"/>
      <c r="U317" s="215"/>
      <c r="V317" s="217"/>
      <c r="W317" s="217"/>
      <c r="X317" s="217"/>
      <c r="Y317" s="217"/>
      <c r="Z317" s="217"/>
      <c r="AA317" s="215"/>
      <c r="AB317" s="215"/>
      <c r="AC317" s="215"/>
      <c r="AD317" s="217">
        <v>2.2218420000000001</v>
      </c>
      <c r="AE317" s="217">
        <v>80</v>
      </c>
      <c r="AF317" s="217">
        <v>3.8E-3</v>
      </c>
      <c r="AG317" s="217">
        <v>-99</v>
      </c>
      <c r="AH317" s="215" t="s">
        <v>224</v>
      </c>
      <c r="AI317" s="215" t="s">
        <v>449</v>
      </c>
      <c r="AJ317" s="215" t="s">
        <v>408</v>
      </c>
      <c r="AK317" s="215" t="s">
        <v>531</v>
      </c>
      <c r="AL317" s="215" t="s">
        <v>450</v>
      </c>
      <c r="AM317" s="217" t="b">
        <v>1</v>
      </c>
      <c r="AN317" s="217" t="b">
        <v>0</v>
      </c>
      <c r="AO317" s="215" t="s">
        <v>409</v>
      </c>
      <c r="AP317" s="215" t="s">
        <v>410</v>
      </c>
      <c r="AQ317" s="217">
        <v>120.19158</v>
      </c>
      <c r="AR317" s="217" t="b">
        <v>0</v>
      </c>
      <c r="AS317" s="215" t="s">
        <v>534</v>
      </c>
    </row>
    <row r="318" spans="1:45" s="218" customFormat="1" x14ac:dyDescent="0.25">
      <c r="A318" s="245" t="str">
        <f t="shared" si="39"/>
        <v/>
      </c>
      <c r="B318" s="246" t="str">
        <f t="shared" si="32"/>
        <v/>
      </c>
      <c r="C318" s="246" t="str">
        <f>IF(B318="","",VLOOKUP(D318,'Species Data'!B:E,4,FALSE))</f>
        <v/>
      </c>
      <c r="D318" s="246" t="str">
        <f t="shared" ca="1" si="33"/>
        <v/>
      </c>
      <c r="E318" s="246" t="str">
        <f t="shared" ca="1" si="34"/>
        <v/>
      </c>
      <c r="F318" s="246" t="str">
        <f t="shared" ca="1" si="35"/>
        <v/>
      </c>
      <c r="G318" s="246" t="str">
        <f t="shared" ca="1" si="36"/>
        <v/>
      </c>
      <c r="H318" s="204" t="str">
        <f ca="1">IF(G318="","",IF(VLOOKUP(Separator!F318,'Species Data'!D:F,3,FALSE)=0,"X",IF(G318&lt;44.1,2,1)))</f>
        <v/>
      </c>
      <c r="I318" s="204" t="str">
        <f t="shared" ca="1" si="37"/>
        <v/>
      </c>
      <c r="J318" s="247" t="str">
        <f ca="1">IF(I318="","",IF(COUNTIF($D$12:D318,D318)=1,IF(H318=1,I318*H318,IF(H318="X","X",0)),0))</f>
        <v/>
      </c>
      <c r="K318" s="248" t="str">
        <f t="shared" ca="1" si="38"/>
        <v/>
      </c>
      <c r="L318" s="239"/>
      <c r="M318" s="215"/>
      <c r="N318" s="215"/>
      <c r="O318" s="216"/>
      <c r="P318" s="215"/>
      <c r="Q318" s="217"/>
      <c r="R318" s="215"/>
      <c r="S318" s="215"/>
      <c r="T318" s="215"/>
      <c r="U318" s="215"/>
      <c r="V318" s="217"/>
      <c r="W318" s="217"/>
      <c r="X318" s="217"/>
      <c r="Y318" s="217"/>
      <c r="Z318" s="217"/>
      <c r="AA318" s="215"/>
      <c r="AB318" s="215"/>
      <c r="AC318" s="215"/>
      <c r="AD318" s="217">
        <v>2.2218420000000001</v>
      </c>
      <c r="AE318" s="217">
        <v>122</v>
      </c>
      <c r="AF318" s="217">
        <v>4.0899999999999999E-2</v>
      </c>
      <c r="AG318" s="217">
        <v>-99</v>
      </c>
      <c r="AH318" s="215" t="s">
        <v>224</v>
      </c>
      <c r="AI318" s="215" t="s">
        <v>449</v>
      </c>
      <c r="AJ318" s="215" t="s">
        <v>301</v>
      </c>
      <c r="AK318" s="215" t="s">
        <v>531</v>
      </c>
      <c r="AL318" s="215" t="s">
        <v>384</v>
      </c>
      <c r="AM318" s="217" t="b">
        <v>1</v>
      </c>
      <c r="AN318" s="217" t="b">
        <v>0</v>
      </c>
      <c r="AO318" s="215" t="s">
        <v>302</v>
      </c>
      <c r="AP318" s="215" t="s">
        <v>303</v>
      </c>
      <c r="AQ318" s="217">
        <v>86.175359999999998</v>
      </c>
      <c r="AR318" s="217" t="b">
        <v>0</v>
      </c>
      <c r="AS318" s="215" t="s">
        <v>534</v>
      </c>
    </row>
    <row r="319" spans="1:45" s="218" customFormat="1" x14ac:dyDescent="0.25">
      <c r="A319" s="245" t="str">
        <f t="shared" si="39"/>
        <v/>
      </c>
      <c r="B319" s="246" t="str">
        <f t="shared" si="32"/>
        <v/>
      </c>
      <c r="C319" s="246" t="str">
        <f>IF(B319="","",VLOOKUP(D319,'Species Data'!B:E,4,FALSE))</f>
        <v/>
      </c>
      <c r="D319" s="246" t="str">
        <f t="shared" ca="1" si="33"/>
        <v/>
      </c>
      <c r="E319" s="246" t="str">
        <f t="shared" ca="1" si="34"/>
        <v/>
      </c>
      <c r="F319" s="246" t="str">
        <f t="shared" ca="1" si="35"/>
        <v/>
      </c>
      <c r="G319" s="246" t="str">
        <f t="shared" ca="1" si="36"/>
        <v/>
      </c>
      <c r="H319" s="204" t="str">
        <f ca="1">IF(G319="","",IF(VLOOKUP(Separator!F319,'Species Data'!D:F,3,FALSE)=0,"X",IF(G319&lt;44.1,2,1)))</f>
        <v/>
      </c>
      <c r="I319" s="204" t="str">
        <f t="shared" ca="1" si="37"/>
        <v/>
      </c>
      <c r="J319" s="247" t="str">
        <f ca="1">IF(I319="","",IF(COUNTIF($D$12:D319,D319)=1,IF(H319=1,I319*H319,IF(H319="X","X",0)),0))</f>
        <v/>
      </c>
      <c r="K319" s="248" t="str">
        <f t="shared" ca="1" si="38"/>
        <v/>
      </c>
      <c r="L319" s="239"/>
      <c r="M319" s="215"/>
      <c r="N319" s="215"/>
      <c r="O319" s="216"/>
      <c r="P319" s="215"/>
      <c r="Q319" s="217"/>
      <c r="R319" s="215"/>
      <c r="S319" s="215"/>
      <c r="T319" s="215"/>
      <c r="U319" s="215"/>
      <c r="V319" s="217"/>
      <c r="W319" s="217"/>
      <c r="X319" s="217"/>
      <c r="Y319" s="217"/>
      <c r="Z319" s="217"/>
      <c r="AA319" s="215"/>
      <c r="AB319" s="215"/>
      <c r="AC319" s="215"/>
      <c r="AD319" s="217">
        <v>2.2218420000000001</v>
      </c>
      <c r="AE319" s="217">
        <v>127</v>
      </c>
      <c r="AF319" s="217">
        <v>2.5100000000000001E-2</v>
      </c>
      <c r="AG319" s="217">
        <v>-99</v>
      </c>
      <c r="AH319" s="215" t="s">
        <v>224</v>
      </c>
      <c r="AI319" s="215" t="s">
        <v>449</v>
      </c>
      <c r="AJ319" s="215" t="s">
        <v>441</v>
      </c>
      <c r="AK319" s="215" t="s">
        <v>531</v>
      </c>
      <c r="AL319" s="215" t="s">
        <v>462</v>
      </c>
      <c r="AM319" s="217" t="b">
        <v>0</v>
      </c>
      <c r="AN319" s="217" t="b">
        <v>0</v>
      </c>
      <c r="AO319" s="215" t="s">
        <v>442</v>
      </c>
      <c r="AP319" s="215" t="s">
        <v>531</v>
      </c>
      <c r="AQ319" s="217">
        <v>72.148780000000002</v>
      </c>
      <c r="AR319" s="217" t="b">
        <v>0</v>
      </c>
      <c r="AS319" s="215" t="s">
        <v>534</v>
      </c>
    </row>
    <row r="320" spans="1:45" s="218" customFormat="1" x14ac:dyDescent="0.25">
      <c r="A320" s="245" t="str">
        <f t="shared" si="39"/>
        <v/>
      </c>
      <c r="B320" s="246" t="str">
        <f t="shared" si="32"/>
        <v/>
      </c>
      <c r="C320" s="246" t="str">
        <f>IF(B320="","",VLOOKUP(D320,'Species Data'!B:E,4,FALSE))</f>
        <v/>
      </c>
      <c r="D320" s="246" t="str">
        <f t="shared" ca="1" si="33"/>
        <v/>
      </c>
      <c r="E320" s="246" t="str">
        <f t="shared" ca="1" si="34"/>
        <v/>
      </c>
      <c r="F320" s="246" t="str">
        <f t="shared" ca="1" si="35"/>
        <v/>
      </c>
      <c r="G320" s="246" t="str">
        <f t="shared" ca="1" si="36"/>
        <v/>
      </c>
      <c r="H320" s="204" t="str">
        <f ca="1">IF(G320="","",IF(VLOOKUP(Separator!F320,'Species Data'!D:F,3,FALSE)=0,"X",IF(G320&lt;44.1,2,1)))</f>
        <v/>
      </c>
      <c r="I320" s="204" t="str">
        <f t="shared" ca="1" si="37"/>
        <v/>
      </c>
      <c r="J320" s="247" t="str">
        <f ca="1">IF(I320="","",IF(COUNTIF($D$12:D320,D320)=1,IF(H320=1,I320*H320,IF(H320="X","X",0)),0))</f>
        <v/>
      </c>
      <c r="K320" s="248" t="str">
        <f t="shared" ca="1" si="38"/>
        <v/>
      </c>
      <c r="L320" s="239"/>
      <c r="M320" s="215"/>
      <c r="N320" s="215"/>
      <c r="O320" s="216"/>
      <c r="P320" s="215"/>
      <c r="Q320" s="217"/>
      <c r="R320" s="215"/>
      <c r="S320" s="215"/>
      <c r="T320" s="215"/>
      <c r="U320" s="215"/>
      <c r="V320" s="217"/>
      <c r="W320" s="217"/>
      <c r="X320" s="217"/>
      <c r="Y320" s="217"/>
      <c r="Z320" s="217"/>
      <c r="AA320" s="215"/>
      <c r="AB320" s="215"/>
      <c r="AC320" s="215"/>
      <c r="AD320" s="217">
        <v>2.2218420000000001</v>
      </c>
      <c r="AE320" s="217">
        <v>130</v>
      </c>
      <c r="AF320" s="217">
        <v>0.23219999999999999</v>
      </c>
      <c r="AG320" s="217">
        <v>-99</v>
      </c>
      <c r="AH320" s="215" t="s">
        <v>224</v>
      </c>
      <c r="AI320" s="215" t="s">
        <v>449</v>
      </c>
      <c r="AJ320" s="215" t="s">
        <v>404</v>
      </c>
      <c r="AK320" s="215" t="s">
        <v>531</v>
      </c>
      <c r="AL320" s="215" t="s">
        <v>405</v>
      </c>
      <c r="AM320" s="217" t="b">
        <v>1</v>
      </c>
      <c r="AN320" s="217" t="b">
        <v>0</v>
      </c>
      <c r="AO320" s="215" t="s">
        <v>406</v>
      </c>
      <c r="AP320" s="215" t="s">
        <v>407</v>
      </c>
      <c r="AQ320" s="217">
        <v>114.22852</v>
      </c>
      <c r="AR320" s="217" t="b">
        <v>0</v>
      </c>
      <c r="AS320" s="215" t="s">
        <v>534</v>
      </c>
    </row>
    <row r="321" spans="1:45" s="218" customFormat="1" x14ac:dyDescent="0.25">
      <c r="A321" s="245" t="str">
        <f t="shared" si="39"/>
        <v/>
      </c>
      <c r="B321" s="246" t="str">
        <f t="shared" si="32"/>
        <v/>
      </c>
      <c r="C321" s="246" t="str">
        <f>IF(B321="","",VLOOKUP(D321,'Species Data'!B:E,4,FALSE))</f>
        <v/>
      </c>
      <c r="D321" s="246" t="str">
        <f t="shared" ca="1" si="33"/>
        <v/>
      </c>
      <c r="E321" s="246" t="str">
        <f t="shared" ca="1" si="34"/>
        <v/>
      </c>
      <c r="F321" s="246" t="str">
        <f t="shared" ca="1" si="35"/>
        <v/>
      </c>
      <c r="G321" s="246" t="str">
        <f t="shared" ca="1" si="36"/>
        <v/>
      </c>
      <c r="H321" s="204" t="str">
        <f ca="1">IF(G321="","",IF(VLOOKUP(Separator!F321,'Species Data'!D:F,3,FALSE)=0,"X",IF(G321&lt;44.1,2,1)))</f>
        <v/>
      </c>
      <c r="I321" s="204" t="str">
        <f t="shared" ca="1" si="37"/>
        <v/>
      </c>
      <c r="J321" s="247" t="str">
        <f ca="1">IF(I321="","",IF(COUNTIF($D$12:D321,D321)=1,IF(H321=1,I321*H321,IF(H321="X","X",0)),0))</f>
        <v/>
      </c>
      <c r="K321" s="248" t="str">
        <f t="shared" ca="1" si="38"/>
        <v/>
      </c>
      <c r="L321" s="239"/>
      <c r="M321" s="215"/>
      <c r="N321" s="215"/>
      <c r="O321" s="216"/>
      <c r="P321" s="215"/>
      <c r="Q321" s="217"/>
      <c r="R321" s="215"/>
      <c r="S321" s="215"/>
      <c r="T321" s="215"/>
      <c r="U321" s="215"/>
      <c r="V321" s="217"/>
      <c r="W321" s="217"/>
      <c r="X321" s="217"/>
      <c r="Y321" s="217"/>
      <c r="Z321" s="217"/>
      <c r="AA321" s="215"/>
      <c r="AB321" s="215"/>
      <c r="AC321" s="215"/>
      <c r="AD321" s="217">
        <v>2.2218420000000001</v>
      </c>
      <c r="AE321" s="217">
        <v>138</v>
      </c>
      <c r="AF321" s="217">
        <v>1.37E-2</v>
      </c>
      <c r="AG321" s="217">
        <v>-99</v>
      </c>
      <c r="AH321" s="215" t="s">
        <v>224</v>
      </c>
      <c r="AI321" s="215" t="s">
        <v>449</v>
      </c>
      <c r="AJ321" s="215" t="s">
        <v>443</v>
      </c>
      <c r="AK321" s="215" t="s">
        <v>531</v>
      </c>
      <c r="AL321" s="215" t="s">
        <v>463</v>
      </c>
      <c r="AM321" s="217" t="b">
        <v>0</v>
      </c>
      <c r="AN321" s="217" t="b">
        <v>0</v>
      </c>
      <c r="AO321" s="215" t="s">
        <v>444</v>
      </c>
      <c r="AP321" s="215" t="s">
        <v>531</v>
      </c>
      <c r="AQ321" s="217">
        <v>114.22852</v>
      </c>
      <c r="AR321" s="217" t="b">
        <v>0</v>
      </c>
      <c r="AS321" s="215" t="s">
        <v>534</v>
      </c>
    </row>
    <row r="322" spans="1:45" s="218" customFormat="1" x14ac:dyDescent="0.25">
      <c r="A322" s="245" t="str">
        <f t="shared" si="39"/>
        <v/>
      </c>
      <c r="B322" s="246" t="str">
        <f t="shared" si="32"/>
        <v/>
      </c>
      <c r="C322" s="246" t="str">
        <f>IF(B322="","",VLOOKUP(D322,'Species Data'!B:E,4,FALSE))</f>
        <v/>
      </c>
      <c r="D322" s="246" t="str">
        <f t="shared" ca="1" si="33"/>
        <v/>
      </c>
      <c r="E322" s="246" t="str">
        <f t="shared" ca="1" si="34"/>
        <v/>
      </c>
      <c r="F322" s="246" t="str">
        <f t="shared" ca="1" si="35"/>
        <v/>
      </c>
      <c r="G322" s="246" t="str">
        <f t="shared" ca="1" si="36"/>
        <v/>
      </c>
      <c r="H322" s="204" t="str">
        <f ca="1">IF(G322="","",IF(VLOOKUP(Separator!F322,'Species Data'!D:F,3,FALSE)=0,"X",IF(G322&lt;44.1,2,1)))</f>
        <v/>
      </c>
      <c r="I322" s="204" t="str">
        <f t="shared" ca="1" si="37"/>
        <v/>
      </c>
      <c r="J322" s="247" t="str">
        <f ca="1">IF(I322="","",IF(COUNTIF($D$12:D322,D322)=1,IF(H322=1,I322*H322,IF(H322="X","X",0)),0))</f>
        <v/>
      </c>
      <c r="K322" s="248" t="str">
        <f t="shared" ca="1" si="38"/>
        <v/>
      </c>
      <c r="L322" s="239"/>
      <c r="M322" s="215"/>
      <c r="N322" s="215"/>
      <c r="O322" s="216"/>
      <c r="P322" s="215"/>
      <c r="Q322" s="217"/>
      <c r="R322" s="215"/>
      <c r="S322" s="215"/>
      <c r="T322" s="215"/>
      <c r="U322" s="215"/>
      <c r="V322" s="217"/>
      <c r="W322" s="217"/>
      <c r="X322" s="217"/>
      <c r="Y322" s="217"/>
      <c r="Z322" s="217"/>
      <c r="AA322" s="215"/>
      <c r="AB322" s="215"/>
      <c r="AC322" s="215"/>
      <c r="AD322" s="217">
        <v>2.2218420000000001</v>
      </c>
      <c r="AE322" s="217">
        <v>140</v>
      </c>
      <c r="AF322" s="217">
        <v>0.20200000000000001</v>
      </c>
      <c r="AG322" s="217">
        <v>-99</v>
      </c>
      <c r="AH322" s="215" t="s">
        <v>224</v>
      </c>
      <c r="AI322" s="215" t="s">
        <v>449</v>
      </c>
      <c r="AJ322" s="215" t="s">
        <v>307</v>
      </c>
      <c r="AK322" s="215" t="s">
        <v>531</v>
      </c>
      <c r="AL322" s="215" t="s">
        <v>385</v>
      </c>
      <c r="AM322" s="217" t="b">
        <v>1</v>
      </c>
      <c r="AN322" s="217" t="b">
        <v>0</v>
      </c>
      <c r="AO322" s="215" t="s">
        <v>308</v>
      </c>
      <c r="AP322" s="215" t="s">
        <v>309</v>
      </c>
      <c r="AQ322" s="217">
        <v>100.20194000000001</v>
      </c>
      <c r="AR322" s="217" t="b">
        <v>0</v>
      </c>
      <c r="AS322" s="215" t="s">
        <v>534</v>
      </c>
    </row>
    <row r="323" spans="1:45" s="218" customFormat="1" x14ac:dyDescent="0.25">
      <c r="A323" s="245" t="str">
        <f t="shared" si="39"/>
        <v/>
      </c>
      <c r="B323" s="246" t="str">
        <f t="shared" si="32"/>
        <v/>
      </c>
      <c r="C323" s="246" t="str">
        <f>IF(B323="","",VLOOKUP(D323,'Species Data'!B:E,4,FALSE))</f>
        <v/>
      </c>
      <c r="D323" s="246" t="str">
        <f t="shared" ca="1" si="33"/>
        <v/>
      </c>
      <c r="E323" s="246" t="str">
        <f t="shared" ca="1" si="34"/>
        <v/>
      </c>
      <c r="F323" s="246" t="str">
        <f t="shared" ca="1" si="35"/>
        <v/>
      </c>
      <c r="G323" s="246" t="str">
        <f t="shared" ca="1" si="36"/>
        <v/>
      </c>
      <c r="H323" s="204" t="str">
        <f ca="1">IF(G323="","",IF(VLOOKUP(Separator!F323,'Species Data'!D:F,3,FALSE)=0,"X",IF(G323&lt;44.1,2,1)))</f>
        <v/>
      </c>
      <c r="I323" s="204" t="str">
        <f t="shared" ca="1" si="37"/>
        <v/>
      </c>
      <c r="J323" s="247" t="str">
        <f ca="1">IF(I323="","",IF(COUNTIF($D$12:D323,D323)=1,IF(H323=1,I323*H323,IF(H323="X","X",0)),0))</f>
        <v/>
      </c>
      <c r="K323" s="248" t="str">
        <f t="shared" ca="1" si="38"/>
        <v/>
      </c>
      <c r="L323" s="239"/>
      <c r="M323" s="215"/>
      <c r="N323" s="215"/>
      <c r="O323" s="216"/>
      <c r="P323" s="215"/>
      <c r="Q323" s="217"/>
      <c r="R323" s="215"/>
      <c r="S323" s="215"/>
      <c r="T323" s="215"/>
      <c r="U323" s="215"/>
      <c r="V323" s="217"/>
      <c r="W323" s="217"/>
      <c r="X323" s="217"/>
      <c r="Y323" s="217"/>
      <c r="Z323" s="217"/>
      <c r="AA323" s="215"/>
      <c r="AB323" s="215"/>
      <c r="AC323" s="215"/>
      <c r="AD323" s="217">
        <v>2.2218420000000001</v>
      </c>
      <c r="AE323" s="217">
        <v>149</v>
      </c>
      <c r="AF323" s="217">
        <v>0.11210000000000001</v>
      </c>
      <c r="AG323" s="217">
        <v>-99</v>
      </c>
      <c r="AH323" s="215" t="s">
        <v>224</v>
      </c>
      <c r="AI323" s="215" t="s">
        <v>449</v>
      </c>
      <c r="AJ323" s="215" t="s">
        <v>427</v>
      </c>
      <c r="AK323" s="215" t="s">
        <v>531</v>
      </c>
      <c r="AL323" s="215" t="s">
        <v>457</v>
      </c>
      <c r="AM323" s="217" t="b">
        <v>0</v>
      </c>
      <c r="AN323" s="217" t="b">
        <v>0</v>
      </c>
      <c r="AO323" s="215" t="s">
        <v>428</v>
      </c>
      <c r="AP323" s="215" t="s">
        <v>429</v>
      </c>
      <c r="AQ323" s="217">
        <v>114.22852</v>
      </c>
      <c r="AR323" s="217" t="b">
        <v>0</v>
      </c>
      <c r="AS323" s="215" t="s">
        <v>534</v>
      </c>
    </row>
    <row r="324" spans="1:45" s="218" customFormat="1" x14ac:dyDescent="0.25">
      <c r="A324" s="245" t="str">
        <f t="shared" si="39"/>
        <v/>
      </c>
      <c r="B324" s="246" t="str">
        <f t="shared" si="32"/>
        <v/>
      </c>
      <c r="C324" s="246" t="str">
        <f>IF(B324="","",VLOOKUP(D324,'Species Data'!B:E,4,FALSE))</f>
        <v/>
      </c>
      <c r="D324" s="246" t="str">
        <f t="shared" ca="1" si="33"/>
        <v/>
      </c>
      <c r="E324" s="246" t="str">
        <f t="shared" ca="1" si="34"/>
        <v/>
      </c>
      <c r="F324" s="246" t="str">
        <f t="shared" ca="1" si="35"/>
        <v/>
      </c>
      <c r="G324" s="246" t="str">
        <f t="shared" ca="1" si="36"/>
        <v/>
      </c>
      <c r="H324" s="204" t="str">
        <f ca="1">IF(G324="","",IF(VLOOKUP(Separator!F324,'Species Data'!D:F,3,FALSE)=0,"X",IF(G324&lt;44.1,2,1)))</f>
        <v/>
      </c>
      <c r="I324" s="204" t="str">
        <f t="shared" ca="1" si="37"/>
        <v/>
      </c>
      <c r="J324" s="247" t="str">
        <f ca="1">IF(I324="","",IF(COUNTIF($D$12:D324,D324)=1,IF(H324=1,I324*H324,IF(H324="X","X",0)),0))</f>
        <v/>
      </c>
      <c r="K324" s="248" t="str">
        <f t="shared" ca="1" si="38"/>
        <v/>
      </c>
      <c r="L324" s="239"/>
      <c r="M324" s="215"/>
      <c r="N324" s="215"/>
      <c r="O324" s="216"/>
      <c r="P324" s="215"/>
      <c r="Q324" s="217"/>
      <c r="R324" s="215"/>
      <c r="S324" s="215"/>
      <c r="T324" s="215"/>
      <c r="U324" s="215"/>
      <c r="V324" s="217"/>
      <c r="W324" s="217"/>
      <c r="X324" s="217"/>
      <c r="Y324" s="217"/>
      <c r="Z324" s="217"/>
      <c r="AA324" s="215"/>
      <c r="AB324" s="215"/>
      <c r="AC324" s="215"/>
      <c r="AD324" s="217">
        <v>2.2218420000000001</v>
      </c>
      <c r="AE324" s="217">
        <v>152</v>
      </c>
      <c r="AF324" s="217">
        <v>4.1399999999999999E-2</v>
      </c>
      <c r="AG324" s="217">
        <v>-99</v>
      </c>
      <c r="AH324" s="215" t="s">
        <v>224</v>
      </c>
      <c r="AI324" s="215" t="s">
        <v>449</v>
      </c>
      <c r="AJ324" s="215" t="s">
        <v>310</v>
      </c>
      <c r="AK324" s="215" t="s">
        <v>531</v>
      </c>
      <c r="AL324" s="215" t="s">
        <v>386</v>
      </c>
      <c r="AM324" s="217" t="b">
        <v>1</v>
      </c>
      <c r="AN324" s="217" t="b">
        <v>0</v>
      </c>
      <c r="AO324" s="215" t="s">
        <v>311</v>
      </c>
      <c r="AP324" s="215" t="s">
        <v>312</v>
      </c>
      <c r="AQ324" s="217">
        <v>100.20194000000001</v>
      </c>
      <c r="AR324" s="217" t="b">
        <v>0</v>
      </c>
      <c r="AS324" s="215" t="s">
        <v>534</v>
      </c>
    </row>
    <row r="325" spans="1:45" s="218" customFormat="1" x14ac:dyDescent="0.25">
      <c r="A325" s="245" t="str">
        <f t="shared" si="39"/>
        <v/>
      </c>
      <c r="B325" s="246" t="str">
        <f t="shared" si="32"/>
        <v/>
      </c>
      <c r="C325" s="246" t="str">
        <f>IF(B325="","",VLOOKUP(D325,'Species Data'!B:E,4,FALSE))</f>
        <v/>
      </c>
      <c r="D325" s="246" t="str">
        <f t="shared" ca="1" si="33"/>
        <v/>
      </c>
      <c r="E325" s="246" t="str">
        <f t="shared" ca="1" si="34"/>
        <v/>
      </c>
      <c r="F325" s="246" t="str">
        <f t="shared" ca="1" si="35"/>
        <v/>
      </c>
      <c r="G325" s="246" t="str">
        <f t="shared" ca="1" si="36"/>
        <v/>
      </c>
      <c r="H325" s="204" t="str">
        <f ca="1">IF(G325="","",IF(VLOOKUP(Separator!F325,'Species Data'!D:F,3,FALSE)=0,"X",IF(G325&lt;44.1,2,1)))</f>
        <v/>
      </c>
      <c r="I325" s="204" t="str">
        <f t="shared" ca="1" si="37"/>
        <v/>
      </c>
      <c r="J325" s="247" t="str">
        <f ca="1">IF(I325="","",IF(COUNTIF($D$12:D325,D325)=1,IF(H325=1,I325*H325,IF(H325="X","X",0)),0))</f>
        <v/>
      </c>
      <c r="K325" s="248" t="str">
        <f t="shared" ca="1" si="38"/>
        <v/>
      </c>
      <c r="L325" s="239"/>
      <c r="M325" s="215"/>
      <c r="N325" s="215"/>
      <c r="O325" s="216"/>
      <c r="P325" s="215"/>
      <c r="Q325" s="217"/>
      <c r="R325" s="215"/>
      <c r="S325" s="215"/>
      <c r="T325" s="215"/>
      <c r="U325" s="215"/>
      <c r="V325" s="217"/>
      <c r="W325" s="217"/>
      <c r="X325" s="217"/>
      <c r="Y325" s="217"/>
      <c r="Z325" s="217"/>
      <c r="AA325" s="215"/>
      <c r="AB325" s="215"/>
      <c r="AC325" s="215"/>
      <c r="AD325" s="217">
        <v>2.2218420000000001</v>
      </c>
      <c r="AE325" s="217">
        <v>193</v>
      </c>
      <c r="AF325" s="217">
        <v>1.9699999999999999E-2</v>
      </c>
      <c r="AG325" s="217">
        <v>-99</v>
      </c>
      <c r="AH325" s="215" t="s">
        <v>224</v>
      </c>
      <c r="AI325" s="215" t="s">
        <v>449</v>
      </c>
      <c r="AJ325" s="215" t="s">
        <v>313</v>
      </c>
      <c r="AK325" s="215" t="s">
        <v>531</v>
      </c>
      <c r="AL325" s="215" t="s">
        <v>387</v>
      </c>
      <c r="AM325" s="217" t="b">
        <v>1</v>
      </c>
      <c r="AN325" s="217" t="b">
        <v>0</v>
      </c>
      <c r="AO325" s="215" t="s">
        <v>314</v>
      </c>
      <c r="AP325" s="215" t="s">
        <v>315</v>
      </c>
      <c r="AQ325" s="217">
        <v>114.22852</v>
      </c>
      <c r="AR325" s="217" t="b">
        <v>0</v>
      </c>
      <c r="AS325" s="215" t="s">
        <v>534</v>
      </c>
    </row>
    <row r="326" spans="1:45" s="218" customFormat="1" x14ac:dyDescent="0.25">
      <c r="A326" s="245" t="str">
        <f t="shared" si="39"/>
        <v/>
      </c>
      <c r="B326" s="246" t="str">
        <f t="shared" si="32"/>
        <v/>
      </c>
      <c r="C326" s="246" t="str">
        <f>IF(B326="","",VLOOKUP(D326,'Species Data'!B:E,4,FALSE))</f>
        <v/>
      </c>
      <c r="D326" s="246" t="str">
        <f t="shared" ca="1" si="33"/>
        <v/>
      </c>
      <c r="E326" s="246" t="str">
        <f t="shared" ca="1" si="34"/>
        <v/>
      </c>
      <c r="F326" s="246" t="str">
        <f t="shared" ca="1" si="35"/>
        <v/>
      </c>
      <c r="G326" s="246" t="str">
        <f t="shared" ca="1" si="36"/>
        <v/>
      </c>
      <c r="H326" s="204" t="str">
        <f ca="1">IF(G326="","",IF(VLOOKUP(Separator!F326,'Species Data'!D:F,3,FALSE)=0,"X",IF(G326&lt;44.1,2,1)))</f>
        <v/>
      </c>
      <c r="I326" s="204" t="str">
        <f t="shared" ca="1" si="37"/>
        <v/>
      </c>
      <c r="J326" s="247" t="str">
        <f ca="1">IF(I326="","",IF(COUNTIF($D$12:D326,D326)=1,IF(H326=1,I326*H326,IF(H326="X","X",0)),0))</f>
        <v/>
      </c>
      <c r="K326" s="248" t="str">
        <f t="shared" ca="1" si="38"/>
        <v/>
      </c>
      <c r="L326" s="239"/>
      <c r="M326" s="215"/>
      <c r="N326" s="215"/>
      <c r="O326" s="216"/>
      <c r="P326" s="215"/>
      <c r="Q326" s="217"/>
      <c r="R326" s="215"/>
      <c r="S326" s="215"/>
      <c r="T326" s="215"/>
      <c r="U326" s="215"/>
      <c r="V326" s="217"/>
      <c r="W326" s="217"/>
      <c r="X326" s="217"/>
      <c r="Y326" s="217"/>
      <c r="Z326" s="217"/>
      <c r="AA326" s="215"/>
      <c r="AB326" s="215"/>
      <c r="AC326" s="215"/>
      <c r="AD326" s="217">
        <v>2.2218420000000001</v>
      </c>
      <c r="AE326" s="217">
        <v>199</v>
      </c>
      <c r="AF326" s="217">
        <v>1.1674</v>
      </c>
      <c r="AG326" s="217">
        <v>-99</v>
      </c>
      <c r="AH326" s="215" t="s">
        <v>224</v>
      </c>
      <c r="AI326" s="215" t="s">
        <v>449</v>
      </c>
      <c r="AJ326" s="215" t="s">
        <v>319</v>
      </c>
      <c r="AK326" s="215" t="s">
        <v>531</v>
      </c>
      <c r="AL326" s="215" t="s">
        <v>389</v>
      </c>
      <c r="AM326" s="217" t="b">
        <v>1</v>
      </c>
      <c r="AN326" s="217" t="b">
        <v>0</v>
      </c>
      <c r="AO326" s="215" t="s">
        <v>320</v>
      </c>
      <c r="AP326" s="215" t="s">
        <v>321</v>
      </c>
      <c r="AQ326" s="217">
        <v>86.175359999999998</v>
      </c>
      <c r="AR326" s="217" t="b">
        <v>0</v>
      </c>
      <c r="AS326" s="215" t="s">
        <v>534</v>
      </c>
    </row>
    <row r="327" spans="1:45" s="218" customFormat="1" x14ac:dyDescent="0.25">
      <c r="A327" s="245" t="str">
        <f t="shared" si="39"/>
        <v/>
      </c>
      <c r="B327" s="246" t="str">
        <f t="shared" si="32"/>
        <v/>
      </c>
      <c r="C327" s="246" t="str">
        <f>IF(B327="","",VLOOKUP(D327,'Species Data'!B:E,4,FALSE))</f>
        <v/>
      </c>
      <c r="D327" s="246" t="str">
        <f t="shared" ca="1" si="33"/>
        <v/>
      </c>
      <c r="E327" s="246" t="str">
        <f t="shared" ca="1" si="34"/>
        <v/>
      </c>
      <c r="F327" s="246" t="str">
        <f t="shared" ca="1" si="35"/>
        <v/>
      </c>
      <c r="G327" s="246" t="str">
        <f t="shared" ca="1" si="36"/>
        <v/>
      </c>
      <c r="H327" s="204" t="str">
        <f ca="1">IF(G327="","",IF(VLOOKUP(Separator!F327,'Species Data'!D:F,3,FALSE)=0,"X",IF(G327&lt;44.1,2,1)))</f>
        <v/>
      </c>
      <c r="I327" s="204" t="str">
        <f t="shared" ca="1" si="37"/>
        <v/>
      </c>
      <c r="J327" s="247" t="str">
        <f ca="1">IF(I327="","",IF(COUNTIF($D$12:D327,D327)=1,IF(H327=1,I327*H327,IF(H327="X","X",0)),0))</f>
        <v/>
      </c>
      <c r="K327" s="248" t="str">
        <f t="shared" ca="1" si="38"/>
        <v/>
      </c>
      <c r="L327" s="239"/>
      <c r="M327" s="215"/>
      <c r="N327" s="215"/>
      <c r="O327" s="216"/>
      <c r="P327" s="215"/>
      <c r="Q327" s="217"/>
      <c r="R327" s="215"/>
      <c r="S327" s="215"/>
      <c r="T327" s="215"/>
      <c r="U327" s="215"/>
      <c r="V327" s="217"/>
      <c r="W327" s="217"/>
      <c r="X327" s="217"/>
      <c r="Y327" s="217"/>
      <c r="Z327" s="217"/>
      <c r="AA327" s="215"/>
      <c r="AB327" s="215"/>
      <c r="AC327" s="215"/>
      <c r="AD327" s="217">
        <v>2.2218420000000001</v>
      </c>
      <c r="AE327" s="217">
        <v>226</v>
      </c>
      <c r="AF327" s="217">
        <v>4.82E-2</v>
      </c>
      <c r="AG327" s="217">
        <v>-99</v>
      </c>
      <c r="AH327" s="215" t="s">
        <v>224</v>
      </c>
      <c r="AI327" s="215" t="s">
        <v>449</v>
      </c>
      <c r="AJ327" s="215" t="s">
        <v>439</v>
      </c>
      <c r="AK327" s="215" t="s">
        <v>531</v>
      </c>
      <c r="AL327" s="215" t="s">
        <v>461</v>
      </c>
      <c r="AM327" s="217" t="b">
        <v>0</v>
      </c>
      <c r="AN327" s="217" t="b">
        <v>0</v>
      </c>
      <c r="AO327" s="215" t="s">
        <v>440</v>
      </c>
      <c r="AP327" s="215" t="s">
        <v>531</v>
      </c>
      <c r="AQ327" s="217">
        <v>114.22852</v>
      </c>
      <c r="AR327" s="217" t="b">
        <v>0</v>
      </c>
      <c r="AS327" s="215" t="s">
        <v>534</v>
      </c>
    </row>
    <row r="328" spans="1:45" s="218" customFormat="1" x14ac:dyDescent="0.25">
      <c r="A328" s="245" t="str">
        <f t="shared" si="39"/>
        <v/>
      </c>
      <c r="B328" s="246" t="str">
        <f t="shared" si="32"/>
        <v/>
      </c>
      <c r="C328" s="246" t="str">
        <f>IF(B328="","",VLOOKUP(D328,'Species Data'!B:E,4,FALSE))</f>
        <v/>
      </c>
      <c r="D328" s="246" t="str">
        <f t="shared" ca="1" si="33"/>
        <v/>
      </c>
      <c r="E328" s="246" t="str">
        <f t="shared" ca="1" si="34"/>
        <v/>
      </c>
      <c r="F328" s="246" t="str">
        <f t="shared" ca="1" si="35"/>
        <v/>
      </c>
      <c r="G328" s="246" t="str">
        <f t="shared" ca="1" si="36"/>
        <v/>
      </c>
      <c r="H328" s="204" t="str">
        <f ca="1">IF(G328="","",IF(VLOOKUP(Separator!F328,'Species Data'!D:F,3,FALSE)=0,"X",IF(G328&lt;44.1,2,1)))</f>
        <v/>
      </c>
      <c r="I328" s="204" t="str">
        <f t="shared" ca="1" si="37"/>
        <v/>
      </c>
      <c r="J328" s="247" t="str">
        <f ca="1">IF(I328="","",IF(COUNTIF($D$12:D328,D328)=1,IF(H328=1,I328*H328,IF(H328="X","X",0)),0))</f>
        <v/>
      </c>
      <c r="K328" s="248" t="str">
        <f t="shared" ca="1" si="38"/>
        <v/>
      </c>
      <c r="L328" s="239"/>
      <c r="M328" s="215"/>
      <c r="N328" s="215"/>
      <c r="O328" s="216"/>
      <c r="P328" s="215"/>
      <c r="Q328" s="217"/>
      <c r="R328" s="215"/>
      <c r="S328" s="215"/>
      <c r="T328" s="215"/>
      <c r="U328" s="215"/>
      <c r="V328" s="217"/>
      <c r="W328" s="217"/>
      <c r="X328" s="217"/>
      <c r="Y328" s="217"/>
      <c r="Z328" s="217"/>
      <c r="AA328" s="215"/>
      <c r="AB328" s="215"/>
      <c r="AC328" s="215"/>
      <c r="AD328" s="217">
        <v>2.2218420000000001</v>
      </c>
      <c r="AE328" s="217">
        <v>245</v>
      </c>
      <c r="AF328" s="217">
        <v>0.28170000000000001</v>
      </c>
      <c r="AG328" s="217">
        <v>-99</v>
      </c>
      <c r="AH328" s="215" t="s">
        <v>224</v>
      </c>
      <c r="AI328" s="215" t="s">
        <v>449</v>
      </c>
      <c r="AJ328" s="215" t="s">
        <v>325</v>
      </c>
      <c r="AK328" s="215" t="s">
        <v>531</v>
      </c>
      <c r="AL328" s="215" t="s">
        <v>390</v>
      </c>
      <c r="AM328" s="217" t="b">
        <v>1</v>
      </c>
      <c r="AN328" s="217" t="b">
        <v>0</v>
      </c>
      <c r="AO328" s="215" t="s">
        <v>326</v>
      </c>
      <c r="AP328" s="215" t="s">
        <v>327</v>
      </c>
      <c r="AQ328" s="217">
        <v>100.20194000000001</v>
      </c>
      <c r="AR328" s="217" t="b">
        <v>0</v>
      </c>
      <c r="AS328" s="215" t="s">
        <v>534</v>
      </c>
    </row>
    <row r="329" spans="1:45" s="218" customFormat="1" x14ac:dyDescent="0.25">
      <c r="A329" s="245" t="str">
        <f t="shared" si="39"/>
        <v/>
      </c>
      <c r="B329" s="246" t="str">
        <f t="shared" si="32"/>
        <v/>
      </c>
      <c r="C329" s="246" t="str">
        <f>IF(B329="","",VLOOKUP(D329,'Species Data'!B:E,4,FALSE))</f>
        <v/>
      </c>
      <c r="D329" s="246" t="str">
        <f t="shared" ca="1" si="33"/>
        <v/>
      </c>
      <c r="E329" s="246" t="str">
        <f t="shared" ca="1" si="34"/>
        <v/>
      </c>
      <c r="F329" s="246" t="str">
        <f t="shared" ca="1" si="35"/>
        <v/>
      </c>
      <c r="G329" s="246" t="str">
        <f t="shared" ca="1" si="36"/>
        <v/>
      </c>
      <c r="H329" s="204" t="str">
        <f ca="1">IF(G329="","",IF(VLOOKUP(Separator!F329,'Species Data'!D:F,3,FALSE)=0,"X",IF(G329&lt;44.1,2,1)))</f>
        <v/>
      </c>
      <c r="I329" s="204" t="str">
        <f t="shared" ca="1" si="37"/>
        <v/>
      </c>
      <c r="J329" s="247" t="str">
        <f ca="1">IF(I329="","",IF(COUNTIF($D$12:D329,D329)=1,IF(H329=1,I329*H329,IF(H329="X","X",0)),0))</f>
        <v/>
      </c>
      <c r="K329" s="248" t="str">
        <f t="shared" ca="1" si="38"/>
        <v/>
      </c>
      <c r="L329" s="239"/>
      <c r="M329" s="215"/>
      <c r="N329" s="215"/>
      <c r="O329" s="216"/>
      <c r="P329" s="215"/>
      <c r="Q329" s="217"/>
      <c r="R329" s="215"/>
      <c r="S329" s="215"/>
      <c r="T329" s="215"/>
      <c r="U329" s="215"/>
      <c r="V329" s="217"/>
      <c r="W329" s="217"/>
      <c r="X329" s="217"/>
      <c r="Y329" s="217"/>
      <c r="Z329" s="217"/>
      <c r="AA329" s="215"/>
      <c r="AB329" s="215"/>
      <c r="AC329" s="215"/>
      <c r="AD329" s="217">
        <v>2.2218420000000001</v>
      </c>
      <c r="AE329" s="217">
        <v>248</v>
      </c>
      <c r="AF329" s="217">
        <v>0.75380000000000003</v>
      </c>
      <c r="AG329" s="217">
        <v>-99</v>
      </c>
      <c r="AH329" s="215" t="s">
        <v>224</v>
      </c>
      <c r="AI329" s="215" t="s">
        <v>449</v>
      </c>
      <c r="AJ329" s="215" t="s">
        <v>328</v>
      </c>
      <c r="AK329" s="215" t="s">
        <v>531</v>
      </c>
      <c r="AL329" s="215" t="s">
        <v>391</v>
      </c>
      <c r="AM329" s="217" t="b">
        <v>1</v>
      </c>
      <c r="AN329" s="217" t="b">
        <v>0</v>
      </c>
      <c r="AO329" s="215" t="s">
        <v>329</v>
      </c>
      <c r="AP329" s="215" t="s">
        <v>330</v>
      </c>
      <c r="AQ329" s="217">
        <v>86.175359999999998</v>
      </c>
      <c r="AR329" s="217" t="b">
        <v>0</v>
      </c>
      <c r="AS329" s="215" t="s">
        <v>534</v>
      </c>
    </row>
    <row r="330" spans="1:45" s="218" customFormat="1" x14ac:dyDescent="0.25">
      <c r="A330" s="245" t="str">
        <f t="shared" si="39"/>
        <v/>
      </c>
      <c r="B330" s="246" t="str">
        <f t="shared" si="32"/>
        <v/>
      </c>
      <c r="C330" s="246" t="str">
        <f>IF(B330="","",VLOOKUP(D330,'Species Data'!B:E,4,FALSE))</f>
        <v/>
      </c>
      <c r="D330" s="246" t="str">
        <f t="shared" ca="1" si="33"/>
        <v/>
      </c>
      <c r="E330" s="246" t="str">
        <f t="shared" ca="1" si="34"/>
        <v/>
      </c>
      <c r="F330" s="246" t="str">
        <f t="shared" ca="1" si="35"/>
        <v/>
      </c>
      <c r="G330" s="246" t="str">
        <f t="shared" ca="1" si="36"/>
        <v/>
      </c>
      <c r="H330" s="204" t="str">
        <f ca="1">IF(G330="","",IF(VLOOKUP(Separator!F330,'Species Data'!D:F,3,FALSE)=0,"X",IF(G330&lt;44.1,2,1)))</f>
        <v/>
      </c>
      <c r="I330" s="204" t="str">
        <f t="shared" ca="1" si="37"/>
        <v/>
      </c>
      <c r="J330" s="247" t="str">
        <f ca="1">IF(I330="","",IF(COUNTIF($D$12:D330,D330)=1,IF(H330=1,I330*H330,IF(H330="X","X",0)),0))</f>
        <v/>
      </c>
      <c r="K330" s="248" t="str">
        <f t="shared" ca="1" si="38"/>
        <v/>
      </c>
      <c r="L330" s="239"/>
      <c r="M330" s="215"/>
      <c r="N330" s="215"/>
      <c r="O330" s="216"/>
      <c r="P330" s="215"/>
      <c r="Q330" s="217"/>
      <c r="R330" s="215"/>
      <c r="S330" s="215"/>
      <c r="T330" s="215"/>
      <c r="U330" s="215"/>
      <c r="V330" s="217"/>
      <c r="W330" s="217"/>
      <c r="X330" s="217"/>
      <c r="Y330" s="217"/>
      <c r="Z330" s="217"/>
      <c r="AA330" s="215"/>
      <c r="AB330" s="215"/>
      <c r="AC330" s="215"/>
      <c r="AD330" s="217">
        <v>2.2218420000000001</v>
      </c>
      <c r="AE330" s="217">
        <v>302</v>
      </c>
      <c r="AF330" s="217">
        <v>9.1899999999999996E-2</v>
      </c>
      <c r="AG330" s="217">
        <v>-99</v>
      </c>
      <c r="AH330" s="215" t="s">
        <v>224</v>
      </c>
      <c r="AI330" s="215" t="s">
        <v>449</v>
      </c>
      <c r="AJ330" s="215" t="s">
        <v>262</v>
      </c>
      <c r="AK330" s="215" t="s">
        <v>531</v>
      </c>
      <c r="AL330" s="215" t="s">
        <v>373</v>
      </c>
      <c r="AM330" s="217" t="b">
        <v>1</v>
      </c>
      <c r="AN330" s="217" t="b">
        <v>1</v>
      </c>
      <c r="AO330" s="215" t="s">
        <v>263</v>
      </c>
      <c r="AP330" s="215" t="s">
        <v>264</v>
      </c>
      <c r="AQ330" s="217">
        <v>78.111840000000001</v>
      </c>
      <c r="AR330" s="217" t="b">
        <v>0</v>
      </c>
      <c r="AS330" s="215" t="s">
        <v>534</v>
      </c>
    </row>
    <row r="331" spans="1:45" s="218" customFormat="1" x14ac:dyDescent="0.25">
      <c r="A331" s="245" t="str">
        <f t="shared" si="39"/>
        <v/>
      </c>
      <c r="B331" s="246" t="str">
        <f t="shared" si="32"/>
        <v/>
      </c>
      <c r="C331" s="246" t="str">
        <f>IF(B331="","",VLOOKUP(D331,'Species Data'!B:E,4,FALSE))</f>
        <v/>
      </c>
      <c r="D331" s="246" t="str">
        <f t="shared" ca="1" si="33"/>
        <v/>
      </c>
      <c r="E331" s="246" t="str">
        <f t="shared" ca="1" si="34"/>
        <v/>
      </c>
      <c r="F331" s="246" t="str">
        <f t="shared" ca="1" si="35"/>
        <v/>
      </c>
      <c r="G331" s="246" t="str">
        <f t="shared" ca="1" si="36"/>
        <v/>
      </c>
      <c r="H331" s="204" t="str">
        <f ca="1">IF(G331="","",IF(VLOOKUP(Separator!F331,'Species Data'!D:F,3,FALSE)=0,"X",IF(G331&lt;44.1,2,1)))</f>
        <v/>
      </c>
      <c r="I331" s="204" t="str">
        <f t="shared" ca="1" si="37"/>
        <v/>
      </c>
      <c r="J331" s="247" t="str">
        <f ca="1">IF(I331="","",IF(COUNTIF($D$12:D331,D331)=1,IF(H331=1,I331*H331,IF(H331="X","X",0)),0))</f>
        <v/>
      </c>
      <c r="K331" s="248" t="str">
        <f t="shared" ca="1" si="38"/>
        <v/>
      </c>
      <c r="L331" s="239"/>
      <c r="M331" s="215"/>
      <c r="N331" s="215"/>
      <c r="O331" s="216"/>
      <c r="P331" s="215"/>
      <c r="Q331" s="217"/>
      <c r="R331" s="215"/>
      <c r="S331" s="215"/>
      <c r="T331" s="215"/>
      <c r="U331" s="215"/>
      <c r="V331" s="217"/>
      <c r="W331" s="217"/>
      <c r="X331" s="217"/>
      <c r="Y331" s="217"/>
      <c r="Z331" s="217"/>
      <c r="AA331" s="215"/>
      <c r="AB331" s="215"/>
      <c r="AC331" s="215"/>
      <c r="AD331" s="217">
        <v>2.2218420000000001</v>
      </c>
      <c r="AE331" s="217">
        <v>385</v>
      </c>
      <c r="AF331" s="217">
        <v>7.4999999999999997E-3</v>
      </c>
      <c r="AG331" s="217">
        <v>-99</v>
      </c>
      <c r="AH331" s="215" t="s">
        <v>224</v>
      </c>
      <c r="AI331" s="215" t="s">
        <v>449</v>
      </c>
      <c r="AJ331" s="215" t="s">
        <v>331</v>
      </c>
      <c r="AK331" s="215" t="s">
        <v>531</v>
      </c>
      <c r="AL331" s="215" t="s">
        <v>392</v>
      </c>
      <c r="AM331" s="217" t="b">
        <v>1</v>
      </c>
      <c r="AN331" s="217" t="b">
        <v>0</v>
      </c>
      <c r="AO331" s="215" t="s">
        <v>332</v>
      </c>
      <c r="AP331" s="215" t="s">
        <v>333</v>
      </c>
      <c r="AQ331" s="217">
        <v>84.159480000000002</v>
      </c>
      <c r="AR331" s="217" t="b">
        <v>0</v>
      </c>
      <c r="AS331" s="215" t="s">
        <v>534</v>
      </c>
    </row>
    <row r="332" spans="1:45" s="218" customFormat="1" x14ac:dyDescent="0.25">
      <c r="A332" s="245" t="str">
        <f t="shared" si="39"/>
        <v/>
      </c>
      <c r="B332" s="246" t="str">
        <f t="shared" ref="B332:B395" si="40">IF(ROW(A332)-(ROW($A$12))&lt;$B$10,$B$9,"")</f>
        <v/>
      </c>
      <c r="C332" s="246" t="str">
        <f>IF(B332="","",VLOOKUP(D332,'Species Data'!B:E,4,FALSE))</f>
        <v/>
      </c>
      <c r="D332" s="246" t="str">
        <f t="shared" ca="1" si="33"/>
        <v/>
      </c>
      <c r="E332" s="246" t="str">
        <f t="shared" ca="1" si="34"/>
        <v/>
      </c>
      <c r="F332" s="246" t="str">
        <f t="shared" ca="1" si="35"/>
        <v/>
      </c>
      <c r="G332" s="246" t="str">
        <f t="shared" ca="1" si="36"/>
        <v/>
      </c>
      <c r="H332" s="204" t="str">
        <f ca="1">IF(G332="","",IF(VLOOKUP(Separator!F332,'Species Data'!D:F,3,FALSE)=0,"X",IF(G332&lt;44.1,2,1)))</f>
        <v/>
      </c>
      <c r="I332" s="204" t="str">
        <f t="shared" ca="1" si="37"/>
        <v/>
      </c>
      <c r="J332" s="247" t="str">
        <f ca="1">IF(I332="","",IF(COUNTIF($D$12:D332,D332)=1,IF(H332=1,I332*H332,IF(H332="X","X",0)),0))</f>
        <v/>
      </c>
      <c r="K332" s="248" t="str">
        <f t="shared" ca="1" si="38"/>
        <v/>
      </c>
      <c r="L332" s="239"/>
      <c r="M332" s="215"/>
      <c r="N332" s="215"/>
      <c r="O332" s="216"/>
      <c r="P332" s="215"/>
      <c r="Q332" s="217"/>
      <c r="R332" s="215"/>
      <c r="S332" s="215"/>
      <c r="T332" s="215"/>
      <c r="U332" s="215"/>
      <c r="V332" s="217"/>
      <c r="W332" s="217"/>
      <c r="X332" s="217"/>
      <c r="Y332" s="217"/>
      <c r="Z332" s="217"/>
      <c r="AA332" s="215"/>
      <c r="AB332" s="215"/>
      <c r="AC332" s="215"/>
      <c r="AD332" s="217">
        <v>2.2218420000000001</v>
      </c>
      <c r="AE332" s="217">
        <v>390</v>
      </c>
      <c r="AF332" s="217">
        <v>0.1537</v>
      </c>
      <c r="AG332" s="217">
        <v>-99</v>
      </c>
      <c r="AH332" s="215" t="s">
        <v>224</v>
      </c>
      <c r="AI332" s="215" t="s">
        <v>449</v>
      </c>
      <c r="AJ332" s="215" t="s">
        <v>334</v>
      </c>
      <c r="AK332" s="215" t="s">
        <v>531</v>
      </c>
      <c r="AL332" s="215" t="s">
        <v>393</v>
      </c>
      <c r="AM332" s="217" t="b">
        <v>1</v>
      </c>
      <c r="AN332" s="217" t="b">
        <v>0</v>
      </c>
      <c r="AO332" s="215" t="s">
        <v>335</v>
      </c>
      <c r="AP332" s="215" t="s">
        <v>336</v>
      </c>
      <c r="AQ332" s="217">
        <v>70.132900000000006</v>
      </c>
      <c r="AR332" s="217" t="b">
        <v>0</v>
      </c>
      <c r="AS332" s="215" t="s">
        <v>534</v>
      </c>
    </row>
    <row r="333" spans="1:45" s="218" customFormat="1" x14ac:dyDescent="0.25">
      <c r="A333" s="245" t="str">
        <f t="shared" si="39"/>
        <v/>
      </c>
      <c r="B333" s="246" t="str">
        <f t="shared" si="40"/>
        <v/>
      </c>
      <c r="C333" s="246" t="str">
        <f>IF(B333="","",VLOOKUP(D333,'Species Data'!B:E,4,FALSE))</f>
        <v/>
      </c>
      <c r="D333" s="246" t="str">
        <f t="shared" ref="D333:D396" ca="1" si="41">IF(B333="","",INDIRECT("AE"&amp;$A333))</f>
        <v/>
      </c>
      <c r="E333" s="246" t="str">
        <f t="shared" ref="E333:E396" ca="1" si="42">IF(D333="","",INDIRECT("AF"&amp;$A333))</f>
        <v/>
      </c>
      <c r="F333" s="246" t="str">
        <f t="shared" ref="F333:F396" ca="1" si="43">IF(E333="","",INDIRECT("AO"&amp;$A333))</f>
        <v/>
      </c>
      <c r="G333" s="246" t="str">
        <f t="shared" ref="G333:G396" ca="1" si="44">IF(F333="","",INDIRECT("AQ"&amp;$A333))</f>
        <v/>
      </c>
      <c r="H333" s="204" t="str">
        <f ca="1">IF(G333="","",IF(VLOOKUP(Separator!F333,'Species Data'!D:F,3,FALSE)=0,"X",IF(G333&lt;44.1,2,1)))</f>
        <v/>
      </c>
      <c r="I333" s="204" t="str">
        <f t="shared" ref="I333:I396" ca="1" si="45">IF(H333="","",SUMIF(D:D,D333,E:E)/($E$9/100))</f>
        <v/>
      </c>
      <c r="J333" s="247" t="str">
        <f ca="1">IF(I333="","",IF(COUNTIF($D$12:D333,D333)=1,IF(H333=1,I333*H333,IF(H333="X","X",0)),0))</f>
        <v/>
      </c>
      <c r="K333" s="248" t="str">
        <f t="shared" ref="K333:K396" ca="1" si="46">IF(J333="","",IF(J333="X",0,J333/$J$9*100))</f>
        <v/>
      </c>
      <c r="L333" s="239"/>
      <c r="M333" s="215"/>
      <c r="N333" s="215"/>
      <c r="O333" s="216"/>
      <c r="P333" s="215"/>
      <c r="Q333" s="217"/>
      <c r="R333" s="215"/>
      <c r="S333" s="215"/>
      <c r="T333" s="215"/>
      <c r="U333" s="215"/>
      <c r="V333" s="217"/>
      <c r="W333" s="217"/>
      <c r="X333" s="217"/>
      <c r="Y333" s="217"/>
      <c r="Z333" s="217"/>
      <c r="AA333" s="215"/>
      <c r="AB333" s="215"/>
      <c r="AC333" s="215"/>
      <c r="AD333" s="217">
        <v>2.2218420000000001</v>
      </c>
      <c r="AE333" s="217">
        <v>438</v>
      </c>
      <c r="AF333" s="217">
        <v>9.2589000000000006</v>
      </c>
      <c r="AG333" s="217">
        <v>-99</v>
      </c>
      <c r="AH333" s="215" t="s">
        <v>224</v>
      </c>
      <c r="AI333" s="215" t="s">
        <v>449</v>
      </c>
      <c r="AJ333" s="215" t="s">
        <v>265</v>
      </c>
      <c r="AK333" s="215" t="s">
        <v>531</v>
      </c>
      <c r="AL333" s="215" t="s">
        <v>374</v>
      </c>
      <c r="AM333" s="217" t="b">
        <v>1</v>
      </c>
      <c r="AN333" s="217" t="b">
        <v>0</v>
      </c>
      <c r="AO333" s="215" t="s">
        <v>266</v>
      </c>
      <c r="AP333" s="215" t="s">
        <v>267</v>
      </c>
      <c r="AQ333" s="217">
        <v>30.069040000000005</v>
      </c>
      <c r="AR333" s="217" t="b">
        <v>1</v>
      </c>
      <c r="AS333" s="215" t="s">
        <v>534</v>
      </c>
    </row>
    <row r="334" spans="1:45" s="218" customFormat="1" x14ac:dyDescent="0.25">
      <c r="A334" s="245" t="str">
        <f t="shared" ref="A334:A397" si="47">IF(B334="","",A333+1)</f>
        <v/>
      </c>
      <c r="B334" s="246" t="str">
        <f t="shared" si="40"/>
        <v/>
      </c>
      <c r="C334" s="246" t="str">
        <f>IF(B334="","",VLOOKUP(D334,'Species Data'!B:E,4,FALSE))</f>
        <v/>
      </c>
      <c r="D334" s="246" t="str">
        <f t="shared" ca="1" si="41"/>
        <v/>
      </c>
      <c r="E334" s="246" t="str">
        <f t="shared" ca="1" si="42"/>
        <v/>
      </c>
      <c r="F334" s="246" t="str">
        <f t="shared" ca="1" si="43"/>
        <v/>
      </c>
      <c r="G334" s="246" t="str">
        <f t="shared" ca="1" si="44"/>
        <v/>
      </c>
      <c r="H334" s="204" t="str">
        <f ca="1">IF(G334="","",IF(VLOOKUP(Separator!F334,'Species Data'!D:F,3,FALSE)=0,"X",IF(G334&lt;44.1,2,1)))</f>
        <v/>
      </c>
      <c r="I334" s="204" t="str">
        <f t="shared" ca="1" si="45"/>
        <v/>
      </c>
      <c r="J334" s="247" t="str">
        <f ca="1">IF(I334="","",IF(COUNTIF($D$12:D334,D334)=1,IF(H334=1,I334*H334,IF(H334="X","X",0)),0))</f>
        <v/>
      </c>
      <c r="K334" s="248" t="str">
        <f t="shared" ca="1" si="46"/>
        <v/>
      </c>
      <c r="L334" s="239"/>
      <c r="M334" s="215"/>
      <c r="N334" s="215"/>
      <c r="O334" s="216"/>
      <c r="P334" s="215"/>
      <c r="Q334" s="217"/>
      <c r="R334" s="215"/>
      <c r="S334" s="215"/>
      <c r="T334" s="215"/>
      <c r="U334" s="215"/>
      <c r="V334" s="217"/>
      <c r="W334" s="217"/>
      <c r="X334" s="217"/>
      <c r="Y334" s="217"/>
      <c r="Z334" s="217"/>
      <c r="AA334" s="215"/>
      <c r="AB334" s="215"/>
      <c r="AC334" s="215"/>
      <c r="AD334" s="217">
        <v>2.2218420000000001</v>
      </c>
      <c r="AE334" s="217">
        <v>449</v>
      </c>
      <c r="AF334" s="217">
        <v>4.7199999999999999E-2</v>
      </c>
      <c r="AG334" s="217">
        <v>-99</v>
      </c>
      <c r="AH334" s="215" t="s">
        <v>224</v>
      </c>
      <c r="AI334" s="215" t="s">
        <v>449</v>
      </c>
      <c r="AJ334" s="215" t="s">
        <v>337</v>
      </c>
      <c r="AK334" s="215" t="s">
        <v>531</v>
      </c>
      <c r="AL334" s="215" t="s">
        <v>394</v>
      </c>
      <c r="AM334" s="217" t="b">
        <v>1</v>
      </c>
      <c r="AN334" s="217" t="b">
        <v>1</v>
      </c>
      <c r="AO334" s="215" t="s">
        <v>338</v>
      </c>
      <c r="AP334" s="215" t="s">
        <v>339</v>
      </c>
      <c r="AQ334" s="217">
        <v>106.16500000000001</v>
      </c>
      <c r="AR334" s="217" t="b">
        <v>0</v>
      </c>
      <c r="AS334" s="215" t="s">
        <v>534</v>
      </c>
    </row>
    <row r="335" spans="1:45" s="218" customFormat="1" x14ac:dyDescent="0.25">
      <c r="A335" s="245" t="str">
        <f t="shared" si="47"/>
        <v/>
      </c>
      <c r="B335" s="246" t="str">
        <f t="shared" si="40"/>
        <v/>
      </c>
      <c r="C335" s="246" t="str">
        <f>IF(B335="","",VLOOKUP(D335,'Species Data'!B:E,4,FALSE))</f>
        <v/>
      </c>
      <c r="D335" s="246" t="str">
        <f t="shared" ca="1" si="41"/>
        <v/>
      </c>
      <c r="E335" s="246" t="str">
        <f t="shared" ca="1" si="42"/>
        <v/>
      </c>
      <c r="F335" s="246" t="str">
        <f t="shared" ca="1" si="43"/>
        <v/>
      </c>
      <c r="G335" s="246" t="str">
        <f t="shared" ca="1" si="44"/>
        <v/>
      </c>
      <c r="H335" s="204" t="str">
        <f ca="1">IF(G335="","",IF(VLOOKUP(Separator!F335,'Species Data'!D:F,3,FALSE)=0,"X",IF(G335&lt;44.1,2,1)))</f>
        <v/>
      </c>
      <c r="I335" s="204" t="str">
        <f t="shared" ca="1" si="45"/>
        <v/>
      </c>
      <c r="J335" s="247" t="str">
        <f ca="1">IF(I335="","",IF(COUNTIF($D$12:D335,D335)=1,IF(H335=1,I335*H335,IF(H335="X","X",0)),0))</f>
        <v/>
      </c>
      <c r="K335" s="248" t="str">
        <f t="shared" ca="1" si="46"/>
        <v/>
      </c>
      <c r="L335" s="239"/>
      <c r="M335" s="215"/>
      <c r="N335" s="215"/>
      <c r="O335" s="216"/>
      <c r="P335" s="215"/>
      <c r="Q335" s="217"/>
      <c r="R335" s="215"/>
      <c r="S335" s="215"/>
      <c r="T335" s="215"/>
      <c r="U335" s="215"/>
      <c r="V335" s="217"/>
      <c r="W335" s="217"/>
      <c r="X335" s="217"/>
      <c r="Y335" s="217"/>
      <c r="Z335" s="217"/>
      <c r="AA335" s="215"/>
      <c r="AB335" s="215"/>
      <c r="AC335" s="215"/>
      <c r="AD335" s="217">
        <v>2.2218420000000001</v>
      </c>
      <c r="AE335" s="217">
        <v>491</v>
      </c>
      <c r="AF335" s="217">
        <v>3.0754999999999999</v>
      </c>
      <c r="AG335" s="217">
        <v>-99</v>
      </c>
      <c r="AH335" s="215" t="s">
        <v>224</v>
      </c>
      <c r="AI335" s="215" t="s">
        <v>449</v>
      </c>
      <c r="AJ335" s="215" t="s">
        <v>268</v>
      </c>
      <c r="AK335" s="215" t="s">
        <v>531</v>
      </c>
      <c r="AL335" s="215" t="s">
        <v>375</v>
      </c>
      <c r="AM335" s="217" t="b">
        <v>1</v>
      </c>
      <c r="AN335" s="217" t="b">
        <v>0</v>
      </c>
      <c r="AO335" s="215" t="s">
        <v>269</v>
      </c>
      <c r="AP335" s="215" t="s">
        <v>270</v>
      </c>
      <c r="AQ335" s="217">
        <v>58.122199999999992</v>
      </c>
      <c r="AR335" s="217" t="b">
        <v>0</v>
      </c>
      <c r="AS335" s="215" t="s">
        <v>534</v>
      </c>
    </row>
    <row r="336" spans="1:45" s="218" customFormat="1" x14ac:dyDescent="0.25">
      <c r="A336" s="245" t="str">
        <f t="shared" si="47"/>
        <v/>
      </c>
      <c r="B336" s="246" t="str">
        <f t="shared" si="40"/>
        <v/>
      </c>
      <c r="C336" s="246" t="str">
        <f>IF(B336="","",VLOOKUP(D336,'Species Data'!B:E,4,FALSE))</f>
        <v/>
      </c>
      <c r="D336" s="246" t="str">
        <f t="shared" ca="1" si="41"/>
        <v/>
      </c>
      <c r="E336" s="246" t="str">
        <f t="shared" ca="1" si="42"/>
        <v/>
      </c>
      <c r="F336" s="246" t="str">
        <f t="shared" ca="1" si="43"/>
        <v/>
      </c>
      <c r="G336" s="246" t="str">
        <f t="shared" ca="1" si="44"/>
        <v/>
      </c>
      <c r="H336" s="204" t="str">
        <f ca="1">IF(G336="","",IF(VLOOKUP(Separator!F336,'Species Data'!D:F,3,FALSE)=0,"X",IF(G336&lt;44.1,2,1)))</f>
        <v/>
      </c>
      <c r="I336" s="204" t="str">
        <f t="shared" ca="1" si="45"/>
        <v/>
      </c>
      <c r="J336" s="247" t="str">
        <f ca="1">IF(I336="","",IF(COUNTIF($D$12:D336,D336)=1,IF(H336=1,I336*H336,IF(H336="X","X",0)),0))</f>
        <v/>
      </c>
      <c r="K336" s="248" t="str">
        <f t="shared" ca="1" si="46"/>
        <v/>
      </c>
      <c r="L336" s="239"/>
      <c r="M336" s="215"/>
      <c r="N336" s="215"/>
      <c r="O336" s="216"/>
      <c r="P336" s="215"/>
      <c r="Q336" s="217"/>
      <c r="R336" s="215"/>
      <c r="S336" s="215"/>
      <c r="T336" s="215"/>
      <c r="U336" s="215"/>
      <c r="V336" s="217"/>
      <c r="W336" s="217"/>
      <c r="X336" s="217"/>
      <c r="Y336" s="217"/>
      <c r="Z336" s="217"/>
      <c r="AA336" s="215"/>
      <c r="AB336" s="215"/>
      <c r="AC336" s="215"/>
      <c r="AD336" s="217">
        <v>2.2218420000000001</v>
      </c>
      <c r="AE336" s="217">
        <v>508</v>
      </c>
      <c r="AF336" s="217">
        <v>3.7319</v>
      </c>
      <c r="AG336" s="217">
        <v>-99</v>
      </c>
      <c r="AH336" s="215" t="s">
        <v>224</v>
      </c>
      <c r="AI336" s="215" t="s">
        <v>449</v>
      </c>
      <c r="AJ336" s="215" t="s">
        <v>342</v>
      </c>
      <c r="AK336" s="215" t="s">
        <v>531</v>
      </c>
      <c r="AL336" s="215" t="s">
        <v>395</v>
      </c>
      <c r="AM336" s="217" t="b">
        <v>1</v>
      </c>
      <c r="AN336" s="217" t="b">
        <v>0</v>
      </c>
      <c r="AO336" s="215" t="s">
        <v>343</v>
      </c>
      <c r="AP336" s="215" t="s">
        <v>344</v>
      </c>
      <c r="AQ336" s="217">
        <v>72.148780000000002</v>
      </c>
      <c r="AR336" s="217" t="b">
        <v>0</v>
      </c>
      <c r="AS336" s="215" t="s">
        <v>534</v>
      </c>
    </row>
    <row r="337" spans="1:45" s="218" customFormat="1" x14ac:dyDescent="0.25">
      <c r="A337" s="245" t="str">
        <f t="shared" si="47"/>
        <v/>
      </c>
      <c r="B337" s="246" t="str">
        <f t="shared" si="40"/>
        <v/>
      </c>
      <c r="C337" s="246" t="str">
        <f>IF(B337="","",VLOOKUP(D337,'Species Data'!B:E,4,FALSE))</f>
        <v/>
      </c>
      <c r="D337" s="246" t="str">
        <f t="shared" ca="1" si="41"/>
        <v/>
      </c>
      <c r="E337" s="246" t="str">
        <f t="shared" ca="1" si="42"/>
        <v/>
      </c>
      <c r="F337" s="246" t="str">
        <f t="shared" ca="1" si="43"/>
        <v/>
      </c>
      <c r="G337" s="246" t="str">
        <f t="shared" ca="1" si="44"/>
        <v/>
      </c>
      <c r="H337" s="204" t="str">
        <f ca="1">IF(G337="","",IF(VLOOKUP(Separator!F337,'Species Data'!D:F,3,FALSE)=0,"X",IF(G337&lt;44.1,2,1)))</f>
        <v/>
      </c>
      <c r="I337" s="204" t="str">
        <f t="shared" ca="1" si="45"/>
        <v/>
      </c>
      <c r="J337" s="247" t="str">
        <f ca="1">IF(I337="","",IF(COUNTIF($D$12:D337,D337)=1,IF(H337=1,I337*H337,IF(H337="X","X",0)),0))</f>
        <v/>
      </c>
      <c r="K337" s="248" t="str">
        <f t="shared" ca="1" si="46"/>
        <v/>
      </c>
      <c r="L337" s="239"/>
      <c r="M337" s="215"/>
      <c r="N337" s="215"/>
      <c r="O337" s="216"/>
      <c r="P337" s="215"/>
      <c r="Q337" s="217"/>
      <c r="R337" s="215"/>
      <c r="S337" s="215"/>
      <c r="T337" s="215"/>
      <c r="U337" s="215"/>
      <c r="V337" s="217"/>
      <c r="W337" s="217"/>
      <c r="X337" s="217"/>
      <c r="Y337" s="217"/>
      <c r="Z337" s="217"/>
      <c r="AA337" s="215"/>
      <c r="AB337" s="215"/>
      <c r="AC337" s="215"/>
      <c r="AD337" s="217">
        <v>2.2218420000000001</v>
      </c>
      <c r="AE337" s="217">
        <v>514</v>
      </c>
      <c r="AF337" s="217">
        <v>2.5000000000000001E-3</v>
      </c>
      <c r="AG337" s="217">
        <v>-99</v>
      </c>
      <c r="AH337" s="215" t="s">
        <v>224</v>
      </c>
      <c r="AI337" s="215" t="s">
        <v>449</v>
      </c>
      <c r="AJ337" s="215" t="s">
        <v>362</v>
      </c>
      <c r="AK337" s="215" t="s">
        <v>531</v>
      </c>
      <c r="AL337" s="215" t="s">
        <v>399</v>
      </c>
      <c r="AM337" s="217" t="b">
        <v>1</v>
      </c>
      <c r="AN337" s="217" t="b">
        <v>1</v>
      </c>
      <c r="AO337" s="215" t="s">
        <v>363</v>
      </c>
      <c r="AP337" s="215" t="s">
        <v>364</v>
      </c>
      <c r="AQ337" s="217">
        <v>120.19158</v>
      </c>
      <c r="AR337" s="217" t="b">
        <v>0</v>
      </c>
      <c r="AS337" s="215" t="s">
        <v>534</v>
      </c>
    </row>
    <row r="338" spans="1:45" s="218" customFormat="1" x14ac:dyDescent="0.25">
      <c r="A338" s="245" t="str">
        <f t="shared" si="47"/>
        <v/>
      </c>
      <c r="B338" s="246" t="str">
        <f t="shared" si="40"/>
        <v/>
      </c>
      <c r="C338" s="246" t="str">
        <f>IF(B338="","",VLOOKUP(D338,'Species Data'!B:E,4,FALSE))</f>
        <v/>
      </c>
      <c r="D338" s="246" t="str">
        <f t="shared" ca="1" si="41"/>
        <v/>
      </c>
      <c r="E338" s="246" t="str">
        <f t="shared" ca="1" si="42"/>
        <v/>
      </c>
      <c r="F338" s="246" t="str">
        <f t="shared" ca="1" si="43"/>
        <v/>
      </c>
      <c r="G338" s="246" t="str">
        <f t="shared" ca="1" si="44"/>
        <v/>
      </c>
      <c r="H338" s="204" t="str">
        <f ca="1">IF(G338="","",IF(VLOOKUP(Separator!F338,'Species Data'!D:F,3,FALSE)=0,"X",IF(G338&lt;44.1,2,1)))</f>
        <v/>
      </c>
      <c r="I338" s="204" t="str">
        <f t="shared" ca="1" si="45"/>
        <v/>
      </c>
      <c r="J338" s="247" t="str">
        <f ca="1">IF(I338="","",IF(COUNTIF($D$12:D338,D338)=1,IF(H338=1,I338*H338,IF(H338="X","X",0)),0))</f>
        <v/>
      </c>
      <c r="K338" s="248" t="str">
        <f t="shared" ca="1" si="46"/>
        <v/>
      </c>
      <c r="L338" s="239"/>
      <c r="M338" s="215"/>
      <c r="N338" s="215"/>
      <c r="O338" s="216"/>
      <c r="P338" s="215"/>
      <c r="Q338" s="217"/>
      <c r="R338" s="215"/>
      <c r="S338" s="215"/>
      <c r="T338" s="215"/>
      <c r="U338" s="215"/>
      <c r="V338" s="217"/>
      <c r="W338" s="217"/>
      <c r="X338" s="217"/>
      <c r="Y338" s="217"/>
      <c r="Z338" s="217"/>
      <c r="AA338" s="215"/>
      <c r="AB338" s="215"/>
      <c r="AC338" s="215"/>
      <c r="AD338" s="217">
        <v>2.2218420000000001</v>
      </c>
      <c r="AE338" s="217">
        <v>524</v>
      </c>
      <c r="AF338" s="217">
        <v>2.5000000000000001E-2</v>
      </c>
      <c r="AG338" s="217">
        <v>-99</v>
      </c>
      <c r="AH338" s="215" t="s">
        <v>224</v>
      </c>
      <c r="AI338" s="215" t="s">
        <v>449</v>
      </c>
      <c r="AJ338" s="215" t="s">
        <v>436</v>
      </c>
      <c r="AK338" s="215" t="s">
        <v>531</v>
      </c>
      <c r="AL338" s="215" t="s">
        <v>460</v>
      </c>
      <c r="AM338" s="217" t="b">
        <v>0</v>
      </c>
      <c r="AN338" s="217" t="b">
        <v>1</v>
      </c>
      <c r="AO338" s="215" t="s">
        <v>437</v>
      </c>
      <c r="AP338" s="215" t="s">
        <v>438</v>
      </c>
      <c r="AQ338" s="217">
        <v>106.16500000000001</v>
      </c>
      <c r="AR338" s="217" t="b">
        <v>0</v>
      </c>
      <c r="AS338" s="215" t="s">
        <v>534</v>
      </c>
    </row>
    <row r="339" spans="1:45" s="218" customFormat="1" x14ac:dyDescent="0.25">
      <c r="A339" s="245" t="str">
        <f t="shared" si="47"/>
        <v/>
      </c>
      <c r="B339" s="246" t="str">
        <f t="shared" si="40"/>
        <v/>
      </c>
      <c r="C339" s="246" t="str">
        <f>IF(B339="","",VLOOKUP(D339,'Species Data'!B:E,4,FALSE))</f>
        <v/>
      </c>
      <c r="D339" s="246" t="str">
        <f t="shared" ca="1" si="41"/>
        <v/>
      </c>
      <c r="E339" s="246" t="str">
        <f t="shared" ca="1" si="42"/>
        <v/>
      </c>
      <c r="F339" s="246" t="str">
        <f t="shared" ca="1" si="43"/>
        <v/>
      </c>
      <c r="G339" s="246" t="str">
        <f t="shared" ca="1" si="44"/>
        <v/>
      </c>
      <c r="H339" s="204" t="str">
        <f ca="1">IF(G339="","",IF(VLOOKUP(Separator!F339,'Species Data'!D:F,3,FALSE)=0,"X",IF(G339&lt;44.1,2,1)))</f>
        <v/>
      </c>
      <c r="I339" s="204" t="str">
        <f t="shared" ca="1" si="45"/>
        <v/>
      </c>
      <c r="J339" s="247" t="str">
        <f ca="1">IF(I339="","",IF(COUNTIF($D$12:D339,D339)=1,IF(H339=1,I339*H339,IF(H339="X","X",0)),0))</f>
        <v/>
      </c>
      <c r="K339" s="248" t="str">
        <f t="shared" ca="1" si="46"/>
        <v/>
      </c>
      <c r="L339" s="239"/>
      <c r="M339" s="215"/>
      <c r="N339" s="215"/>
      <c r="O339" s="216"/>
      <c r="P339" s="215"/>
      <c r="Q339" s="217"/>
      <c r="R339" s="215"/>
      <c r="S339" s="215"/>
      <c r="T339" s="215"/>
      <c r="U339" s="215"/>
      <c r="V339" s="217"/>
      <c r="W339" s="217"/>
      <c r="X339" s="217"/>
      <c r="Y339" s="217"/>
      <c r="Z339" s="217"/>
      <c r="AA339" s="215"/>
      <c r="AB339" s="215"/>
      <c r="AC339" s="215"/>
      <c r="AD339" s="217">
        <v>2.2218420000000001</v>
      </c>
      <c r="AE339" s="217">
        <v>529</v>
      </c>
      <c r="AF339" s="217">
        <v>45.733400000000003</v>
      </c>
      <c r="AG339" s="217">
        <v>-99</v>
      </c>
      <c r="AH339" s="215" t="s">
        <v>224</v>
      </c>
      <c r="AI339" s="215" t="s">
        <v>449</v>
      </c>
      <c r="AJ339" s="215" t="s">
        <v>271</v>
      </c>
      <c r="AK339" s="215" t="s">
        <v>531</v>
      </c>
      <c r="AL339" s="215" t="s">
        <v>376</v>
      </c>
      <c r="AM339" s="217" t="b">
        <v>0</v>
      </c>
      <c r="AN339" s="217" t="b">
        <v>0</v>
      </c>
      <c r="AO339" s="215" t="s">
        <v>272</v>
      </c>
      <c r="AP339" s="215" t="s">
        <v>531</v>
      </c>
      <c r="AQ339" s="217">
        <v>16.042459999999998</v>
      </c>
      <c r="AR339" s="217" t="b">
        <v>1</v>
      </c>
      <c r="AS339" s="215" t="s">
        <v>534</v>
      </c>
    </row>
    <row r="340" spans="1:45" s="218" customFormat="1" x14ac:dyDescent="0.25">
      <c r="A340" s="245" t="str">
        <f t="shared" si="47"/>
        <v/>
      </c>
      <c r="B340" s="246" t="str">
        <f t="shared" si="40"/>
        <v/>
      </c>
      <c r="C340" s="246" t="str">
        <f>IF(B340="","",VLOOKUP(D340,'Species Data'!B:E,4,FALSE))</f>
        <v/>
      </c>
      <c r="D340" s="246" t="str">
        <f t="shared" ca="1" si="41"/>
        <v/>
      </c>
      <c r="E340" s="246" t="str">
        <f t="shared" ca="1" si="42"/>
        <v/>
      </c>
      <c r="F340" s="246" t="str">
        <f t="shared" ca="1" si="43"/>
        <v/>
      </c>
      <c r="G340" s="246" t="str">
        <f t="shared" ca="1" si="44"/>
        <v/>
      </c>
      <c r="H340" s="204" t="str">
        <f ca="1">IF(G340="","",IF(VLOOKUP(Separator!F340,'Species Data'!D:F,3,FALSE)=0,"X",IF(G340&lt;44.1,2,1)))</f>
        <v/>
      </c>
      <c r="I340" s="204" t="str">
        <f t="shared" ca="1" si="45"/>
        <v/>
      </c>
      <c r="J340" s="247" t="str">
        <f ca="1">IF(I340="","",IF(COUNTIF($D$12:D340,D340)=1,IF(H340=1,I340*H340,IF(H340="X","X",0)),0))</f>
        <v/>
      </c>
      <c r="K340" s="248" t="str">
        <f t="shared" ca="1" si="46"/>
        <v/>
      </c>
      <c r="L340" s="239"/>
      <c r="M340" s="215"/>
      <c r="N340" s="215"/>
      <c r="O340" s="216"/>
      <c r="P340" s="215"/>
      <c r="Q340" s="217"/>
      <c r="R340" s="215"/>
      <c r="S340" s="215"/>
      <c r="T340" s="215"/>
      <c r="U340" s="215"/>
      <c r="V340" s="217"/>
      <c r="W340" s="217"/>
      <c r="X340" s="217"/>
      <c r="Y340" s="217"/>
      <c r="Z340" s="217"/>
      <c r="AA340" s="215"/>
      <c r="AB340" s="215"/>
      <c r="AC340" s="215"/>
      <c r="AD340" s="217">
        <v>2.2218420000000001</v>
      </c>
      <c r="AE340" s="217">
        <v>550</v>
      </c>
      <c r="AF340" s="217">
        <v>8.4000000000000005E-2</v>
      </c>
      <c r="AG340" s="217">
        <v>-99</v>
      </c>
      <c r="AH340" s="215" t="s">
        <v>224</v>
      </c>
      <c r="AI340" s="215" t="s">
        <v>449</v>
      </c>
      <c r="AJ340" s="215" t="s">
        <v>348</v>
      </c>
      <c r="AK340" s="215" t="s">
        <v>531</v>
      </c>
      <c r="AL340" s="215" t="s">
        <v>396</v>
      </c>
      <c r="AM340" s="217" t="b">
        <v>1</v>
      </c>
      <c r="AN340" s="217" t="b">
        <v>0</v>
      </c>
      <c r="AO340" s="215" t="s">
        <v>349</v>
      </c>
      <c r="AP340" s="215" t="s">
        <v>350</v>
      </c>
      <c r="AQ340" s="217">
        <v>98.186059999999998</v>
      </c>
      <c r="AR340" s="217" t="b">
        <v>0</v>
      </c>
      <c r="AS340" s="215" t="s">
        <v>534</v>
      </c>
    </row>
    <row r="341" spans="1:45" s="218" customFormat="1" x14ac:dyDescent="0.25">
      <c r="A341" s="245" t="str">
        <f t="shared" si="47"/>
        <v/>
      </c>
      <c r="B341" s="246" t="str">
        <f t="shared" si="40"/>
        <v/>
      </c>
      <c r="C341" s="246" t="str">
        <f>IF(B341="","",VLOOKUP(D341,'Species Data'!B:E,4,FALSE))</f>
        <v/>
      </c>
      <c r="D341" s="246" t="str">
        <f t="shared" ca="1" si="41"/>
        <v/>
      </c>
      <c r="E341" s="246" t="str">
        <f t="shared" ca="1" si="42"/>
        <v/>
      </c>
      <c r="F341" s="246" t="str">
        <f t="shared" ca="1" si="43"/>
        <v/>
      </c>
      <c r="G341" s="246" t="str">
        <f t="shared" ca="1" si="44"/>
        <v/>
      </c>
      <c r="H341" s="204" t="str">
        <f ca="1">IF(G341="","",IF(VLOOKUP(Separator!F341,'Species Data'!D:F,3,FALSE)=0,"X",IF(G341&lt;44.1,2,1)))</f>
        <v/>
      </c>
      <c r="I341" s="204" t="str">
        <f t="shared" ca="1" si="45"/>
        <v/>
      </c>
      <c r="J341" s="247" t="str">
        <f ca="1">IF(I341="","",IF(COUNTIF($D$12:D341,D341)=1,IF(H341=1,I341*H341,IF(H341="X","X",0)),0))</f>
        <v/>
      </c>
      <c r="K341" s="248" t="str">
        <f t="shared" ca="1" si="46"/>
        <v/>
      </c>
      <c r="L341" s="239"/>
      <c r="M341" s="215"/>
      <c r="N341" s="215"/>
      <c r="O341" s="216"/>
      <c r="P341" s="215"/>
      <c r="Q341" s="217"/>
      <c r="R341" s="215"/>
      <c r="S341" s="215"/>
      <c r="T341" s="215"/>
      <c r="U341" s="215"/>
      <c r="V341" s="217"/>
      <c r="W341" s="217"/>
      <c r="X341" s="217"/>
      <c r="Y341" s="217"/>
      <c r="Z341" s="217"/>
      <c r="AA341" s="215"/>
      <c r="AB341" s="215"/>
      <c r="AC341" s="215"/>
      <c r="AD341" s="217">
        <v>2.2218420000000001</v>
      </c>
      <c r="AE341" s="217">
        <v>551</v>
      </c>
      <c r="AF341" s="217">
        <v>1.37E-2</v>
      </c>
      <c r="AG341" s="217">
        <v>-99</v>
      </c>
      <c r="AH341" s="215" t="s">
        <v>224</v>
      </c>
      <c r="AI341" s="215" t="s">
        <v>449</v>
      </c>
      <c r="AJ341" s="215" t="s">
        <v>351</v>
      </c>
      <c r="AK341" s="215" t="s">
        <v>531</v>
      </c>
      <c r="AL341" s="215" t="s">
        <v>397</v>
      </c>
      <c r="AM341" s="217" t="b">
        <v>1</v>
      </c>
      <c r="AN341" s="217" t="b">
        <v>0</v>
      </c>
      <c r="AO341" s="215" t="s">
        <v>352</v>
      </c>
      <c r="AP341" s="215" t="s">
        <v>353</v>
      </c>
      <c r="AQ341" s="217">
        <v>84.159480000000002</v>
      </c>
      <c r="AR341" s="217" t="b">
        <v>0</v>
      </c>
      <c r="AS341" s="215" t="s">
        <v>534</v>
      </c>
    </row>
    <row r="342" spans="1:45" s="218" customFormat="1" x14ac:dyDescent="0.25">
      <c r="A342" s="245" t="str">
        <f t="shared" si="47"/>
        <v/>
      </c>
      <c r="B342" s="246" t="str">
        <f t="shared" si="40"/>
        <v/>
      </c>
      <c r="C342" s="246" t="str">
        <f>IF(B342="","",VLOOKUP(D342,'Species Data'!B:E,4,FALSE))</f>
        <v/>
      </c>
      <c r="D342" s="246" t="str">
        <f t="shared" ca="1" si="41"/>
        <v/>
      </c>
      <c r="E342" s="246" t="str">
        <f t="shared" ca="1" si="42"/>
        <v/>
      </c>
      <c r="F342" s="246" t="str">
        <f t="shared" ca="1" si="43"/>
        <v/>
      </c>
      <c r="G342" s="246" t="str">
        <f t="shared" ca="1" si="44"/>
        <v/>
      </c>
      <c r="H342" s="204" t="str">
        <f ca="1">IF(G342="","",IF(VLOOKUP(Separator!F342,'Species Data'!D:F,3,FALSE)=0,"X",IF(G342&lt;44.1,2,1)))</f>
        <v/>
      </c>
      <c r="I342" s="204" t="str">
        <f t="shared" ca="1" si="45"/>
        <v/>
      </c>
      <c r="J342" s="247" t="str">
        <f ca="1">IF(I342="","",IF(COUNTIF($D$12:D342,D342)=1,IF(H342=1,I342*H342,IF(H342="X","X",0)),0))</f>
        <v/>
      </c>
      <c r="K342" s="248" t="str">
        <f t="shared" ca="1" si="46"/>
        <v/>
      </c>
      <c r="L342" s="239"/>
      <c r="M342" s="215"/>
      <c r="N342" s="215"/>
      <c r="O342" s="216"/>
      <c r="P342" s="215"/>
      <c r="Q342" s="217"/>
      <c r="R342" s="215"/>
      <c r="S342" s="215"/>
      <c r="T342" s="215"/>
      <c r="U342" s="215"/>
      <c r="V342" s="217"/>
      <c r="W342" s="217"/>
      <c r="X342" s="217"/>
      <c r="Y342" s="217"/>
      <c r="Z342" s="217"/>
      <c r="AA342" s="215"/>
      <c r="AB342" s="215"/>
      <c r="AC342" s="215"/>
      <c r="AD342" s="217">
        <v>2.2218420000000001</v>
      </c>
      <c r="AE342" s="217">
        <v>592</v>
      </c>
      <c r="AF342" s="217">
        <v>9.7693999999999992</v>
      </c>
      <c r="AG342" s="217">
        <v>-99</v>
      </c>
      <c r="AH342" s="215" t="s">
        <v>224</v>
      </c>
      <c r="AI342" s="215" t="s">
        <v>449</v>
      </c>
      <c r="AJ342" s="215" t="s">
        <v>273</v>
      </c>
      <c r="AK342" s="215" t="s">
        <v>531</v>
      </c>
      <c r="AL342" s="215" t="s">
        <v>377</v>
      </c>
      <c r="AM342" s="217" t="b">
        <v>1</v>
      </c>
      <c r="AN342" s="217" t="b">
        <v>0</v>
      </c>
      <c r="AO342" s="215" t="s">
        <v>274</v>
      </c>
      <c r="AP342" s="215" t="s">
        <v>275</v>
      </c>
      <c r="AQ342" s="217">
        <v>58.122199999999992</v>
      </c>
      <c r="AR342" s="217" t="b">
        <v>0</v>
      </c>
      <c r="AS342" s="215" t="s">
        <v>534</v>
      </c>
    </row>
    <row r="343" spans="1:45" s="218" customFormat="1" x14ac:dyDescent="0.25">
      <c r="A343" s="245" t="str">
        <f t="shared" si="47"/>
        <v/>
      </c>
      <c r="B343" s="246" t="str">
        <f t="shared" si="40"/>
        <v/>
      </c>
      <c r="C343" s="246" t="str">
        <f>IF(B343="","",VLOOKUP(D343,'Species Data'!B:E,4,FALSE))</f>
        <v/>
      </c>
      <c r="D343" s="246" t="str">
        <f t="shared" ca="1" si="41"/>
        <v/>
      </c>
      <c r="E343" s="246" t="str">
        <f t="shared" ca="1" si="42"/>
        <v/>
      </c>
      <c r="F343" s="246" t="str">
        <f t="shared" ca="1" si="43"/>
        <v/>
      </c>
      <c r="G343" s="246" t="str">
        <f t="shared" ca="1" si="44"/>
        <v/>
      </c>
      <c r="H343" s="204" t="str">
        <f ca="1">IF(G343="","",IF(VLOOKUP(Separator!F343,'Species Data'!D:F,3,FALSE)=0,"X",IF(G343&lt;44.1,2,1)))</f>
        <v/>
      </c>
      <c r="I343" s="204" t="str">
        <f t="shared" ca="1" si="45"/>
        <v/>
      </c>
      <c r="J343" s="247" t="str">
        <f ca="1">IF(I343="","",IF(COUNTIF($D$12:D343,D343)=1,IF(H343=1,I343*H343,IF(H343="X","X",0)),0))</f>
        <v/>
      </c>
      <c r="K343" s="248" t="str">
        <f t="shared" ca="1" si="46"/>
        <v/>
      </c>
      <c r="L343" s="239"/>
      <c r="M343" s="215"/>
      <c r="N343" s="215"/>
      <c r="O343" s="216"/>
      <c r="P343" s="215"/>
      <c r="Q343" s="217"/>
      <c r="R343" s="215"/>
      <c r="S343" s="215"/>
      <c r="T343" s="215"/>
      <c r="U343" s="215"/>
      <c r="V343" s="217"/>
      <c r="W343" s="217"/>
      <c r="X343" s="217"/>
      <c r="Y343" s="217"/>
      <c r="Z343" s="217"/>
      <c r="AA343" s="215"/>
      <c r="AB343" s="215"/>
      <c r="AC343" s="215"/>
      <c r="AD343" s="217">
        <v>2.2218420000000001</v>
      </c>
      <c r="AE343" s="217">
        <v>598</v>
      </c>
      <c r="AF343" s="217">
        <v>1.12E-2</v>
      </c>
      <c r="AG343" s="217">
        <v>-99</v>
      </c>
      <c r="AH343" s="215" t="s">
        <v>224</v>
      </c>
      <c r="AI343" s="215" t="s">
        <v>449</v>
      </c>
      <c r="AJ343" s="215" t="s">
        <v>414</v>
      </c>
      <c r="AK343" s="215" t="s">
        <v>531</v>
      </c>
      <c r="AL343" s="215" t="s">
        <v>452</v>
      </c>
      <c r="AM343" s="217" t="b">
        <v>1</v>
      </c>
      <c r="AN343" s="217" t="b">
        <v>0</v>
      </c>
      <c r="AO343" s="215" t="s">
        <v>415</v>
      </c>
      <c r="AP343" s="215" t="s">
        <v>416</v>
      </c>
      <c r="AQ343" s="217">
        <v>142.28167999999999</v>
      </c>
      <c r="AR343" s="217" t="b">
        <v>0</v>
      </c>
      <c r="AS343" s="215" t="s">
        <v>534</v>
      </c>
    </row>
    <row r="344" spans="1:45" s="218" customFormat="1" x14ac:dyDescent="0.25">
      <c r="A344" s="245" t="str">
        <f t="shared" si="47"/>
        <v/>
      </c>
      <c r="B344" s="246" t="str">
        <f t="shared" si="40"/>
        <v/>
      </c>
      <c r="C344" s="246" t="str">
        <f>IF(B344="","",VLOOKUP(D344,'Species Data'!B:E,4,FALSE))</f>
        <v/>
      </c>
      <c r="D344" s="246" t="str">
        <f t="shared" ca="1" si="41"/>
        <v/>
      </c>
      <c r="E344" s="246" t="str">
        <f t="shared" ca="1" si="42"/>
        <v/>
      </c>
      <c r="F344" s="246" t="str">
        <f t="shared" ca="1" si="43"/>
        <v/>
      </c>
      <c r="G344" s="246" t="str">
        <f t="shared" ca="1" si="44"/>
        <v/>
      </c>
      <c r="H344" s="204" t="str">
        <f ca="1">IF(G344="","",IF(VLOOKUP(Separator!F344,'Species Data'!D:F,3,FALSE)=0,"X",IF(G344&lt;44.1,2,1)))</f>
        <v/>
      </c>
      <c r="I344" s="204" t="str">
        <f t="shared" ca="1" si="45"/>
        <v/>
      </c>
      <c r="J344" s="247" t="str">
        <f ca="1">IF(I344="","",IF(COUNTIF($D$12:D344,D344)=1,IF(H344=1,I344*H344,IF(H344="X","X",0)),0))</f>
        <v/>
      </c>
      <c r="K344" s="248" t="str">
        <f t="shared" ca="1" si="46"/>
        <v/>
      </c>
      <c r="L344" s="239"/>
      <c r="M344" s="215"/>
      <c r="N344" s="215"/>
      <c r="O344" s="216"/>
      <c r="P344" s="215"/>
      <c r="Q344" s="217"/>
      <c r="R344" s="215"/>
      <c r="S344" s="215"/>
      <c r="T344" s="215"/>
      <c r="U344" s="215"/>
      <c r="V344" s="217"/>
      <c r="W344" s="217"/>
      <c r="X344" s="217"/>
      <c r="Y344" s="217"/>
      <c r="Z344" s="217"/>
      <c r="AA344" s="215"/>
      <c r="AB344" s="215"/>
      <c r="AC344" s="215"/>
      <c r="AD344" s="217">
        <v>2.2218420000000001</v>
      </c>
      <c r="AE344" s="217">
        <v>600</v>
      </c>
      <c r="AF344" s="217">
        <v>0.3518</v>
      </c>
      <c r="AG344" s="217">
        <v>-99</v>
      </c>
      <c r="AH344" s="215" t="s">
        <v>224</v>
      </c>
      <c r="AI344" s="215" t="s">
        <v>449</v>
      </c>
      <c r="AJ344" s="215" t="s">
        <v>276</v>
      </c>
      <c r="AK344" s="215" t="s">
        <v>531</v>
      </c>
      <c r="AL344" s="215" t="s">
        <v>378</v>
      </c>
      <c r="AM344" s="217" t="b">
        <v>1</v>
      </c>
      <c r="AN344" s="217" t="b">
        <v>0</v>
      </c>
      <c r="AO344" s="215" t="s">
        <v>277</v>
      </c>
      <c r="AP344" s="215" t="s">
        <v>278</v>
      </c>
      <c r="AQ344" s="217">
        <v>100.20194000000001</v>
      </c>
      <c r="AR344" s="217" t="b">
        <v>0</v>
      </c>
      <c r="AS344" s="215" t="s">
        <v>534</v>
      </c>
    </row>
    <row r="345" spans="1:45" s="218" customFormat="1" x14ac:dyDescent="0.25">
      <c r="A345" s="245" t="str">
        <f t="shared" si="47"/>
        <v/>
      </c>
      <c r="B345" s="246" t="str">
        <f t="shared" si="40"/>
        <v/>
      </c>
      <c r="C345" s="246" t="str">
        <f>IF(B345="","",VLOOKUP(D345,'Species Data'!B:E,4,FALSE))</f>
        <v/>
      </c>
      <c r="D345" s="246" t="str">
        <f t="shared" ca="1" si="41"/>
        <v/>
      </c>
      <c r="E345" s="246" t="str">
        <f t="shared" ca="1" si="42"/>
        <v/>
      </c>
      <c r="F345" s="246" t="str">
        <f t="shared" ca="1" si="43"/>
        <v/>
      </c>
      <c r="G345" s="246" t="str">
        <f t="shared" ca="1" si="44"/>
        <v/>
      </c>
      <c r="H345" s="204" t="str">
        <f ca="1">IF(G345="","",IF(VLOOKUP(Separator!F345,'Species Data'!D:F,3,FALSE)=0,"X",IF(G345&lt;44.1,2,1)))</f>
        <v/>
      </c>
      <c r="I345" s="204" t="str">
        <f t="shared" ca="1" si="45"/>
        <v/>
      </c>
      <c r="J345" s="247" t="str">
        <f ca="1">IF(I345="","",IF(COUNTIF($D$12:D345,D345)=1,IF(H345=1,I345*H345,IF(H345="X","X",0)),0))</f>
        <v/>
      </c>
      <c r="K345" s="248" t="str">
        <f t="shared" ca="1" si="46"/>
        <v/>
      </c>
      <c r="L345" s="239"/>
      <c r="M345" s="215"/>
      <c r="N345" s="215"/>
      <c r="O345" s="216"/>
      <c r="P345" s="215"/>
      <c r="Q345" s="217"/>
      <c r="R345" s="215"/>
      <c r="S345" s="215"/>
      <c r="T345" s="215"/>
      <c r="U345" s="215"/>
      <c r="V345" s="217"/>
      <c r="W345" s="217"/>
      <c r="X345" s="217"/>
      <c r="Y345" s="217"/>
      <c r="Z345" s="217"/>
      <c r="AA345" s="215"/>
      <c r="AB345" s="215"/>
      <c r="AC345" s="215"/>
      <c r="AD345" s="217">
        <v>2.2218420000000001</v>
      </c>
      <c r="AE345" s="217">
        <v>601</v>
      </c>
      <c r="AF345" s="217">
        <v>1.1753</v>
      </c>
      <c r="AG345" s="217">
        <v>-99</v>
      </c>
      <c r="AH345" s="215" t="s">
        <v>224</v>
      </c>
      <c r="AI345" s="215" t="s">
        <v>449</v>
      </c>
      <c r="AJ345" s="215" t="s">
        <v>279</v>
      </c>
      <c r="AK345" s="215" t="s">
        <v>531</v>
      </c>
      <c r="AL345" s="215" t="s">
        <v>379</v>
      </c>
      <c r="AM345" s="217" t="b">
        <v>1</v>
      </c>
      <c r="AN345" s="217" t="b">
        <v>1</v>
      </c>
      <c r="AO345" s="215" t="s">
        <v>280</v>
      </c>
      <c r="AP345" s="215" t="s">
        <v>281</v>
      </c>
      <c r="AQ345" s="217">
        <v>86.175359999999998</v>
      </c>
      <c r="AR345" s="217" t="b">
        <v>0</v>
      </c>
      <c r="AS345" s="215" t="s">
        <v>534</v>
      </c>
    </row>
    <row r="346" spans="1:45" s="218" customFormat="1" x14ac:dyDescent="0.25">
      <c r="A346" s="245" t="str">
        <f t="shared" si="47"/>
        <v/>
      </c>
      <c r="B346" s="246" t="str">
        <f t="shared" si="40"/>
        <v/>
      </c>
      <c r="C346" s="246" t="str">
        <f>IF(B346="","",VLOOKUP(D346,'Species Data'!B:E,4,FALSE))</f>
        <v/>
      </c>
      <c r="D346" s="246" t="str">
        <f t="shared" ca="1" si="41"/>
        <v/>
      </c>
      <c r="E346" s="246" t="str">
        <f t="shared" ca="1" si="42"/>
        <v/>
      </c>
      <c r="F346" s="246" t="str">
        <f t="shared" ca="1" si="43"/>
        <v/>
      </c>
      <c r="G346" s="246" t="str">
        <f t="shared" ca="1" si="44"/>
        <v/>
      </c>
      <c r="H346" s="204" t="str">
        <f ca="1">IF(G346="","",IF(VLOOKUP(Separator!F346,'Species Data'!D:F,3,FALSE)=0,"X",IF(G346&lt;44.1,2,1)))</f>
        <v/>
      </c>
      <c r="I346" s="204" t="str">
        <f t="shared" ca="1" si="45"/>
        <v/>
      </c>
      <c r="J346" s="247" t="str">
        <f ca="1">IF(I346="","",IF(COUNTIF($D$12:D346,D346)=1,IF(H346=1,I346*H346,IF(H346="X","X",0)),0))</f>
        <v/>
      </c>
      <c r="K346" s="248" t="str">
        <f t="shared" ca="1" si="46"/>
        <v/>
      </c>
      <c r="L346" s="239"/>
      <c r="M346" s="215"/>
      <c r="N346" s="215"/>
      <c r="O346" s="216"/>
      <c r="P346" s="215"/>
      <c r="Q346" s="217"/>
      <c r="R346" s="215"/>
      <c r="S346" s="215"/>
      <c r="T346" s="215"/>
      <c r="U346" s="215"/>
      <c r="V346" s="217"/>
      <c r="W346" s="217"/>
      <c r="X346" s="217"/>
      <c r="Y346" s="217"/>
      <c r="Z346" s="217"/>
      <c r="AA346" s="215"/>
      <c r="AB346" s="215"/>
      <c r="AC346" s="215"/>
      <c r="AD346" s="217">
        <v>2.2218420000000001</v>
      </c>
      <c r="AE346" s="217">
        <v>603</v>
      </c>
      <c r="AF346" s="217">
        <v>3.6999999999999998E-2</v>
      </c>
      <c r="AG346" s="217">
        <v>-99</v>
      </c>
      <c r="AH346" s="215" t="s">
        <v>224</v>
      </c>
      <c r="AI346" s="215" t="s">
        <v>449</v>
      </c>
      <c r="AJ346" s="215" t="s">
        <v>417</v>
      </c>
      <c r="AK346" s="215" t="s">
        <v>531</v>
      </c>
      <c r="AL346" s="215" t="s">
        <v>453</v>
      </c>
      <c r="AM346" s="217" t="b">
        <v>1</v>
      </c>
      <c r="AN346" s="217" t="b">
        <v>0</v>
      </c>
      <c r="AO346" s="215" t="s">
        <v>418</v>
      </c>
      <c r="AP346" s="215" t="s">
        <v>419</v>
      </c>
      <c r="AQ346" s="217">
        <v>128.2551</v>
      </c>
      <c r="AR346" s="217" t="b">
        <v>0</v>
      </c>
      <c r="AS346" s="215" t="s">
        <v>534</v>
      </c>
    </row>
    <row r="347" spans="1:45" s="218" customFormat="1" x14ac:dyDescent="0.25">
      <c r="A347" s="245" t="str">
        <f t="shared" si="47"/>
        <v/>
      </c>
      <c r="B347" s="246" t="str">
        <f t="shared" si="40"/>
        <v/>
      </c>
      <c r="C347" s="246" t="str">
        <f>IF(B347="","",VLOOKUP(D347,'Species Data'!B:E,4,FALSE))</f>
        <v/>
      </c>
      <c r="D347" s="246" t="str">
        <f t="shared" ca="1" si="41"/>
        <v/>
      </c>
      <c r="E347" s="246" t="str">
        <f t="shared" ca="1" si="42"/>
        <v/>
      </c>
      <c r="F347" s="246" t="str">
        <f t="shared" ca="1" si="43"/>
        <v/>
      </c>
      <c r="G347" s="246" t="str">
        <f t="shared" ca="1" si="44"/>
        <v/>
      </c>
      <c r="H347" s="204" t="str">
        <f ca="1">IF(G347="","",IF(VLOOKUP(Separator!F347,'Species Data'!D:F,3,FALSE)=0,"X",IF(G347&lt;44.1,2,1)))</f>
        <v/>
      </c>
      <c r="I347" s="204" t="str">
        <f t="shared" ca="1" si="45"/>
        <v/>
      </c>
      <c r="J347" s="247" t="str">
        <f ca="1">IF(I347="","",IF(COUNTIF($D$12:D347,D347)=1,IF(H347=1,I347*H347,IF(H347="X","X",0)),0))</f>
        <v/>
      </c>
      <c r="K347" s="248" t="str">
        <f t="shared" ca="1" si="46"/>
        <v/>
      </c>
      <c r="L347" s="239"/>
      <c r="M347" s="215"/>
      <c r="N347" s="215"/>
      <c r="O347" s="216"/>
      <c r="P347" s="215"/>
      <c r="Q347" s="217"/>
      <c r="R347" s="215"/>
      <c r="S347" s="215"/>
      <c r="T347" s="215"/>
      <c r="U347" s="215"/>
      <c r="V347" s="217"/>
      <c r="W347" s="217"/>
      <c r="X347" s="217"/>
      <c r="Y347" s="217"/>
      <c r="Z347" s="217"/>
      <c r="AA347" s="215"/>
      <c r="AB347" s="215"/>
      <c r="AC347" s="215"/>
      <c r="AD347" s="217">
        <v>2.2218420000000001</v>
      </c>
      <c r="AE347" s="217">
        <v>604</v>
      </c>
      <c r="AF347" s="217">
        <v>3.5099999999999999E-2</v>
      </c>
      <c r="AG347" s="217">
        <v>-99</v>
      </c>
      <c r="AH347" s="215" t="s">
        <v>224</v>
      </c>
      <c r="AI347" s="215" t="s">
        <v>449</v>
      </c>
      <c r="AJ347" s="215" t="s">
        <v>282</v>
      </c>
      <c r="AK347" s="215" t="s">
        <v>531</v>
      </c>
      <c r="AL347" s="215" t="s">
        <v>380</v>
      </c>
      <c r="AM347" s="217" t="b">
        <v>1</v>
      </c>
      <c r="AN347" s="217" t="b">
        <v>0</v>
      </c>
      <c r="AO347" s="215" t="s">
        <v>283</v>
      </c>
      <c r="AP347" s="215" t="s">
        <v>284</v>
      </c>
      <c r="AQ347" s="217">
        <v>114.22852</v>
      </c>
      <c r="AR347" s="217" t="b">
        <v>0</v>
      </c>
      <c r="AS347" s="215" t="s">
        <v>534</v>
      </c>
    </row>
    <row r="348" spans="1:45" s="218" customFormat="1" x14ac:dyDescent="0.25">
      <c r="A348" s="245" t="str">
        <f t="shared" si="47"/>
        <v/>
      </c>
      <c r="B348" s="246" t="str">
        <f t="shared" si="40"/>
        <v/>
      </c>
      <c r="C348" s="246" t="str">
        <f>IF(B348="","",VLOOKUP(D348,'Species Data'!B:E,4,FALSE))</f>
        <v/>
      </c>
      <c r="D348" s="246" t="str">
        <f t="shared" ca="1" si="41"/>
        <v/>
      </c>
      <c r="E348" s="246" t="str">
        <f t="shared" ca="1" si="42"/>
        <v/>
      </c>
      <c r="F348" s="246" t="str">
        <f t="shared" ca="1" si="43"/>
        <v/>
      </c>
      <c r="G348" s="246" t="str">
        <f t="shared" ca="1" si="44"/>
        <v/>
      </c>
      <c r="H348" s="204" t="str">
        <f ca="1">IF(G348="","",IF(VLOOKUP(Separator!F348,'Species Data'!D:F,3,FALSE)=0,"X",IF(G348&lt;44.1,2,1)))</f>
        <v/>
      </c>
      <c r="I348" s="204" t="str">
        <f t="shared" ca="1" si="45"/>
        <v/>
      </c>
      <c r="J348" s="247" t="str">
        <f ca="1">IF(I348="","",IF(COUNTIF($D$12:D348,D348)=1,IF(H348=1,I348*H348,IF(H348="X","X",0)),0))</f>
        <v/>
      </c>
      <c r="K348" s="248" t="str">
        <f t="shared" ca="1" si="46"/>
        <v/>
      </c>
      <c r="L348" s="239"/>
      <c r="M348" s="215"/>
      <c r="N348" s="215"/>
      <c r="O348" s="216"/>
      <c r="P348" s="215"/>
      <c r="Q348" s="217"/>
      <c r="R348" s="215"/>
      <c r="S348" s="215"/>
      <c r="T348" s="215"/>
      <c r="U348" s="215"/>
      <c r="V348" s="217"/>
      <c r="W348" s="217"/>
      <c r="X348" s="217"/>
      <c r="Y348" s="217"/>
      <c r="Z348" s="217"/>
      <c r="AA348" s="215"/>
      <c r="AB348" s="215"/>
      <c r="AC348" s="215"/>
      <c r="AD348" s="217">
        <v>2.2218420000000001</v>
      </c>
      <c r="AE348" s="217">
        <v>605</v>
      </c>
      <c r="AF348" s="217">
        <v>3.851</v>
      </c>
      <c r="AG348" s="217">
        <v>-99</v>
      </c>
      <c r="AH348" s="215" t="s">
        <v>224</v>
      </c>
      <c r="AI348" s="215" t="s">
        <v>449</v>
      </c>
      <c r="AJ348" s="215" t="s">
        <v>285</v>
      </c>
      <c r="AK348" s="215" t="s">
        <v>531</v>
      </c>
      <c r="AL348" s="215" t="s">
        <v>381</v>
      </c>
      <c r="AM348" s="217" t="b">
        <v>1</v>
      </c>
      <c r="AN348" s="217" t="b">
        <v>0</v>
      </c>
      <c r="AO348" s="215" t="s">
        <v>286</v>
      </c>
      <c r="AP348" s="215" t="s">
        <v>287</v>
      </c>
      <c r="AQ348" s="217">
        <v>72.148780000000002</v>
      </c>
      <c r="AR348" s="217" t="b">
        <v>0</v>
      </c>
      <c r="AS348" s="215" t="s">
        <v>534</v>
      </c>
    </row>
    <row r="349" spans="1:45" s="218" customFormat="1" x14ac:dyDescent="0.25">
      <c r="A349" s="245" t="str">
        <f t="shared" si="47"/>
        <v/>
      </c>
      <c r="B349" s="246" t="str">
        <f t="shared" si="40"/>
        <v/>
      </c>
      <c r="C349" s="246" t="str">
        <f>IF(B349="","",VLOOKUP(D349,'Species Data'!B:E,4,FALSE))</f>
        <v/>
      </c>
      <c r="D349" s="246" t="str">
        <f t="shared" ca="1" si="41"/>
        <v/>
      </c>
      <c r="E349" s="246" t="str">
        <f t="shared" ca="1" si="42"/>
        <v/>
      </c>
      <c r="F349" s="246" t="str">
        <f t="shared" ca="1" si="43"/>
        <v/>
      </c>
      <c r="G349" s="246" t="str">
        <f t="shared" ca="1" si="44"/>
        <v/>
      </c>
      <c r="H349" s="204" t="str">
        <f ca="1">IF(G349="","",IF(VLOOKUP(Separator!F349,'Species Data'!D:F,3,FALSE)=0,"X",IF(G349&lt;44.1,2,1)))</f>
        <v/>
      </c>
      <c r="I349" s="204" t="str">
        <f t="shared" ca="1" si="45"/>
        <v/>
      </c>
      <c r="J349" s="247" t="str">
        <f ca="1">IF(I349="","",IF(COUNTIF($D$12:D349,D349)=1,IF(H349=1,I349*H349,IF(H349="X","X",0)),0))</f>
        <v/>
      </c>
      <c r="K349" s="248" t="str">
        <f t="shared" ca="1" si="46"/>
        <v/>
      </c>
      <c r="L349" s="239"/>
      <c r="M349" s="215"/>
      <c r="N349" s="215"/>
      <c r="O349" s="216"/>
      <c r="P349" s="215"/>
      <c r="Q349" s="217"/>
      <c r="R349" s="215"/>
      <c r="S349" s="215"/>
      <c r="T349" s="215"/>
      <c r="U349" s="215"/>
      <c r="V349" s="217"/>
      <c r="W349" s="217"/>
      <c r="X349" s="217"/>
      <c r="Y349" s="217"/>
      <c r="Z349" s="217"/>
      <c r="AA349" s="215"/>
      <c r="AB349" s="215"/>
      <c r="AC349" s="215"/>
      <c r="AD349" s="217">
        <v>2.2218420000000001</v>
      </c>
      <c r="AE349" s="217">
        <v>608</v>
      </c>
      <c r="AF349" s="217">
        <v>6.1000000000000004E-3</v>
      </c>
      <c r="AG349" s="217">
        <v>-99</v>
      </c>
      <c r="AH349" s="215" t="s">
        <v>224</v>
      </c>
      <c r="AI349" s="215" t="s">
        <v>449</v>
      </c>
      <c r="AJ349" s="215" t="s">
        <v>420</v>
      </c>
      <c r="AK349" s="215" t="s">
        <v>531</v>
      </c>
      <c r="AL349" s="215" t="s">
        <v>454</v>
      </c>
      <c r="AM349" s="217" t="b">
        <v>1</v>
      </c>
      <c r="AN349" s="217" t="b">
        <v>0</v>
      </c>
      <c r="AO349" s="215" t="s">
        <v>421</v>
      </c>
      <c r="AP349" s="215" t="s">
        <v>422</v>
      </c>
      <c r="AQ349" s="217">
        <v>120.19158</v>
      </c>
      <c r="AR349" s="217" t="b">
        <v>0</v>
      </c>
      <c r="AS349" s="215" t="s">
        <v>534</v>
      </c>
    </row>
    <row r="350" spans="1:45" s="218" customFormat="1" x14ac:dyDescent="0.25">
      <c r="A350" s="245" t="str">
        <f t="shared" si="47"/>
        <v/>
      </c>
      <c r="B350" s="246" t="str">
        <f t="shared" si="40"/>
        <v/>
      </c>
      <c r="C350" s="246" t="str">
        <f>IF(B350="","",VLOOKUP(D350,'Species Data'!B:E,4,FALSE))</f>
        <v/>
      </c>
      <c r="D350" s="246" t="str">
        <f t="shared" ca="1" si="41"/>
        <v/>
      </c>
      <c r="E350" s="246" t="str">
        <f t="shared" ca="1" si="42"/>
        <v/>
      </c>
      <c r="F350" s="246" t="str">
        <f t="shared" ca="1" si="43"/>
        <v/>
      </c>
      <c r="G350" s="246" t="str">
        <f t="shared" ca="1" si="44"/>
        <v/>
      </c>
      <c r="H350" s="204" t="str">
        <f ca="1">IF(G350="","",IF(VLOOKUP(Separator!F350,'Species Data'!D:F,3,FALSE)=0,"X",IF(G350&lt;44.1,2,1)))</f>
        <v/>
      </c>
      <c r="I350" s="204" t="str">
        <f t="shared" ca="1" si="45"/>
        <v/>
      </c>
      <c r="J350" s="247" t="str">
        <f ca="1">IF(I350="","",IF(COUNTIF($D$12:D350,D350)=1,IF(H350=1,I350*H350,IF(H350="X","X",0)),0))</f>
        <v/>
      </c>
      <c r="K350" s="248" t="str">
        <f t="shared" ca="1" si="46"/>
        <v/>
      </c>
      <c r="L350" s="239"/>
      <c r="M350" s="215"/>
      <c r="N350" s="215"/>
      <c r="O350" s="216"/>
      <c r="P350" s="215"/>
      <c r="Q350" s="217"/>
      <c r="R350" s="215"/>
      <c r="S350" s="215"/>
      <c r="T350" s="215"/>
      <c r="U350" s="215"/>
      <c r="V350" s="217"/>
      <c r="W350" s="217"/>
      <c r="X350" s="217"/>
      <c r="Y350" s="217"/>
      <c r="Z350" s="217"/>
      <c r="AA350" s="215"/>
      <c r="AB350" s="215"/>
      <c r="AC350" s="215"/>
      <c r="AD350" s="217">
        <v>2.2218420000000001</v>
      </c>
      <c r="AE350" s="217">
        <v>620</v>
      </c>
      <c r="AF350" s="217">
        <v>2.1999999999999999E-2</v>
      </c>
      <c r="AG350" s="217">
        <v>-99</v>
      </c>
      <c r="AH350" s="215" t="s">
        <v>224</v>
      </c>
      <c r="AI350" s="215" t="s">
        <v>449</v>
      </c>
      <c r="AJ350" s="215" t="s">
        <v>354</v>
      </c>
      <c r="AK350" s="215" t="s">
        <v>531</v>
      </c>
      <c r="AL350" s="215" t="s">
        <v>398</v>
      </c>
      <c r="AM350" s="217" t="b">
        <v>1</v>
      </c>
      <c r="AN350" s="217" t="b">
        <v>1</v>
      </c>
      <c r="AO350" s="215" t="s">
        <v>355</v>
      </c>
      <c r="AP350" s="215" t="s">
        <v>356</v>
      </c>
      <c r="AQ350" s="217">
        <v>106.16500000000001</v>
      </c>
      <c r="AR350" s="217" t="b">
        <v>0</v>
      </c>
      <c r="AS350" s="215" t="s">
        <v>534</v>
      </c>
    </row>
    <row r="351" spans="1:45" s="218" customFormat="1" x14ac:dyDescent="0.25">
      <c r="A351" s="245" t="str">
        <f t="shared" si="47"/>
        <v/>
      </c>
      <c r="B351" s="246" t="str">
        <f t="shared" si="40"/>
        <v/>
      </c>
      <c r="C351" s="246" t="str">
        <f>IF(B351="","",VLOOKUP(D351,'Species Data'!B:E,4,FALSE))</f>
        <v/>
      </c>
      <c r="D351" s="246" t="str">
        <f t="shared" ca="1" si="41"/>
        <v/>
      </c>
      <c r="E351" s="246" t="str">
        <f t="shared" ca="1" si="42"/>
        <v/>
      </c>
      <c r="F351" s="246" t="str">
        <f t="shared" ca="1" si="43"/>
        <v/>
      </c>
      <c r="G351" s="246" t="str">
        <f t="shared" ca="1" si="44"/>
        <v/>
      </c>
      <c r="H351" s="204" t="str">
        <f ca="1">IF(G351="","",IF(VLOOKUP(Separator!F351,'Species Data'!D:F,3,FALSE)=0,"X",IF(G351&lt;44.1,2,1)))</f>
        <v/>
      </c>
      <c r="I351" s="204" t="str">
        <f t="shared" ca="1" si="45"/>
        <v/>
      </c>
      <c r="J351" s="247" t="str">
        <f ca="1">IF(I351="","",IF(COUNTIF($D$12:D351,D351)=1,IF(H351=1,I351*H351,IF(H351="X","X",0)),0))</f>
        <v/>
      </c>
      <c r="K351" s="248" t="str">
        <f t="shared" ca="1" si="46"/>
        <v/>
      </c>
      <c r="L351" s="239"/>
      <c r="M351" s="215"/>
      <c r="N351" s="215"/>
      <c r="O351" s="216"/>
      <c r="P351" s="215"/>
      <c r="Q351" s="217"/>
      <c r="R351" s="215"/>
      <c r="S351" s="215"/>
      <c r="T351" s="215"/>
      <c r="U351" s="215"/>
      <c r="V351" s="217"/>
      <c r="W351" s="217"/>
      <c r="X351" s="217"/>
      <c r="Y351" s="217"/>
      <c r="Z351" s="217"/>
      <c r="AA351" s="215"/>
      <c r="AB351" s="215"/>
      <c r="AC351" s="215"/>
      <c r="AD351" s="217">
        <v>2.2218420000000001</v>
      </c>
      <c r="AE351" s="217">
        <v>648</v>
      </c>
      <c r="AF351" s="217">
        <v>5.9200000000000003E-2</v>
      </c>
      <c r="AG351" s="217">
        <v>-99</v>
      </c>
      <c r="AH351" s="215" t="s">
        <v>224</v>
      </c>
      <c r="AI351" s="215" t="s">
        <v>449</v>
      </c>
      <c r="AJ351" s="215" t="s">
        <v>433</v>
      </c>
      <c r="AK351" s="215" t="s">
        <v>531</v>
      </c>
      <c r="AL351" s="215" t="s">
        <v>459</v>
      </c>
      <c r="AM351" s="217" t="b">
        <v>0</v>
      </c>
      <c r="AN351" s="217" t="b">
        <v>1</v>
      </c>
      <c r="AO351" s="215" t="s">
        <v>434</v>
      </c>
      <c r="AP351" s="215" t="s">
        <v>435</v>
      </c>
      <c r="AQ351" s="217">
        <v>106.16500000000001</v>
      </c>
      <c r="AR351" s="217" t="b">
        <v>0</v>
      </c>
      <c r="AS351" s="215" t="s">
        <v>534</v>
      </c>
    </row>
    <row r="352" spans="1:45" s="218" customFormat="1" x14ac:dyDescent="0.25">
      <c r="A352" s="245" t="str">
        <f t="shared" si="47"/>
        <v/>
      </c>
      <c r="B352" s="246" t="str">
        <f t="shared" si="40"/>
        <v/>
      </c>
      <c r="C352" s="246" t="str">
        <f>IF(B352="","",VLOOKUP(D352,'Species Data'!B:E,4,FALSE))</f>
        <v/>
      </c>
      <c r="D352" s="246" t="str">
        <f t="shared" ca="1" si="41"/>
        <v/>
      </c>
      <c r="E352" s="246" t="str">
        <f t="shared" ca="1" si="42"/>
        <v/>
      </c>
      <c r="F352" s="246" t="str">
        <f t="shared" ca="1" si="43"/>
        <v/>
      </c>
      <c r="G352" s="246" t="str">
        <f t="shared" ca="1" si="44"/>
        <v/>
      </c>
      <c r="H352" s="204" t="str">
        <f ca="1">IF(G352="","",IF(VLOOKUP(Separator!F352,'Species Data'!D:F,3,FALSE)=0,"X",IF(G352&lt;44.1,2,1)))</f>
        <v/>
      </c>
      <c r="I352" s="204" t="str">
        <f t="shared" ca="1" si="45"/>
        <v/>
      </c>
      <c r="J352" s="247" t="str">
        <f ca="1">IF(I352="","",IF(COUNTIF($D$12:D352,D352)=1,IF(H352=1,I352*H352,IF(H352="X","X",0)),0))</f>
        <v/>
      </c>
      <c r="K352" s="248" t="str">
        <f t="shared" ca="1" si="46"/>
        <v/>
      </c>
      <c r="L352" s="239"/>
      <c r="M352" s="215"/>
      <c r="N352" s="215"/>
      <c r="O352" s="216"/>
      <c r="P352" s="215"/>
      <c r="Q352" s="217"/>
      <c r="R352" s="215"/>
      <c r="S352" s="215"/>
      <c r="T352" s="215"/>
      <c r="U352" s="215"/>
      <c r="V352" s="217"/>
      <c r="W352" s="217"/>
      <c r="X352" s="217"/>
      <c r="Y352" s="217"/>
      <c r="Z352" s="217"/>
      <c r="AA352" s="215"/>
      <c r="AB352" s="215"/>
      <c r="AC352" s="215"/>
      <c r="AD352" s="217">
        <v>2.2218420000000001</v>
      </c>
      <c r="AE352" s="217">
        <v>671</v>
      </c>
      <c r="AF352" s="217">
        <v>13.3879</v>
      </c>
      <c r="AG352" s="217">
        <v>-99</v>
      </c>
      <c r="AH352" s="215" t="s">
        <v>224</v>
      </c>
      <c r="AI352" s="215" t="s">
        <v>449</v>
      </c>
      <c r="AJ352" s="215" t="s">
        <v>288</v>
      </c>
      <c r="AK352" s="215" t="s">
        <v>531</v>
      </c>
      <c r="AL352" s="215" t="s">
        <v>382</v>
      </c>
      <c r="AM352" s="217" t="b">
        <v>1</v>
      </c>
      <c r="AN352" s="217" t="b">
        <v>0</v>
      </c>
      <c r="AO352" s="215" t="s">
        <v>289</v>
      </c>
      <c r="AP352" s="215" t="s">
        <v>290</v>
      </c>
      <c r="AQ352" s="217">
        <v>44.095619999999997</v>
      </c>
      <c r="AR352" s="217" t="b">
        <v>0</v>
      </c>
      <c r="AS352" s="215" t="s">
        <v>534</v>
      </c>
    </row>
    <row r="353" spans="1:45" s="218" customFormat="1" x14ac:dyDescent="0.25">
      <c r="A353" s="245" t="str">
        <f t="shared" si="47"/>
        <v/>
      </c>
      <c r="B353" s="246" t="str">
        <f t="shared" si="40"/>
        <v/>
      </c>
      <c r="C353" s="246" t="str">
        <f>IF(B353="","",VLOOKUP(D353,'Species Data'!B:E,4,FALSE))</f>
        <v/>
      </c>
      <c r="D353" s="246" t="str">
        <f t="shared" ca="1" si="41"/>
        <v/>
      </c>
      <c r="E353" s="246" t="str">
        <f t="shared" ca="1" si="42"/>
        <v/>
      </c>
      <c r="F353" s="246" t="str">
        <f t="shared" ca="1" si="43"/>
        <v/>
      </c>
      <c r="G353" s="246" t="str">
        <f t="shared" ca="1" si="44"/>
        <v/>
      </c>
      <c r="H353" s="204" t="str">
        <f ca="1">IF(G353="","",IF(VLOOKUP(Separator!F353,'Species Data'!D:F,3,FALSE)=0,"X",IF(G353&lt;44.1,2,1)))</f>
        <v/>
      </c>
      <c r="I353" s="204" t="str">
        <f t="shared" ca="1" si="45"/>
        <v/>
      </c>
      <c r="J353" s="247" t="str">
        <f ca="1">IF(I353="","",IF(COUNTIF($D$12:D353,D353)=1,IF(H353=1,I353*H353,IF(H353="X","X",0)),0))</f>
        <v/>
      </c>
      <c r="K353" s="248" t="str">
        <f t="shared" ca="1" si="46"/>
        <v/>
      </c>
      <c r="L353" s="239"/>
      <c r="M353" s="215"/>
      <c r="N353" s="215"/>
      <c r="O353" s="216"/>
      <c r="P353" s="215"/>
      <c r="Q353" s="217"/>
      <c r="R353" s="215"/>
      <c r="S353" s="215"/>
      <c r="T353" s="215"/>
      <c r="U353" s="215"/>
      <c r="V353" s="217"/>
      <c r="W353" s="217"/>
      <c r="X353" s="217"/>
      <c r="Y353" s="217"/>
      <c r="Z353" s="217"/>
      <c r="AA353" s="215"/>
      <c r="AB353" s="215"/>
      <c r="AC353" s="215"/>
      <c r="AD353" s="217">
        <v>2.2218420000000001</v>
      </c>
      <c r="AE353" s="217">
        <v>717</v>
      </c>
      <c r="AF353" s="217">
        <v>0.13700000000000001</v>
      </c>
      <c r="AG353" s="217">
        <v>-99</v>
      </c>
      <c r="AH353" s="215" t="s">
        <v>224</v>
      </c>
      <c r="AI353" s="215" t="s">
        <v>449</v>
      </c>
      <c r="AJ353" s="215" t="s">
        <v>294</v>
      </c>
      <c r="AK353" s="215" t="s">
        <v>531</v>
      </c>
      <c r="AL353" s="215" t="s">
        <v>383</v>
      </c>
      <c r="AM353" s="217" t="b">
        <v>1</v>
      </c>
      <c r="AN353" s="217" t="b">
        <v>1</v>
      </c>
      <c r="AO353" s="215" t="s">
        <v>295</v>
      </c>
      <c r="AP353" s="215" t="s">
        <v>296</v>
      </c>
      <c r="AQ353" s="217">
        <v>92.138419999999996</v>
      </c>
      <c r="AR353" s="217" t="b">
        <v>0</v>
      </c>
      <c r="AS353" s="215" t="s">
        <v>534</v>
      </c>
    </row>
    <row r="354" spans="1:45" s="218" customFormat="1" x14ac:dyDescent="0.25">
      <c r="A354" s="245" t="str">
        <f t="shared" si="47"/>
        <v/>
      </c>
      <c r="B354" s="246" t="str">
        <f t="shared" si="40"/>
        <v/>
      </c>
      <c r="C354" s="246" t="str">
        <f>IF(B354="","",VLOOKUP(D354,'Species Data'!B:E,4,FALSE))</f>
        <v/>
      </c>
      <c r="D354" s="246" t="str">
        <f t="shared" ca="1" si="41"/>
        <v/>
      </c>
      <c r="E354" s="246" t="str">
        <f t="shared" ca="1" si="42"/>
        <v/>
      </c>
      <c r="F354" s="246" t="str">
        <f t="shared" ca="1" si="43"/>
        <v/>
      </c>
      <c r="G354" s="246" t="str">
        <f t="shared" ca="1" si="44"/>
        <v/>
      </c>
      <c r="H354" s="204" t="str">
        <f ca="1">IF(G354="","",IF(VLOOKUP(Separator!F354,'Species Data'!D:F,3,FALSE)=0,"X",IF(G354&lt;44.1,2,1)))</f>
        <v/>
      </c>
      <c r="I354" s="204" t="str">
        <f t="shared" ca="1" si="45"/>
        <v/>
      </c>
      <c r="J354" s="247" t="str">
        <f ca="1">IF(I354="","",IF(COUNTIF($D$12:D354,D354)=1,IF(H354=1,I354*H354,IF(H354="X","X",0)),0))</f>
        <v/>
      </c>
      <c r="K354" s="248" t="str">
        <f t="shared" ca="1" si="46"/>
        <v/>
      </c>
      <c r="L354" s="239"/>
      <c r="M354" s="215"/>
      <c r="N354" s="215"/>
      <c r="O354" s="216"/>
      <c r="P354" s="215"/>
      <c r="Q354" s="217"/>
      <c r="R354" s="215"/>
      <c r="S354" s="215"/>
      <c r="T354" s="215"/>
      <c r="U354" s="215"/>
      <c r="V354" s="217"/>
      <c r="W354" s="217"/>
      <c r="X354" s="217"/>
      <c r="Y354" s="217"/>
      <c r="Z354" s="217"/>
      <c r="AA354" s="215"/>
      <c r="AB354" s="215"/>
      <c r="AC354" s="215"/>
      <c r="AD354" s="217">
        <v>2.2218420000000001</v>
      </c>
      <c r="AE354" s="217">
        <v>981</v>
      </c>
      <c r="AF354" s="217">
        <v>2E-3</v>
      </c>
      <c r="AG354" s="217">
        <v>-99</v>
      </c>
      <c r="AH354" s="215" t="s">
        <v>224</v>
      </c>
      <c r="AI354" s="215" t="s">
        <v>449</v>
      </c>
      <c r="AJ354" s="215" t="s">
        <v>645</v>
      </c>
      <c r="AK354" s="215" t="s">
        <v>531</v>
      </c>
      <c r="AL354" s="215" t="s">
        <v>531</v>
      </c>
      <c r="AM354" s="217" t="b">
        <v>0</v>
      </c>
      <c r="AN354" s="217" t="b">
        <v>0</v>
      </c>
      <c r="AO354" s="215" t="s">
        <v>646</v>
      </c>
      <c r="AP354" s="215" t="s">
        <v>647</v>
      </c>
      <c r="AQ354" s="217">
        <v>134.21816000000001</v>
      </c>
      <c r="AR354" s="217" t="b">
        <v>0</v>
      </c>
      <c r="AS354" s="215" t="s">
        <v>534</v>
      </c>
    </row>
    <row r="355" spans="1:45" s="218" customFormat="1" x14ac:dyDescent="0.25">
      <c r="A355" s="245" t="str">
        <f t="shared" si="47"/>
        <v/>
      </c>
      <c r="B355" s="246" t="str">
        <f t="shared" si="40"/>
        <v/>
      </c>
      <c r="C355" s="246" t="str">
        <f>IF(B355="","",VLOOKUP(D355,'Species Data'!B:E,4,FALSE))</f>
        <v/>
      </c>
      <c r="D355" s="246" t="str">
        <f t="shared" ca="1" si="41"/>
        <v/>
      </c>
      <c r="E355" s="246" t="str">
        <f t="shared" ca="1" si="42"/>
        <v/>
      </c>
      <c r="F355" s="246" t="str">
        <f t="shared" ca="1" si="43"/>
        <v/>
      </c>
      <c r="G355" s="246" t="str">
        <f t="shared" ca="1" si="44"/>
        <v/>
      </c>
      <c r="H355" s="204" t="str">
        <f ca="1">IF(G355="","",IF(VLOOKUP(Separator!F355,'Species Data'!D:F,3,FALSE)=0,"X",IF(G355&lt;44.1,2,1)))</f>
        <v/>
      </c>
      <c r="I355" s="204" t="str">
        <f t="shared" ca="1" si="45"/>
        <v/>
      </c>
      <c r="J355" s="247" t="str">
        <f ca="1">IF(I355="","",IF(COUNTIF($D$12:D355,D355)=1,IF(H355=1,I355*H355,IF(H355="X","X",0)),0))</f>
        <v/>
      </c>
      <c r="K355" s="248" t="str">
        <f t="shared" ca="1" si="46"/>
        <v/>
      </c>
      <c r="L355" s="239"/>
      <c r="M355" s="215"/>
      <c r="N355" s="215"/>
      <c r="O355" s="216"/>
      <c r="P355" s="215"/>
      <c r="Q355" s="217"/>
      <c r="R355" s="215"/>
      <c r="S355" s="215"/>
      <c r="T355" s="215"/>
      <c r="U355" s="215"/>
      <c r="V355" s="217"/>
      <c r="W355" s="217"/>
      <c r="X355" s="217"/>
      <c r="Y355" s="217"/>
      <c r="Z355" s="217"/>
      <c r="AA355" s="215"/>
      <c r="AB355" s="215"/>
      <c r="AC355" s="215"/>
      <c r="AD355" s="217">
        <v>2.2218420000000001</v>
      </c>
      <c r="AE355" s="217">
        <v>1924</v>
      </c>
      <c r="AF355" s="217">
        <v>3.0200000000000001E-2</v>
      </c>
      <c r="AG355" s="217">
        <v>-99</v>
      </c>
      <c r="AH355" s="215" t="s">
        <v>224</v>
      </c>
      <c r="AI355" s="215" t="s">
        <v>449</v>
      </c>
      <c r="AJ355" s="215" t="s">
        <v>224</v>
      </c>
      <c r="AK355" s="215" t="s">
        <v>531</v>
      </c>
      <c r="AL355" s="215" t="s">
        <v>466</v>
      </c>
      <c r="AM355" s="217" t="b">
        <v>0</v>
      </c>
      <c r="AN355" s="217" t="b">
        <v>0</v>
      </c>
      <c r="AO355" s="215" t="s">
        <v>535</v>
      </c>
      <c r="AP355" s="215" t="s">
        <v>536</v>
      </c>
      <c r="AQ355" s="217">
        <v>142.28167999999999</v>
      </c>
      <c r="AR355" s="217" t="b">
        <v>0</v>
      </c>
      <c r="AS355" s="215" t="s">
        <v>534</v>
      </c>
    </row>
    <row r="356" spans="1:45" s="218" customFormat="1" x14ac:dyDescent="0.25">
      <c r="A356" s="245" t="str">
        <f t="shared" si="47"/>
        <v/>
      </c>
      <c r="B356" s="246" t="str">
        <f t="shared" si="40"/>
        <v/>
      </c>
      <c r="C356" s="246" t="str">
        <f>IF(B356="","",VLOOKUP(D356,'Species Data'!B:E,4,FALSE))</f>
        <v/>
      </c>
      <c r="D356" s="246" t="str">
        <f t="shared" ca="1" si="41"/>
        <v/>
      </c>
      <c r="E356" s="246" t="str">
        <f t="shared" ca="1" si="42"/>
        <v/>
      </c>
      <c r="F356" s="246" t="str">
        <f t="shared" ca="1" si="43"/>
        <v/>
      </c>
      <c r="G356" s="246" t="str">
        <f t="shared" ca="1" si="44"/>
        <v/>
      </c>
      <c r="H356" s="204" t="str">
        <f ca="1">IF(G356="","",IF(VLOOKUP(Separator!F356,'Species Data'!D:F,3,FALSE)=0,"X",IF(G356&lt;44.1,2,1)))</f>
        <v/>
      </c>
      <c r="I356" s="204" t="str">
        <f t="shared" ca="1" si="45"/>
        <v/>
      </c>
      <c r="J356" s="247" t="str">
        <f ca="1">IF(I356="","",IF(COUNTIF($D$12:D356,D356)=1,IF(H356=1,I356*H356,IF(H356="X","X",0)),0))</f>
        <v/>
      </c>
      <c r="K356" s="248" t="str">
        <f t="shared" ca="1" si="46"/>
        <v/>
      </c>
      <c r="L356" s="239"/>
      <c r="M356" s="215"/>
      <c r="N356" s="215"/>
      <c r="O356" s="216"/>
      <c r="P356" s="215"/>
      <c r="Q356" s="217"/>
      <c r="R356" s="215"/>
      <c r="S356" s="215"/>
      <c r="T356" s="215"/>
      <c r="U356" s="215"/>
      <c r="V356" s="217"/>
      <c r="W356" s="217"/>
      <c r="X356" s="217"/>
      <c r="Y356" s="217"/>
      <c r="Z356" s="217"/>
      <c r="AA356" s="215"/>
      <c r="AB356" s="215"/>
      <c r="AC356" s="215"/>
      <c r="AD356" s="217">
        <v>2.2218420000000001</v>
      </c>
      <c r="AE356" s="217">
        <v>1929</v>
      </c>
      <c r="AF356" s="217">
        <v>5.5999999999999999E-3</v>
      </c>
      <c r="AG356" s="217">
        <v>-99</v>
      </c>
      <c r="AH356" s="215" t="s">
        <v>224</v>
      </c>
      <c r="AI356" s="215" t="s">
        <v>449</v>
      </c>
      <c r="AJ356" s="215" t="s">
        <v>224</v>
      </c>
      <c r="AK356" s="215" t="s">
        <v>531</v>
      </c>
      <c r="AL356" s="215" t="s">
        <v>467</v>
      </c>
      <c r="AM356" s="217" t="b">
        <v>0</v>
      </c>
      <c r="AN356" s="217" t="b">
        <v>0</v>
      </c>
      <c r="AO356" s="215" t="s">
        <v>468</v>
      </c>
      <c r="AP356" s="215" t="s">
        <v>469</v>
      </c>
      <c r="AQ356" s="217">
        <v>156.30826000000002</v>
      </c>
      <c r="AR356" s="217" t="b">
        <v>0</v>
      </c>
      <c r="AS356" s="215" t="s">
        <v>534</v>
      </c>
    </row>
    <row r="357" spans="1:45" s="218" customFormat="1" x14ac:dyDescent="0.25">
      <c r="A357" s="245" t="str">
        <f t="shared" si="47"/>
        <v/>
      </c>
      <c r="B357" s="246" t="str">
        <f t="shared" si="40"/>
        <v/>
      </c>
      <c r="C357" s="246" t="str">
        <f>IF(B357="","",VLOOKUP(D357,'Species Data'!B:E,4,FALSE))</f>
        <v/>
      </c>
      <c r="D357" s="246" t="str">
        <f t="shared" ca="1" si="41"/>
        <v/>
      </c>
      <c r="E357" s="246" t="str">
        <f t="shared" ca="1" si="42"/>
        <v/>
      </c>
      <c r="F357" s="246" t="str">
        <f t="shared" ca="1" si="43"/>
        <v/>
      </c>
      <c r="G357" s="246" t="str">
        <f t="shared" ca="1" si="44"/>
        <v/>
      </c>
      <c r="H357" s="204" t="str">
        <f ca="1">IF(G357="","",IF(VLOOKUP(Separator!F357,'Species Data'!D:F,3,FALSE)=0,"X",IF(G357&lt;44.1,2,1)))</f>
        <v/>
      </c>
      <c r="I357" s="204" t="str">
        <f t="shared" ca="1" si="45"/>
        <v/>
      </c>
      <c r="J357" s="247" t="str">
        <f ca="1">IF(I357="","",IF(COUNTIF($D$12:D357,D357)=1,IF(H357=1,I357*H357,IF(H357="X","X",0)),0))</f>
        <v/>
      </c>
      <c r="K357" s="248" t="str">
        <f t="shared" ca="1" si="46"/>
        <v/>
      </c>
      <c r="L357" s="239"/>
      <c r="M357" s="215"/>
      <c r="N357" s="215"/>
      <c r="O357" s="216"/>
      <c r="P357" s="215"/>
      <c r="Q357" s="217"/>
      <c r="R357" s="215"/>
      <c r="S357" s="215"/>
      <c r="T357" s="215"/>
      <c r="U357" s="215"/>
      <c r="V357" s="217"/>
      <c r="W357" s="217"/>
      <c r="X357" s="217"/>
      <c r="Y357" s="217"/>
      <c r="Z357" s="217"/>
      <c r="AA357" s="215"/>
      <c r="AB357" s="215"/>
      <c r="AC357" s="215"/>
      <c r="AD357" s="217">
        <v>2.2218420000000001</v>
      </c>
      <c r="AE357" s="217">
        <v>1986</v>
      </c>
      <c r="AF357" s="217">
        <v>0.5484</v>
      </c>
      <c r="AG357" s="217">
        <v>-99</v>
      </c>
      <c r="AH357" s="215" t="s">
        <v>224</v>
      </c>
      <c r="AI357" s="215" t="s">
        <v>449</v>
      </c>
      <c r="AJ357" s="215" t="s">
        <v>224</v>
      </c>
      <c r="AK357" s="215" t="s">
        <v>531</v>
      </c>
      <c r="AL357" s="215" t="s">
        <v>537</v>
      </c>
      <c r="AM357" s="217" t="b">
        <v>0</v>
      </c>
      <c r="AN357" s="217" t="b">
        <v>0</v>
      </c>
      <c r="AO357" s="215" t="s">
        <v>538</v>
      </c>
      <c r="AP357" s="215" t="s">
        <v>539</v>
      </c>
      <c r="AQ357" s="217">
        <v>72.148780000000002</v>
      </c>
      <c r="AR357" s="217" t="b">
        <v>0</v>
      </c>
      <c r="AS357" s="215" t="s">
        <v>534</v>
      </c>
    </row>
    <row r="358" spans="1:45" s="218" customFormat="1" x14ac:dyDescent="0.25">
      <c r="A358" s="245" t="str">
        <f t="shared" si="47"/>
        <v/>
      </c>
      <c r="B358" s="246" t="str">
        <f t="shared" si="40"/>
        <v/>
      </c>
      <c r="C358" s="246" t="str">
        <f>IF(B358="","",VLOOKUP(D358,'Species Data'!B:E,4,FALSE))</f>
        <v/>
      </c>
      <c r="D358" s="246" t="str">
        <f t="shared" ca="1" si="41"/>
        <v/>
      </c>
      <c r="E358" s="246" t="str">
        <f t="shared" ca="1" si="42"/>
        <v/>
      </c>
      <c r="F358" s="246" t="str">
        <f t="shared" ca="1" si="43"/>
        <v/>
      </c>
      <c r="G358" s="246" t="str">
        <f t="shared" ca="1" si="44"/>
        <v/>
      </c>
      <c r="H358" s="204" t="str">
        <f ca="1">IF(G358="","",IF(VLOOKUP(Separator!F358,'Species Data'!D:F,3,FALSE)=0,"X",IF(G358&lt;44.1,2,1)))</f>
        <v/>
      </c>
      <c r="I358" s="204" t="str">
        <f t="shared" ca="1" si="45"/>
        <v/>
      </c>
      <c r="J358" s="247" t="str">
        <f ca="1">IF(I358="","",IF(COUNTIF($D$12:D358,D358)=1,IF(H358=1,I358*H358,IF(H358="X","X",0)),0))</f>
        <v/>
      </c>
      <c r="K358" s="248" t="str">
        <f t="shared" ca="1" si="46"/>
        <v/>
      </c>
      <c r="L358" s="239"/>
      <c r="M358" s="215"/>
      <c r="N358" s="215"/>
      <c r="O358" s="216"/>
      <c r="P358" s="215"/>
      <c r="Q358" s="217"/>
      <c r="R358" s="215"/>
      <c r="S358" s="215"/>
      <c r="T358" s="215"/>
      <c r="U358" s="215"/>
      <c r="V358" s="217"/>
      <c r="W358" s="217"/>
      <c r="X358" s="217"/>
      <c r="Y358" s="217"/>
      <c r="Z358" s="217"/>
      <c r="AA358" s="215"/>
      <c r="AB358" s="215"/>
      <c r="AC358" s="215"/>
      <c r="AD358" s="217">
        <v>2.2218420000000001</v>
      </c>
      <c r="AE358" s="217">
        <v>1999</v>
      </c>
      <c r="AF358" s="217">
        <v>3.7219000000000002</v>
      </c>
      <c r="AG358" s="217">
        <v>-99</v>
      </c>
      <c r="AH358" s="215" t="s">
        <v>224</v>
      </c>
      <c r="AI358" s="215" t="s">
        <v>449</v>
      </c>
      <c r="AJ358" s="215" t="s">
        <v>224</v>
      </c>
      <c r="AK358" s="215" t="s">
        <v>531</v>
      </c>
      <c r="AL358" s="215" t="s">
        <v>540</v>
      </c>
      <c r="AM358" s="217" t="b">
        <v>0</v>
      </c>
      <c r="AN358" s="217" t="b">
        <v>0</v>
      </c>
      <c r="AO358" s="215" t="s">
        <v>541</v>
      </c>
      <c r="AP358" s="215" t="s">
        <v>542</v>
      </c>
      <c r="AQ358" s="217">
        <v>86.175359999999998</v>
      </c>
      <c r="AR358" s="217" t="b">
        <v>0</v>
      </c>
      <c r="AS358" s="215" t="s">
        <v>534</v>
      </c>
    </row>
    <row r="359" spans="1:45" s="218" customFormat="1" x14ac:dyDescent="0.25">
      <c r="A359" s="245" t="str">
        <f t="shared" si="47"/>
        <v/>
      </c>
      <c r="B359" s="246" t="str">
        <f t="shared" si="40"/>
        <v/>
      </c>
      <c r="C359" s="246" t="str">
        <f>IF(B359="","",VLOOKUP(D359,'Species Data'!B:E,4,FALSE))</f>
        <v/>
      </c>
      <c r="D359" s="246" t="str">
        <f t="shared" ca="1" si="41"/>
        <v/>
      </c>
      <c r="E359" s="246" t="str">
        <f t="shared" ca="1" si="42"/>
        <v/>
      </c>
      <c r="F359" s="246" t="str">
        <f t="shared" ca="1" si="43"/>
        <v/>
      </c>
      <c r="G359" s="246" t="str">
        <f t="shared" ca="1" si="44"/>
        <v/>
      </c>
      <c r="H359" s="204" t="str">
        <f ca="1">IF(G359="","",IF(VLOOKUP(Separator!F359,'Species Data'!D:F,3,FALSE)=0,"X",IF(G359&lt;44.1,2,1)))</f>
        <v/>
      </c>
      <c r="I359" s="204" t="str">
        <f t="shared" ca="1" si="45"/>
        <v/>
      </c>
      <c r="J359" s="247" t="str">
        <f ca="1">IF(I359="","",IF(COUNTIF($D$12:D359,D359)=1,IF(H359=1,I359*H359,IF(H359="X","X",0)),0))</f>
        <v/>
      </c>
      <c r="K359" s="248" t="str">
        <f t="shared" ca="1" si="46"/>
        <v/>
      </c>
      <c r="L359" s="239"/>
      <c r="M359" s="215"/>
      <c r="N359" s="215"/>
      <c r="O359" s="216"/>
      <c r="P359" s="215"/>
      <c r="Q359" s="217"/>
      <c r="R359" s="215"/>
      <c r="S359" s="215"/>
      <c r="T359" s="215"/>
      <c r="U359" s="215"/>
      <c r="V359" s="217"/>
      <c r="W359" s="217"/>
      <c r="X359" s="217"/>
      <c r="Y359" s="217"/>
      <c r="Z359" s="217"/>
      <c r="AA359" s="215"/>
      <c r="AB359" s="215"/>
      <c r="AC359" s="215"/>
      <c r="AD359" s="217">
        <v>2.2218420000000001</v>
      </c>
      <c r="AE359" s="217">
        <v>2005</v>
      </c>
      <c r="AF359" s="217">
        <v>1.0915999999999999</v>
      </c>
      <c r="AG359" s="217">
        <v>-99</v>
      </c>
      <c r="AH359" s="215" t="s">
        <v>224</v>
      </c>
      <c r="AI359" s="215" t="s">
        <v>449</v>
      </c>
      <c r="AJ359" s="215" t="s">
        <v>224</v>
      </c>
      <c r="AK359" s="215" t="s">
        <v>531</v>
      </c>
      <c r="AL359" s="215" t="s">
        <v>543</v>
      </c>
      <c r="AM359" s="217" t="b">
        <v>0</v>
      </c>
      <c r="AN359" s="217" t="b">
        <v>0</v>
      </c>
      <c r="AO359" s="215" t="s">
        <v>544</v>
      </c>
      <c r="AP359" s="215" t="s">
        <v>545</v>
      </c>
      <c r="AQ359" s="217">
        <v>100.20194000000001</v>
      </c>
      <c r="AR359" s="217" t="b">
        <v>0</v>
      </c>
      <c r="AS359" s="215" t="s">
        <v>534</v>
      </c>
    </row>
    <row r="360" spans="1:45" s="218" customFormat="1" x14ac:dyDescent="0.25">
      <c r="A360" s="245" t="str">
        <f t="shared" si="47"/>
        <v/>
      </c>
      <c r="B360" s="246" t="str">
        <f t="shared" si="40"/>
        <v/>
      </c>
      <c r="C360" s="246" t="str">
        <f>IF(B360="","",VLOOKUP(D360,'Species Data'!B:E,4,FALSE))</f>
        <v/>
      </c>
      <c r="D360" s="246" t="str">
        <f t="shared" ca="1" si="41"/>
        <v/>
      </c>
      <c r="E360" s="246" t="str">
        <f t="shared" ca="1" si="42"/>
        <v/>
      </c>
      <c r="F360" s="246" t="str">
        <f t="shared" ca="1" si="43"/>
        <v/>
      </c>
      <c r="G360" s="246" t="str">
        <f t="shared" ca="1" si="44"/>
        <v/>
      </c>
      <c r="H360" s="204" t="str">
        <f ca="1">IF(G360="","",IF(VLOOKUP(Separator!F360,'Species Data'!D:F,3,FALSE)=0,"X",IF(G360&lt;44.1,2,1)))</f>
        <v/>
      </c>
      <c r="I360" s="204" t="str">
        <f t="shared" ca="1" si="45"/>
        <v/>
      </c>
      <c r="J360" s="247" t="str">
        <f ca="1">IF(I360="","",IF(COUNTIF($D$12:D360,D360)=1,IF(H360=1,I360*H360,IF(H360="X","X",0)),0))</f>
        <v/>
      </c>
      <c r="K360" s="248" t="str">
        <f t="shared" ca="1" si="46"/>
        <v/>
      </c>
      <c r="L360" s="239"/>
      <c r="M360" s="215"/>
      <c r="N360" s="215"/>
      <c r="O360" s="216"/>
      <c r="P360" s="215"/>
      <c r="Q360" s="217"/>
      <c r="R360" s="215"/>
      <c r="S360" s="215"/>
      <c r="T360" s="215"/>
      <c r="U360" s="215"/>
      <c r="V360" s="217"/>
      <c r="W360" s="217"/>
      <c r="X360" s="217"/>
      <c r="Y360" s="217"/>
      <c r="Z360" s="217"/>
      <c r="AA360" s="215"/>
      <c r="AB360" s="215"/>
      <c r="AC360" s="215"/>
      <c r="AD360" s="217">
        <v>2.2218420000000001</v>
      </c>
      <c r="AE360" s="217">
        <v>2011</v>
      </c>
      <c r="AF360" s="217">
        <v>0.47520000000000001</v>
      </c>
      <c r="AG360" s="217">
        <v>-99</v>
      </c>
      <c r="AH360" s="215" t="s">
        <v>224</v>
      </c>
      <c r="AI360" s="215" t="s">
        <v>449</v>
      </c>
      <c r="AJ360" s="215" t="s">
        <v>224</v>
      </c>
      <c r="AK360" s="215" t="s">
        <v>531</v>
      </c>
      <c r="AL360" s="215" t="s">
        <v>546</v>
      </c>
      <c r="AM360" s="217" t="b">
        <v>0</v>
      </c>
      <c r="AN360" s="217" t="b">
        <v>0</v>
      </c>
      <c r="AO360" s="215" t="s">
        <v>547</v>
      </c>
      <c r="AP360" s="215" t="s">
        <v>548</v>
      </c>
      <c r="AQ360" s="217">
        <v>113.21160686946486</v>
      </c>
      <c r="AR360" s="217" t="b">
        <v>0</v>
      </c>
      <c r="AS360" s="215" t="s">
        <v>534</v>
      </c>
    </row>
    <row r="361" spans="1:45" s="218" customFormat="1" x14ac:dyDescent="0.25">
      <c r="A361" s="245" t="str">
        <f t="shared" si="47"/>
        <v/>
      </c>
      <c r="B361" s="246" t="str">
        <f t="shared" si="40"/>
        <v/>
      </c>
      <c r="C361" s="246" t="str">
        <f>IF(B361="","",VLOOKUP(D361,'Species Data'!B:E,4,FALSE))</f>
        <v/>
      </c>
      <c r="D361" s="246" t="str">
        <f t="shared" ca="1" si="41"/>
        <v/>
      </c>
      <c r="E361" s="246" t="str">
        <f t="shared" ca="1" si="42"/>
        <v/>
      </c>
      <c r="F361" s="246" t="str">
        <f t="shared" ca="1" si="43"/>
        <v/>
      </c>
      <c r="G361" s="246" t="str">
        <f t="shared" ca="1" si="44"/>
        <v/>
      </c>
      <c r="H361" s="204" t="str">
        <f ca="1">IF(G361="","",IF(VLOOKUP(Separator!F361,'Species Data'!D:F,3,FALSE)=0,"X",IF(G361&lt;44.1,2,1)))</f>
        <v/>
      </c>
      <c r="I361" s="204" t="str">
        <f t="shared" ca="1" si="45"/>
        <v/>
      </c>
      <c r="J361" s="247" t="str">
        <f ca="1">IF(I361="","",IF(COUNTIF($D$12:D361,D361)=1,IF(H361=1,I361*H361,IF(H361="X","X",0)),0))</f>
        <v/>
      </c>
      <c r="K361" s="248" t="str">
        <f t="shared" ca="1" si="46"/>
        <v/>
      </c>
      <c r="L361" s="239"/>
      <c r="M361" s="215"/>
      <c r="N361" s="215"/>
      <c r="O361" s="216"/>
      <c r="P361" s="215"/>
      <c r="Q361" s="217"/>
      <c r="R361" s="215"/>
      <c r="S361" s="215"/>
      <c r="T361" s="215"/>
      <c r="U361" s="215"/>
      <c r="V361" s="217"/>
      <c r="W361" s="217"/>
      <c r="X361" s="217"/>
      <c r="Y361" s="217"/>
      <c r="Z361" s="217"/>
      <c r="AA361" s="215"/>
      <c r="AB361" s="215"/>
      <c r="AC361" s="215"/>
      <c r="AD361" s="217">
        <v>2.2218420000000001</v>
      </c>
      <c r="AE361" s="217">
        <v>2018</v>
      </c>
      <c r="AF361" s="217">
        <v>9.4299999999999995E-2</v>
      </c>
      <c r="AG361" s="217">
        <v>-99</v>
      </c>
      <c r="AH361" s="215" t="s">
        <v>224</v>
      </c>
      <c r="AI361" s="215" t="s">
        <v>449</v>
      </c>
      <c r="AJ361" s="215" t="s">
        <v>224</v>
      </c>
      <c r="AK361" s="215" t="s">
        <v>531</v>
      </c>
      <c r="AL361" s="215" t="s">
        <v>464</v>
      </c>
      <c r="AM361" s="217" t="b">
        <v>0</v>
      </c>
      <c r="AN361" s="217" t="b">
        <v>0</v>
      </c>
      <c r="AO361" s="215" t="s">
        <v>549</v>
      </c>
      <c r="AP361" s="215" t="s">
        <v>550</v>
      </c>
      <c r="AQ361" s="217">
        <v>127.23917598649743</v>
      </c>
      <c r="AR361" s="217" t="b">
        <v>0</v>
      </c>
      <c r="AS361" s="215" t="s">
        <v>534</v>
      </c>
    </row>
    <row r="362" spans="1:45" s="218" customFormat="1" x14ac:dyDescent="0.25">
      <c r="A362" s="245" t="str">
        <f t="shared" si="47"/>
        <v/>
      </c>
      <c r="B362" s="246" t="str">
        <f t="shared" si="40"/>
        <v/>
      </c>
      <c r="C362" s="246" t="str">
        <f>IF(B362="","",VLOOKUP(D362,'Species Data'!B:E,4,FALSE))</f>
        <v/>
      </c>
      <c r="D362" s="246" t="str">
        <f t="shared" ca="1" si="41"/>
        <v/>
      </c>
      <c r="E362" s="246" t="str">
        <f t="shared" ca="1" si="42"/>
        <v/>
      </c>
      <c r="F362" s="246" t="str">
        <f t="shared" ca="1" si="43"/>
        <v/>
      </c>
      <c r="G362" s="246" t="str">
        <f t="shared" ca="1" si="44"/>
        <v/>
      </c>
      <c r="H362" s="204" t="str">
        <f ca="1">IF(G362="","",IF(VLOOKUP(Separator!F362,'Species Data'!D:F,3,FALSE)=0,"X",IF(G362&lt;44.1,2,1)))</f>
        <v/>
      </c>
      <c r="I362" s="204" t="str">
        <f t="shared" ca="1" si="45"/>
        <v/>
      </c>
      <c r="J362" s="247" t="str">
        <f ca="1">IF(I362="","",IF(COUNTIF($D$12:D362,D362)=1,IF(H362=1,I362*H362,IF(H362="X","X",0)),0))</f>
        <v/>
      </c>
      <c r="K362" s="248" t="str">
        <f t="shared" ca="1" si="46"/>
        <v/>
      </c>
      <c r="L362" s="239"/>
      <c r="M362" s="215"/>
      <c r="N362" s="215"/>
      <c r="O362" s="216"/>
      <c r="P362" s="215"/>
      <c r="Q362" s="217"/>
      <c r="R362" s="215"/>
      <c r="S362" s="215"/>
      <c r="T362" s="215"/>
      <c r="U362" s="215"/>
      <c r="V362" s="217"/>
      <c r="W362" s="217"/>
      <c r="X362" s="217"/>
      <c r="Y362" s="217"/>
      <c r="Z362" s="217"/>
      <c r="AA362" s="215"/>
      <c r="AB362" s="215"/>
      <c r="AC362" s="215"/>
      <c r="AD362" s="217">
        <v>1.983214</v>
      </c>
      <c r="AE362" s="217">
        <v>25</v>
      </c>
      <c r="AF362" s="217">
        <v>2.9899999999999999E-2</v>
      </c>
      <c r="AG362" s="217">
        <v>-99</v>
      </c>
      <c r="AH362" s="215" t="s">
        <v>224</v>
      </c>
      <c r="AI362" s="215" t="s">
        <v>449</v>
      </c>
      <c r="AJ362" s="215" t="s">
        <v>627</v>
      </c>
      <c r="AK362" s="215" t="s">
        <v>531</v>
      </c>
      <c r="AL362" s="215" t="s">
        <v>628</v>
      </c>
      <c r="AM362" s="217" t="b">
        <v>1</v>
      </c>
      <c r="AN362" s="217" t="b">
        <v>0</v>
      </c>
      <c r="AO362" s="215" t="s">
        <v>629</v>
      </c>
      <c r="AP362" s="215" t="s">
        <v>630</v>
      </c>
      <c r="AQ362" s="217">
        <v>120.19158</v>
      </c>
      <c r="AR362" s="217" t="b">
        <v>0</v>
      </c>
      <c r="AS362" s="215" t="s">
        <v>534</v>
      </c>
    </row>
    <row r="363" spans="1:45" s="218" customFormat="1" x14ac:dyDescent="0.25">
      <c r="A363" s="245" t="str">
        <f t="shared" si="47"/>
        <v/>
      </c>
      <c r="B363" s="246" t="str">
        <f t="shared" si="40"/>
        <v/>
      </c>
      <c r="C363" s="246" t="str">
        <f>IF(B363="","",VLOOKUP(D363,'Species Data'!B:E,4,FALSE))</f>
        <v/>
      </c>
      <c r="D363" s="246" t="str">
        <f t="shared" ca="1" si="41"/>
        <v/>
      </c>
      <c r="E363" s="246" t="str">
        <f t="shared" ca="1" si="42"/>
        <v/>
      </c>
      <c r="F363" s="246" t="str">
        <f t="shared" ca="1" si="43"/>
        <v/>
      </c>
      <c r="G363" s="246" t="str">
        <f t="shared" ca="1" si="44"/>
        <v/>
      </c>
      <c r="H363" s="204" t="str">
        <f ca="1">IF(G363="","",IF(VLOOKUP(Separator!F363,'Species Data'!D:F,3,FALSE)=0,"X",IF(G363&lt;44.1,2,1)))</f>
        <v/>
      </c>
      <c r="I363" s="204" t="str">
        <f t="shared" ca="1" si="45"/>
        <v/>
      </c>
      <c r="J363" s="247" t="str">
        <f ca="1">IF(I363="","",IF(COUNTIF($D$12:D363,D363)=1,IF(H363=1,I363*H363,IF(H363="X","X",0)),0))</f>
        <v/>
      </c>
      <c r="K363" s="248" t="str">
        <f t="shared" ca="1" si="46"/>
        <v/>
      </c>
      <c r="L363" s="239"/>
      <c r="M363" s="215"/>
      <c r="N363" s="215"/>
      <c r="O363" s="216"/>
      <c r="P363" s="215"/>
      <c r="Q363" s="217"/>
      <c r="R363" s="215"/>
      <c r="S363" s="215"/>
      <c r="T363" s="215"/>
      <c r="U363" s="215"/>
      <c r="V363" s="217"/>
      <c r="W363" s="217"/>
      <c r="X363" s="217"/>
      <c r="Y363" s="217"/>
      <c r="Z363" s="217"/>
      <c r="AA363" s="215"/>
      <c r="AB363" s="215"/>
      <c r="AC363" s="215"/>
      <c r="AD363" s="217">
        <v>1.983214</v>
      </c>
      <c r="AE363" s="217">
        <v>30</v>
      </c>
      <c r="AF363" s="217">
        <v>4.7300000000000002E-2</v>
      </c>
      <c r="AG363" s="217">
        <v>-99</v>
      </c>
      <c r="AH363" s="215" t="s">
        <v>224</v>
      </c>
      <c r="AI363" s="215" t="s">
        <v>449</v>
      </c>
      <c r="AJ363" s="215" t="s">
        <v>359</v>
      </c>
      <c r="AK363" s="215" t="s">
        <v>531</v>
      </c>
      <c r="AL363" s="215" t="s">
        <v>531</v>
      </c>
      <c r="AM363" s="217" t="b">
        <v>1</v>
      </c>
      <c r="AN363" s="217" t="b">
        <v>0</v>
      </c>
      <c r="AO363" s="215" t="s">
        <v>360</v>
      </c>
      <c r="AP363" s="215" t="s">
        <v>361</v>
      </c>
      <c r="AQ363" s="217">
        <v>120.19158</v>
      </c>
      <c r="AR363" s="217" t="b">
        <v>0</v>
      </c>
      <c r="AS363" s="215" t="s">
        <v>534</v>
      </c>
    </row>
    <row r="364" spans="1:45" s="218" customFormat="1" x14ac:dyDescent="0.25">
      <c r="A364" s="245" t="str">
        <f t="shared" si="47"/>
        <v/>
      </c>
      <c r="B364" s="246" t="str">
        <f t="shared" si="40"/>
        <v/>
      </c>
      <c r="C364" s="246" t="str">
        <f>IF(B364="","",VLOOKUP(D364,'Species Data'!B:E,4,FALSE))</f>
        <v/>
      </c>
      <c r="D364" s="246" t="str">
        <f t="shared" ca="1" si="41"/>
        <v/>
      </c>
      <c r="E364" s="246" t="str">
        <f t="shared" ca="1" si="42"/>
        <v/>
      </c>
      <c r="F364" s="246" t="str">
        <f t="shared" ca="1" si="43"/>
        <v/>
      </c>
      <c r="G364" s="246" t="str">
        <f t="shared" ca="1" si="44"/>
        <v/>
      </c>
      <c r="H364" s="204" t="str">
        <f ca="1">IF(G364="","",IF(VLOOKUP(Separator!F364,'Species Data'!D:F,3,FALSE)=0,"X",IF(G364&lt;44.1,2,1)))</f>
        <v/>
      </c>
      <c r="I364" s="204" t="str">
        <f t="shared" ca="1" si="45"/>
        <v/>
      </c>
      <c r="J364" s="247" t="str">
        <f ca="1">IF(I364="","",IF(COUNTIF($D$12:D364,D364)=1,IF(H364=1,I364*H364,IF(H364="X","X",0)),0))</f>
        <v/>
      </c>
      <c r="K364" s="248" t="str">
        <f t="shared" ca="1" si="46"/>
        <v/>
      </c>
      <c r="L364" s="239"/>
      <c r="M364" s="215"/>
      <c r="N364" s="215"/>
      <c r="O364" s="216"/>
      <c r="P364" s="215"/>
      <c r="Q364" s="217"/>
      <c r="R364" s="215"/>
      <c r="S364" s="215"/>
      <c r="T364" s="215"/>
      <c r="U364" s="215"/>
      <c r="V364" s="217"/>
      <c r="W364" s="217"/>
      <c r="X364" s="217"/>
      <c r="Y364" s="217"/>
      <c r="Z364" s="217"/>
      <c r="AA364" s="215"/>
      <c r="AB364" s="215"/>
      <c r="AC364" s="215"/>
      <c r="AD364" s="217">
        <v>1.983214</v>
      </c>
      <c r="AE364" s="217">
        <v>51</v>
      </c>
      <c r="AF364" s="217">
        <v>2.46E-2</v>
      </c>
      <c r="AG364" s="217">
        <v>-99</v>
      </c>
      <c r="AH364" s="215" t="s">
        <v>224</v>
      </c>
      <c r="AI364" s="215" t="s">
        <v>449</v>
      </c>
      <c r="AJ364" s="215" t="s">
        <v>634</v>
      </c>
      <c r="AK364" s="215" t="s">
        <v>531</v>
      </c>
      <c r="AL364" s="215" t="s">
        <v>635</v>
      </c>
      <c r="AM364" s="217" t="b">
        <v>1</v>
      </c>
      <c r="AN364" s="217" t="b">
        <v>0</v>
      </c>
      <c r="AO364" s="215" t="s">
        <v>636</v>
      </c>
      <c r="AP364" s="215" t="s">
        <v>637</v>
      </c>
      <c r="AQ364" s="217">
        <v>134.21816000000001</v>
      </c>
      <c r="AR364" s="217" t="b">
        <v>0</v>
      </c>
      <c r="AS364" s="215" t="s">
        <v>534</v>
      </c>
    </row>
    <row r="365" spans="1:45" s="218" customFormat="1" x14ac:dyDescent="0.25">
      <c r="A365" s="245" t="str">
        <f t="shared" si="47"/>
        <v/>
      </c>
      <c r="B365" s="246" t="str">
        <f t="shared" si="40"/>
        <v/>
      </c>
      <c r="C365" s="246" t="str">
        <f>IF(B365="","",VLOOKUP(D365,'Species Data'!B:E,4,FALSE))</f>
        <v/>
      </c>
      <c r="D365" s="246" t="str">
        <f t="shared" ca="1" si="41"/>
        <v/>
      </c>
      <c r="E365" s="246" t="str">
        <f t="shared" ca="1" si="42"/>
        <v/>
      </c>
      <c r="F365" s="246" t="str">
        <f t="shared" ca="1" si="43"/>
        <v/>
      </c>
      <c r="G365" s="246" t="str">
        <f t="shared" ca="1" si="44"/>
        <v/>
      </c>
      <c r="H365" s="204" t="str">
        <f ca="1">IF(G365="","",IF(VLOOKUP(Separator!F365,'Species Data'!D:F,3,FALSE)=0,"X",IF(G365&lt;44.1,2,1)))</f>
        <v/>
      </c>
      <c r="I365" s="204" t="str">
        <f t="shared" ca="1" si="45"/>
        <v/>
      </c>
      <c r="J365" s="247" t="str">
        <f ca="1">IF(I365="","",IF(COUNTIF($D$12:D365,D365)=1,IF(H365=1,I365*H365,IF(H365="X","X",0)),0))</f>
        <v/>
      </c>
      <c r="K365" s="248" t="str">
        <f t="shared" ca="1" si="46"/>
        <v/>
      </c>
      <c r="L365" s="239"/>
      <c r="M365" s="215"/>
      <c r="N365" s="215"/>
      <c r="O365" s="216"/>
      <c r="P365" s="215"/>
      <c r="Q365" s="217"/>
      <c r="R365" s="215"/>
      <c r="S365" s="215"/>
      <c r="T365" s="215"/>
      <c r="U365" s="215"/>
      <c r="V365" s="217"/>
      <c r="W365" s="217"/>
      <c r="X365" s="217"/>
      <c r="Y365" s="217"/>
      <c r="Z365" s="217"/>
      <c r="AA365" s="215"/>
      <c r="AB365" s="215"/>
      <c r="AC365" s="215"/>
      <c r="AD365" s="217">
        <v>1.983214</v>
      </c>
      <c r="AE365" s="217">
        <v>89</v>
      </c>
      <c r="AF365" s="217">
        <v>4.4600000000000001E-2</v>
      </c>
      <c r="AG365" s="217">
        <v>-99</v>
      </c>
      <c r="AH365" s="215" t="s">
        <v>224</v>
      </c>
      <c r="AI365" s="215" t="s">
        <v>449</v>
      </c>
      <c r="AJ365" s="215" t="s">
        <v>411</v>
      </c>
      <c r="AK365" s="215" t="s">
        <v>531</v>
      </c>
      <c r="AL365" s="215" t="s">
        <v>451</v>
      </c>
      <c r="AM365" s="217" t="b">
        <v>1</v>
      </c>
      <c r="AN365" s="217" t="b">
        <v>0</v>
      </c>
      <c r="AO365" s="215" t="s">
        <v>412</v>
      </c>
      <c r="AP365" s="215" t="s">
        <v>413</v>
      </c>
      <c r="AQ365" s="217">
        <v>120.19158</v>
      </c>
      <c r="AR365" s="217" t="b">
        <v>0</v>
      </c>
      <c r="AS365" s="215" t="s">
        <v>534</v>
      </c>
    </row>
    <row r="366" spans="1:45" s="218" customFormat="1" x14ac:dyDescent="0.25">
      <c r="A366" s="245" t="str">
        <f t="shared" si="47"/>
        <v/>
      </c>
      <c r="B366" s="246" t="str">
        <f t="shared" si="40"/>
        <v/>
      </c>
      <c r="C366" s="246" t="str">
        <f>IF(B366="","",VLOOKUP(D366,'Species Data'!B:E,4,FALSE))</f>
        <v/>
      </c>
      <c r="D366" s="246" t="str">
        <f t="shared" ca="1" si="41"/>
        <v/>
      </c>
      <c r="E366" s="246" t="str">
        <f t="shared" ca="1" si="42"/>
        <v/>
      </c>
      <c r="F366" s="246" t="str">
        <f t="shared" ca="1" si="43"/>
        <v/>
      </c>
      <c r="G366" s="246" t="str">
        <f t="shared" ca="1" si="44"/>
        <v/>
      </c>
      <c r="H366" s="204" t="str">
        <f ca="1">IF(G366="","",IF(VLOOKUP(Separator!F366,'Species Data'!D:F,3,FALSE)=0,"X",IF(G366&lt;44.1,2,1)))</f>
        <v/>
      </c>
      <c r="I366" s="204" t="str">
        <f t="shared" ca="1" si="45"/>
        <v/>
      </c>
      <c r="J366" s="247" t="str">
        <f ca="1">IF(I366="","",IF(COUNTIF($D$12:D366,D366)=1,IF(H366=1,I366*H366,IF(H366="X","X",0)),0))</f>
        <v/>
      </c>
      <c r="K366" s="248" t="str">
        <f t="shared" ca="1" si="46"/>
        <v/>
      </c>
      <c r="L366" s="239"/>
      <c r="M366" s="215"/>
      <c r="N366" s="215"/>
      <c r="O366" s="216"/>
      <c r="P366" s="215"/>
      <c r="Q366" s="217"/>
      <c r="R366" s="215"/>
      <c r="S366" s="215"/>
      <c r="T366" s="215"/>
      <c r="U366" s="215"/>
      <c r="V366" s="217"/>
      <c r="W366" s="217"/>
      <c r="X366" s="217"/>
      <c r="Y366" s="217"/>
      <c r="Z366" s="217"/>
      <c r="AA366" s="215"/>
      <c r="AB366" s="215"/>
      <c r="AC366" s="215"/>
      <c r="AD366" s="217">
        <v>1.983214</v>
      </c>
      <c r="AE366" s="217">
        <v>127</v>
      </c>
      <c r="AF366" s="217">
        <v>1.14E-2</v>
      </c>
      <c r="AG366" s="217">
        <v>-99</v>
      </c>
      <c r="AH366" s="215" t="s">
        <v>224</v>
      </c>
      <c r="AI366" s="215" t="s">
        <v>449</v>
      </c>
      <c r="AJ366" s="215" t="s">
        <v>441</v>
      </c>
      <c r="AK366" s="215" t="s">
        <v>531</v>
      </c>
      <c r="AL366" s="215" t="s">
        <v>462</v>
      </c>
      <c r="AM366" s="217" t="b">
        <v>0</v>
      </c>
      <c r="AN366" s="217" t="b">
        <v>0</v>
      </c>
      <c r="AO366" s="215" t="s">
        <v>442</v>
      </c>
      <c r="AP366" s="215" t="s">
        <v>531</v>
      </c>
      <c r="AQ366" s="217">
        <v>72.148780000000002</v>
      </c>
      <c r="AR366" s="217" t="b">
        <v>0</v>
      </c>
      <c r="AS366" s="215" t="s">
        <v>534</v>
      </c>
    </row>
    <row r="367" spans="1:45" s="218" customFormat="1" x14ac:dyDescent="0.25">
      <c r="A367" s="245" t="str">
        <f t="shared" si="47"/>
        <v/>
      </c>
      <c r="B367" s="246" t="str">
        <f t="shared" si="40"/>
        <v/>
      </c>
      <c r="C367" s="246" t="str">
        <f>IF(B367="","",VLOOKUP(D367,'Species Data'!B:E,4,FALSE))</f>
        <v/>
      </c>
      <c r="D367" s="246" t="str">
        <f t="shared" ca="1" si="41"/>
        <v/>
      </c>
      <c r="E367" s="246" t="str">
        <f t="shared" ca="1" si="42"/>
        <v/>
      </c>
      <c r="F367" s="246" t="str">
        <f t="shared" ca="1" si="43"/>
        <v/>
      </c>
      <c r="G367" s="246" t="str">
        <f t="shared" ca="1" si="44"/>
        <v/>
      </c>
      <c r="H367" s="204" t="str">
        <f ca="1">IF(G367="","",IF(VLOOKUP(Separator!F367,'Species Data'!D:F,3,FALSE)=0,"X",IF(G367&lt;44.1,2,1)))</f>
        <v/>
      </c>
      <c r="I367" s="204" t="str">
        <f t="shared" ca="1" si="45"/>
        <v/>
      </c>
      <c r="J367" s="247" t="str">
        <f ca="1">IF(I367="","",IF(COUNTIF($D$12:D367,D367)=1,IF(H367=1,I367*H367,IF(H367="X","X",0)),0))</f>
        <v/>
      </c>
      <c r="K367" s="248" t="str">
        <f t="shared" ca="1" si="46"/>
        <v/>
      </c>
      <c r="L367" s="239"/>
      <c r="M367" s="215"/>
      <c r="N367" s="215"/>
      <c r="O367" s="216"/>
      <c r="P367" s="215"/>
      <c r="Q367" s="217"/>
      <c r="R367" s="215"/>
      <c r="S367" s="215"/>
      <c r="T367" s="215"/>
      <c r="U367" s="215"/>
      <c r="V367" s="217"/>
      <c r="W367" s="217"/>
      <c r="X367" s="217"/>
      <c r="Y367" s="217"/>
      <c r="Z367" s="217"/>
      <c r="AA367" s="215"/>
      <c r="AB367" s="215"/>
      <c r="AC367" s="215"/>
      <c r="AD367" s="217">
        <v>1.983214</v>
      </c>
      <c r="AE367" s="217">
        <v>130</v>
      </c>
      <c r="AF367" s="217">
        <v>1.55E-2</v>
      </c>
      <c r="AG367" s="217">
        <v>-99</v>
      </c>
      <c r="AH367" s="215" t="s">
        <v>224</v>
      </c>
      <c r="AI367" s="215" t="s">
        <v>449</v>
      </c>
      <c r="AJ367" s="215" t="s">
        <v>404</v>
      </c>
      <c r="AK367" s="215" t="s">
        <v>531</v>
      </c>
      <c r="AL367" s="215" t="s">
        <v>405</v>
      </c>
      <c r="AM367" s="217" t="b">
        <v>1</v>
      </c>
      <c r="AN367" s="217" t="b">
        <v>0</v>
      </c>
      <c r="AO367" s="215" t="s">
        <v>406</v>
      </c>
      <c r="AP367" s="215" t="s">
        <v>407</v>
      </c>
      <c r="AQ367" s="217">
        <v>114.22852</v>
      </c>
      <c r="AR367" s="217" t="b">
        <v>0</v>
      </c>
      <c r="AS367" s="215" t="s">
        <v>534</v>
      </c>
    </row>
    <row r="368" spans="1:45" s="218" customFormat="1" x14ac:dyDescent="0.25">
      <c r="A368" s="245" t="str">
        <f t="shared" si="47"/>
        <v/>
      </c>
      <c r="B368" s="246" t="str">
        <f t="shared" si="40"/>
        <v/>
      </c>
      <c r="C368" s="246" t="str">
        <f>IF(B368="","",VLOOKUP(D368,'Species Data'!B:E,4,FALSE))</f>
        <v/>
      </c>
      <c r="D368" s="246" t="str">
        <f t="shared" ca="1" si="41"/>
        <v/>
      </c>
      <c r="E368" s="246" t="str">
        <f t="shared" ca="1" si="42"/>
        <v/>
      </c>
      <c r="F368" s="246" t="str">
        <f t="shared" ca="1" si="43"/>
        <v/>
      </c>
      <c r="G368" s="246" t="str">
        <f t="shared" ca="1" si="44"/>
        <v/>
      </c>
      <c r="H368" s="204" t="str">
        <f ca="1">IF(G368="","",IF(VLOOKUP(Separator!F368,'Species Data'!D:F,3,FALSE)=0,"X",IF(G368&lt;44.1,2,1)))</f>
        <v/>
      </c>
      <c r="I368" s="204" t="str">
        <f t="shared" ca="1" si="45"/>
        <v/>
      </c>
      <c r="J368" s="247" t="str">
        <f ca="1">IF(I368="","",IF(COUNTIF($D$12:D368,D368)=1,IF(H368=1,I368*H368,IF(H368="X","X",0)),0))</f>
        <v/>
      </c>
      <c r="K368" s="248" t="str">
        <f t="shared" ca="1" si="46"/>
        <v/>
      </c>
      <c r="L368" s="239"/>
      <c r="M368" s="215"/>
      <c r="N368" s="215"/>
      <c r="O368" s="216"/>
      <c r="P368" s="215"/>
      <c r="Q368" s="217"/>
      <c r="R368" s="215"/>
      <c r="S368" s="215"/>
      <c r="T368" s="215"/>
      <c r="U368" s="215"/>
      <c r="V368" s="217"/>
      <c r="W368" s="217"/>
      <c r="X368" s="217"/>
      <c r="Y368" s="217"/>
      <c r="Z368" s="217"/>
      <c r="AA368" s="215"/>
      <c r="AB368" s="215"/>
      <c r="AC368" s="215"/>
      <c r="AD368" s="217">
        <v>1.983214</v>
      </c>
      <c r="AE368" s="217">
        <v>138</v>
      </c>
      <c r="AF368" s="217">
        <v>4.53E-2</v>
      </c>
      <c r="AG368" s="217">
        <v>-99</v>
      </c>
      <c r="AH368" s="215" t="s">
        <v>224</v>
      </c>
      <c r="AI368" s="215" t="s">
        <v>449</v>
      </c>
      <c r="AJ368" s="215" t="s">
        <v>443</v>
      </c>
      <c r="AK368" s="215" t="s">
        <v>531</v>
      </c>
      <c r="AL368" s="215" t="s">
        <v>463</v>
      </c>
      <c r="AM368" s="217" t="b">
        <v>0</v>
      </c>
      <c r="AN368" s="217" t="b">
        <v>0</v>
      </c>
      <c r="AO368" s="215" t="s">
        <v>444</v>
      </c>
      <c r="AP368" s="215" t="s">
        <v>531</v>
      </c>
      <c r="AQ368" s="217">
        <v>114.22852</v>
      </c>
      <c r="AR368" s="217" t="b">
        <v>0</v>
      </c>
      <c r="AS368" s="215" t="s">
        <v>534</v>
      </c>
    </row>
    <row r="369" spans="1:45" s="218" customFormat="1" x14ac:dyDescent="0.25">
      <c r="A369" s="245" t="str">
        <f t="shared" si="47"/>
        <v/>
      </c>
      <c r="B369" s="246" t="str">
        <f t="shared" si="40"/>
        <v/>
      </c>
      <c r="C369" s="246" t="str">
        <f>IF(B369="","",VLOOKUP(D369,'Species Data'!B:E,4,FALSE))</f>
        <v/>
      </c>
      <c r="D369" s="246" t="str">
        <f t="shared" ca="1" si="41"/>
        <v/>
      </c>
      <c r="E369" s="246" t="str">
        <f t="shared" ca="1" si="42"/>
        <v/>
      </c>
      <c r="F369" s="246" t="str">
        <f t="shared" ca="1" si="43"/>
        <v/>
      </c>
      <c r="G369" s="246" t="str">
        <f t="shared" ca="1" si="44"/>
        <v/>
      </c>
      <c r="H369" s="204" t="str">
        <f ca="1">IF(G369="","",IF(VLOOKUP(Separator!F369,'Species Data'!D:F,3,FALSE)=0,"X",IF(G369&lt;44.1,2,1)))</f>
        <v/>
      </c>
      <c r="I369" s="204" t="str">
        <f t="shared" ca="1" si="45"/>
        <v/>
      </c>
      <c r="J369" s="247" t="str">
        <f ca="1">IF(I369="","",IF(COUNTIF($D$12:D369,D369)=1,IF(H369=1,I369*H369,IF(H369="X","X",0)),0))</f>
        <v/>
      </c>
      <c r="K369" s="248" t="str">
        <f t="shared" ca="1" si="46"/>
        <v/>
      </c>
      <c r="L369" s="239"/>
      <c r="M369" s="215"/>
      <c r="N369" s="215"/>
      <c r="O369" s="216"/>
      <c r="P369" s="215"/>
      <c r="Q369" s="217"/>
      <c r="R369" s="215"/>
      <c r="S369" s="215"/>
      <c r="T369" s="215"/>
      <c r="U369" s="215"/>
      <c r="V369" s="217"/>
      <c r="W369" s="217"/>
      <c r="X369" s="217"/>
      <c r="Y369" s="217"/>
      <c r="Z369" s="217"/>
      <c r="AA369" s="215"/>
      <c r="AB369" s="215"/>
      <c r="AC369" s="215"/>
      <c r="AD369" s="217">
        <v>1.983214</v>
      </c>
      <c r="AE369" s="217">
        <v>140</v>
      </c>
      <c r="AF369" s="217">
        <v>0.23019999999999999</v>
      </c>
      <c r="AG369" s="217">
        <v>-99</v>
      </c>
      <c r="AH369" s="215" t="s">
        <v>224</v>
      </c>
      <c r="AI369" s="215" t="s">
        <v>449</v>
      </c>
      <c r="AJ369" s="215" t="s">
        <v>307</v>
      </c>
      <c r="AK369" s="215" t="s">
        <v>531</v>
      </c>
      <c r="AL369" s="215" t="s">
        <v>385</v>
      </c>
      <c r="AM369" s="217" t="b">
        <v>1</v>
      </c>
      <c r="AN369" s="217" t="b">
        <v>0</v>
      </c>
      <c r="AO369" s="215" t="s">
        <v>308</v>
      </c>
      <c r="AP369" s="215" t="s">
        <v>309</v>
      </c>
      <c r="AQ369" s="217">
        <v>100.20194000000001</v>
      </c>
      <c r="AR369" s="217" t="b">
        <v>0</v>
      </c>
      <c r="AS369" s="215" t="s">
        <v>534</v>
      </c>
    </row>
    <row r="370" spans="1:45" s="218" customFormat="1" x14ac:dyDescent="0.25">
      <c r="A370" s="245" t="str">
        <f t="shared" si="47"/>
        <v/>
      </c>
      <c r="B370" s="246" t="str">
        <f t="shared" si="40"/>
        <v/>
      </c>
      <c r="C370" s="246" t="str">
        <f>IF(B370="","",VLOOKUP(D370,'Species Data'!B:E,4,FALSE))</f>
        <v/>
      </c>
      <c r="D370" s="246" t="str">
        <f t="shared" ca="1" si="41"/>
        <v/>
      </c>
      <c r="E370" s="246" t="str">
        <f t="shared" ca="1" si="42"/>
        <v/>
      </c>
      <c r="F370" s="246" t="str">
        <f t="shared" ca="1" si="43"/>
        <v/>
      </c>
      <c r="G370" s="246" t="str">
        <f t="shared" ca="1" si="44"/>
        <v/>
      </c>
      <c r="H370" s="204" t="str">
        <f ca="1">IF(G370="","",IF(VLOOKUP(Separator!F370,'Species Data'!D:F,3,FALSE)=0,"X",IF(G370&lt;44.1,2,1)))</f>
        <v/>
      </c>
      <c r="I370" s="204" t="str">
        <f t="shared" ca="1" si="45"/>
        <v/>
      </c>
      <c r="J370" s="247" t="str">
        <f ca="1">IF(I370="","",IF(COUNTIF($D$12:D370,D370)=1,IF(H370=1,I370*H370,IF(H370="X","X",0)),0))</f>
        <v/>
      </c>
      <c r="K370" s="248" t="str">
        <f t="shared" ca="1" si="46"/>
        <v/>
      </c>
      <c r="L370" s="239"/>
      <c r="M370" s="215"/>
      <c r="N370" s="215"/>
      <c r="O370" s="216"/>
      <c r="P370" s="215"/>
      <c r="Q370" s="217"/>
      <c r="R370" s="215"/>
      <c r="S370" s="215"/>
      <c r="T370" s="215"/>
      <c r="U370" s="215"/>
      <c r="V370" s="217"/>
      <c r="W370" s="217"/>
      <c r="X370" s="217"/>
      <c r="Y370" s="217"/>
      <c r="Z370" s="217"/>
      <c r="AA370" s="215"/>
      <c r="AB370" s="215"/>
      <c r="AC370" s="215"/>
      <c r="AD370" s="217">
        <v>1.983214</v>
      </c>
      <c r="AE370" s="217">
        <v>152</v>
      </c>
      <c r="AF370" s="217">
        <v>3.7499999999999999E-2</v>
      </c>
      <c r="AG370" s="217">
        <v>-99</v>
      </c>
      <c r="AH370" s="215" t="s">
        <v>224</v>
      </c>
      <c r="AI370" s="215" t="s">
        <v>449</v>
      </c>
      <c r="AJ370" s="215" t="s">
        <v>310</v>
      </c>
      <c r="AK370" s="215" t="s">
        <v>531</v>
      </c>
      <c r="AL370" s="215" t="s">
        <v>386</v>
      </c>
      <c r="AM370" s="217" t="b">
        <v>1</v>
      </c>
      <c r="AN370" s="217" t="b">
        <v>0</v>
      </c>
      <c r="AO370" s="215" t="s">
        <v>311</v>
      </c>
      <c r="AP370" s="215" t="s">
        <v>312</v>
      </c>
      <c r="AQ370" s="217">
        <v>100.20194000000001</v>
      </c>
      <c r="AR370" s="217" t="b">
        <v>0</v>
      </c>
      <c r="AS370" s="215" t="s">
        <v>534</v>
      </c>
    </row>
    <row r="371" spans="1:45" s="218" customFormat="1" x14ac:dyDescent="0.25">
      <c r="A371" s="245" t="str">
        <f t="shared" si="47"/>
        <v/>
      </c>
      <c r="B371" s="246" t="str">
        <f t="shared" si="40"/>
        <v/>
      </c>
      <c r="C371" s="246" t="str">
        <f>IF(B371="","",VLOOKUP(D371,'Species Data'!B:E,4,FALSE))</f>
        <v/>
      </c>
      <c r="D371" s="246" t="str">
        <f t="shared" ca="1" si="41"/>
        <v/>
      </c>
      <c r="E371" s="246" t="str">
        <f t="shared" ca="1" si="42"/>
        <v/>
      </c>
      <c r="F371" s="246" t="str">
        <f t="shared" ca="1" si="43"/>
        <v/>
      </c>
      <c r="G371" s="246" t="str">
        <f t="shared" ca="1" si="44"/>
        <v/>
      </c>
      <c r="H371" s="204" t="str">
        <f ca="1">IF(G371="","",IF(VLOOKUP(Separator!F371,'Species Data'!D:F,3,FALSE)=0,"X",IF(G371&lt;44.1,2,1)))</f>
        <v/>
      </c>
      <c r="I371" s="204" t="str">
        <f t="shared" ca="1" si="45"/>
        <v/>
      </c>
      <c r="J371" s="247" t="str">
        <f ca="1">IF(I371="","",IF(COUNTIF($D$12:D371,D371)=1,IF(H371=1,I371*H371,IF(H371="X","X",0)),0))</f>
        <v/>
      </c>
      <c r="K371" s="248" t="str">
        <f t="shared" ca="1" si="46"/>
        <v/>
      </c>
      <c r="L371" s="239"/>
      <c r="M371" s="215"/>
      <c r="N371" s="215"/>
      <c r="O371" s="216"/>
      <c r="P371" s="215"/>
      <c r="Q371" s="217"/>
      <c r="R371" s="215"/>
      <c r="S371" s="215"/>
      <c r="T371" s="215"/>
      <c r="U371" s="215"/>
      <c r="V371" s="217"/>
      <c r="W371" s="217"/>
      <c r="X371" s="217"/>
      <c r="Y371" s="217"/>
      <c r="Z371" s="217"/>
      <c r="AA371" s="215"/>
      <c r="AB371" s="215"/>
      <c r="AC371" s="215"/>
      <c r="AD371" s="217">
        <v>1.983214</v>
      </c>
      <c r="AE371" s="217">
        <v>193</v>
      </c>
      <c r="AF371" s="217">
        <v>0.39679999999999999</v>
      </c>
      <c r="AG371" s="217">
        <v>-99</v>
      </c>
      <c r="AH371" s="215" t="s">
        <v>224</v>
      </c>
      <c r="AI371" s="215" t="s">
        <v>449</v>
      </c>
      <c r="AJ371" s="215" t="s">
        <v>313</v>
      </c>
      <c r="AK371" s="215" t="s">
        <v>531</v>
      </c>
      <c r="AL371" s="215" t="s">
        <v>387</v>
      </c>
      <c r="AM371" s="217" t="b">
        <v>1</v>
      </c>
      <c r="AN371" s="217" t="b">
        <v>0</v>
      </c>
      <c r="AO371" s="215" t="s">
        <v>314</v>
      </c>
      <c r="AP371" s="215" t="s">
        <v>315</v>
      </c>
      <c r="AQ371" s="217">
        <v>114.22852</v>
      </c>
      <c r="AR371" s="217" t="b">
        <v>0</v>
      </c>
      <c r="AS371" s="215" t="s">
        <v>534</v>
      </c>
    </row>
    <row r="372" spans="1:45" s="218" customFormat="1" x14ac:dyDescent="0.25">
      <c r="A372" s="245" t="str">
        <f t="shared" si="47"/>
        <v/>
      </c>
      <c r="B372" s="246" t="str">
        <f t="shared" si="40"/>
        <v/>
      </c>
      <c r="C372" s="246" t="str">
        <f>IF(B372="","",VLOOKUP(D372,'Species Data'!B:E,4,FALSE))</f>
        <v/>
      </c>
      <c r="D372" s="246" t="str">
        <f t="shared" ca="1" si="41"/>
        <v/>
      </c>
      <c r="E372" s="246" t="str">
        <f t="shared" ca="1" si="42"/>
        <v/>
      </c>
      <c r="F372" s="246" t="str">
        <f t="shared" ca="1" si="43"/>
        <v/>
      </c>
      <c r="G372" s="246" t="str">
        <f t="shared" ca="1" si="44"/>
        <v/>
      </c>
      <c r="H372" s="204" t="str">
        <f ca="1">IF(G372="","",IF(VLOOKUP(Separator!F372,'Species Data'!D:F,3,FALSE)=0,"X",IF(G372&lt;44.1,2,1)))</f>
        <v/>
      </c>
      <c r="I372" s="204" t="str">
        <f t="shared" ca="1" si="45"/>
        <v/>
      </c>
      <c r="J372" s="247" t="str">
        <f ca="1">IF(I372="","",IF(COUNTIF($D$12:D372,D372)=1,IF(H372=1,I372*H372,IF(H372="X","X",0)),0))</f>
        <v/>
      </c>
      <c r="K372" s="248" t="str">
        <f t="shared" ca="1" si="46"/>
        <v/>
      </c>
      <c r="L372" s="239"/>
      <c r="M372" s="215"/>
      <c r="N372" s="215"/>
      <c r="O372" s="216"/>
      <c r="P372" s="215"/>
      <c r="Q372" s="217"/>
      <c r="R372" s="215"/>
      <c r="S372" s="215"/>
      <c r="T372" s="215"/>
      <c r="U372" s="215"/>
      <c r="V372" s="217"/>
      <c r="W372" s="217"/>
      <c r="X372" s="217"/>
      <c r="Y372" s="217"/>
      <c r="Z372" s="217"/>
      <c r="AA372" s="215"/>
      <c r="AB372" s="215"/>
      <c r="AC372" s="215"/>
      <c r="AD372" s="217">
        <v>1.983214</v>
      </c>
      <c r="AE372" s="217">
        <v>194</v>
      </c>
      <c r="AF372" s="217">
        <v>0.36180000000000001</v>
      </c>
      <c r="AG372" s="217">
        <v>-99</v>
      </c>
      <c r="AH372" s="215" t="s">
        <v>224</v>
      </c>
      <c r="AI372" s="215" t="s">
        <v>449</v>
      </c>
      <c r="AJ372" s="215" t="s">
        <v>316</v>
      </c>
      <c r="AK372" s="215" t="s">
        <v>531</v>
      </c>
      <c r="AL372" s="215" t="s">
        <v>388</v>
      </c>
      <c r="AM372" s="217" t="b">
        <v>1</v>
      </c>
      <c r="AN372" s="217" t="b">
        <v>0</v>
      </c>
      <c r="AO372" s="215" t="s">
        <v>317</v>
      </c>
      <c r="AP372" s="215" t="s">
        <v>318</v>
      </c>
      <c r="AQ372" s="217">
        <v>100.20194000000001</v>
      </c>
      <c r="AR372" s="217" t="b">
        <v>0</v>
      </c>
      <c r="AS372" s="215" t="s">
        <v>534</v>
      </c>
    </row>
    <row r="373" spans="1:45" s="218" customFormat="1" x14ac:dyDescent="0.25">
      <c r="A373" s="245" t="str">
        <f t="shared" si="47"/>
        <v/>
      </c>
      <c r="B373" s="246" t="str">
        <f t="shared" si="40"/>
        <v/>
      </c>
      <c r="C373" s="246" t="str">
        <f>IF(B373="","",VLOOKUP(D373,'Species Data'!B:E,4,FALSE))</f>
        <v/>
      </c>
      <c r="D373" s="246" t="str">
        <f t="shared" ca="1" si="41"/>
        <v/>
      </c>
      <c r="E373" s="246" t="str">
        <f t="shared" ca="1" si="42"/>
        <v/>
      </c>
      <c r="F373" s="246" t="str">
        <f t="shared" ca="1" si="43"/>
        <v/>
      </c>
      <c r="G373" s="246" t="str">
        <f t="shared" ca="1" si="44"/>
        <v/>
      </c>
      <c r="H373" s="204" t="str">
        <f ca="1">IF(G373="","",IF(VLOOKUP(Separator!F373,'Species Data'!D:F,3,FALSE)=0,"X",IF(G373&lt;44.1,2,1)))</f>
        <v/>
      </c>
      <c r="I373" s="204" t="str">
        <f t="shared" ca="1" si="45"/>
        <v/>
      </c>
      <c r="J373" s="247" t="str">
        <f ca="1">IF(I373="","",IF(COUNTIF($D$12:D373,D373)=1,IF(H373=1,I373*H373,IF(H373="X","X",0)),0))</f>
        <v/>
      </c>
      <c r="K373" s="248" t="str">
        <f t="shared" ca="1" si="46"/>
        <v/>
      </c>
      <c r="L373" s="239"/>
      <c r="M373" s="215"/>
      <c r="N373" s="215"/>
      <c r="O373" s="216"/>
      <c r="P373" s="215"/>
      <c r="Q373" s="217"/>
      <c r="R373" s="215"/>
      <c r="S373" s="215"/>
      <c r="T373" s="215"/>
      <c r="U373" s="215"/>
      <c r="V373" s="217"/>
      <c r="W373" s="217"/>
      <c r="X373" s="217"/>
      <c r="Y373" s="217"/>
      <c r="Z373" s="217"/>
      <c r="AA373" s="215"/>
      <c r="AB373" s="215"/>
      <c r="AC373" s="215"/>
      <c r="AD373" s="217">
        <v>1.983214</v>
      </c>
      <c r="AE373" s="217">
        <v>199</v>
      </c>
      <c r="AF373" s="217">
        <v>1.5350999999999999</v>
      </c>
      <c r="AG373" s="217">
        <v>-99</v>
      </c>
      <c r="AH373" s="215" t="s">
        <v>224</v>
      </c>
      <c r="AI373" s="215" t="s">
        <v>449</v>
      </c>
      <c r="AJ373" s="215" t="s">
        <v>319</v>
      </c>
      <c r="AK373" s="215" t="s">
        <v>531</v>
      </c>
      <c r="AL373" s="215" t="s">
        <v>389</v>
      </c>
      <c r="AM373" s="217" t="b">
        <v>1</v>
      </c>
      <c r="AN373" s="217" t="b">
        <v>0</v>
      </c>
      <c r="AO373" s="215" t="s">
        <v>320</v>
      </c>
      <c r="AP373" s="215" t="s">
        <v>321</v>
      </c>
      <c r="AQ373" s="217">
        <v>86.175359999999998</v>
      </c>
      <c r="AR373" s="217" t="b">
        <v>0</v>
      </c>
      <c r="AS373" s="215" t="s">
        <v>534</v>
      </c>
    </row>
    <row r="374" spans="1:45" s="218" customFormat="1" x14ac:dyDescent="0.25">
      <c r="A374" s="245" t="str">
        <f t="shared" si="47"/>
        <v/>
      </c>
      <c r="B374" s="246" t="str">
        <f t="shared" si="40"/>
        <v/>
      </c>
      <c r="C374" s="246" t="str">
        <f>IF(B374="","",VLOOKUP(D374,'Species Data'!B:E,4,FALSE))</f>
        <v/>
      </c>
      <c r="D374" s="246" t="str">
        <f t="shared" ca="1" si="41"/>
        <v/>
      </c>
      <c r="E374" s="246" t="str">
        <f t="shared" ca="1" si="42"/>
        <v/>
      </c>
      <c r="F374" s="246" t="str">
        <f t="shared" ca="1" si="43"/>
        <v/>
      </c>
      <c r="G374" s="246" t="str">
        <f t="shared" ca="1" si="44"/>
        <v/>
      </c>
      <c r="H374" s="204" t="str">
        <f ca="1">IF(G374="","",IF(VLOOKUP(Separator!F374,'Species Data'!D:F,3,FALSE)=0,"X",IF(G374&lt;44.1,2,1)))</f>
        <v/>
      </c>
      <c r="I374" s="204" t="str">
        <f t="shared" ca="1" si="45"/>
        <v/>
      </c>
      <c r="J374" s="247" t="str">
        <f ca="1">IF(I374="","",IF(COUNTIF($D$12:D374,D374)=1,IF(H374=1,I374*H374,IF(H374="X","X",0)),0))</f>
        <v/>
      </c>
      <c r="K374" s="248" t="str">
        <f t="shared" ca="1" si="46"/>
        <v/>
      </c>
      <c r="L374" s="239"/>
      <c r="M374" s="215"/>
      <c r="N374" s="215"/>
      <c r="O374" s="216"/>
      <c r="P374" s="215"/>
      <c r="Q374" s="217"/>
      <c r="R374" s="215"/>
      <c r="S374" s="215"/>
      <c r="T374" s="215"/>
      <c r="U374" s="215"/>
      <c r="V374" s="217"/>
      <c r="W374" s="217"/>
      <c r="X374" s="217"/>
      <c r="Y374" s="217"/>
      <c r="Z374" s="217"/>
      <c r="AA374" s="215"/>
      <c r="AB374" s="215"/>
      <c r="AC374" s="215"/>
      <c r="AD374" s="217">
        <v>1.983214</v>
      </c>
      <c r="AE374" s="217">
        <v>226</v>
      </c>
      <c r="AF374" s="217">
        <v>0.16489999999999999</v>
      </c>
      <c r="AG374" s="217">
        <v>-99</v>
      </c>
      <c r="AH374" s="215" t="s">
        <v>224</v>
      </c>
      <c r="AI374" s="215" t="s">
        <v>449</v>
      </c>
      <c r="AJ374" s="215" t="s">
        <v>439</v>
      </c>
      <c r="AK374" s="215" t="s">
        <v>531</v>
      </c>
      <c r="AL374" s="215" t="s">
        <v>461</v>
      </c>
      <c r="AM374" s="217" t="b">
        <v>0</v>
      </c>
      <c r="AN374" s="217" t="b">
        <v>0</v>
      </c>
      <c r="AO374" s="215" t="s">
        <v>440</v>
      </c>
      <c r="AP374" s="215" t="s">
        <v>531</v>
      </c>
      <c r="AQ374" s="217">
        <v>114.22852</v>
      </c>
      <c r="AR374" s="217" t="b">
        <v>0</v>
      </c>
      <c r="AS374" s="215" t="s">
        <v>534</v>
      </c>
    </row>
    <row r="375" spans="1:45" s="218" customFormat="1" x14ac:dyDescent="0.25">
      <c r="A375" s="245" t="str">
        <f t="shared" si="47"/>
        <v/>
      </c>
      <c r="B375" s="246" t="str">
        <f t="shared" si="40"/>
        <v/>
      </c>
      <c r="C375" s="246" t="str">
        <f>IF(B375="","",VLOOKUP(D375,'Species Data'!B:E,4,FALSE))</f>
        <v/>
      </c>
      <c r="D375" s="246" t="str">
        <f t="shared" ca="1" si="41"/>
        <v/>
      </c>
      <c r="E375" s="246" t="str">
        <f t="shared" ca="1" si="42"/>
        <v/>
      </c>
      <c r="F375" s="246" t="str">
        <f t="shared" ca="1" si="43"/>
        <v/>
      </c>
      <c r="G375" s="246" t="str">
        <f t="shared" ca="1" si="44"/>
        <v/>
      </c>
      <c r="H375" s="204" t="str">
        <f ca="1">IF(G375="","",IF(VLOOKUP(Separator!F375,'Species Data'!D:F,3,FALSE)=0,"X",IF(G375&lt;44.1,2,1)))</f>
        <v/>
      </c>
      <c r="I375" s="204" t="str">
        <f t="shared" ca="1" si="45"/>
        <v/>
      </c>
      <c r="J375" s="247" t="str">
        <f ca="1">IF(I375="","",IF(COUNTIF($D$12:D375,D375)=1,IF(H375=1,I375*H375,IF(H375="X","X",0)),0))</f>
        <v/>
      </c>
      <c r="K375" s="248" t="str">
        <f t="shared" ca="1" si="46"/>
        <v/>
      </c>
      <c r="L375" s="239"/>
      <c r="M375" s="215"/>
      <c r="N375" s="215"/>
      <c r="O375" s="216"/>
      <c r="P375" s="215"/>
      <c r="Q375" s="217"/>
      <c r="R375" s="215"/>
      <c r="S375" s="215"/>
      <c r="T375" s="215"/>
      <c r="U375" s="215"/>
      <c r="V375" s="217"/>
      <c r="W375" s="217"/>
      <c r="X375" s="217"/>
      <c r="Y375" s="217"/>
      <c r="Z375" s="217"/>
      <c r="AA375" s="215"/>
      <c r="AB375" s="215"/>
      <c r="AC375" s="215"/>
      <c r="AD375" s="217">
        <v>1.983214</v>
      </c>
      <c r="AE375" s="217">
        <v>245</v>
      </c>
      <c r="AF375" s="217">
        <v>0.60609999999999997</v>
      </c>
      <c r="AG375" s="217">
        <v>-99</v>
      </c>
      <c r="AH375" s="215" t="s">
        <v>224</v>
      </c>
      <c r="AI375" s="215" t="s">
        <v>449</v>
      </c>
      <c r="AJ375" s="215" t="s">
        <v>325</v>
      </c>
      <c r="AK375" s="215" t="s">
        <v>531</v>
      </c>
      <c r="AL375" s="215" t="s">
        <v>390</v>
      </c>
      <c r="AM375" s="217" t="b">
        <v>1</v>
      </c>
      <c r="AN375" s="217" t="b">
        <v>0</v>
      </c>
      <c r="AO375" s="215" t="s">
        <v>326</v>
      </c>
      <c r="AP375" s="215" t="s">
        <v>327</v>
      </c>
      <c r="AQ375" s="217">
        <v>100.20194000000001</v>
      </c>
      <c r="AR375" s="217" t="b">
        <v>0</v>
      </c>
      <c r="AS375" s="215" t="s">
        <v>534</v>
      </c>
    </row>
    <row r="376" spans="1:45" s="218" customFormat="1" x14ac:dyDescent="0.25">
      <c r="A376" s="245" t="str">
        <f t="shared" si="47"/>
        <v/>
      </c>
      <c r="B376" s="246" t="str">
        <f t="shared" si="40"/>
        <v/>
      </c>
      <c r="C376" s="246" t="str">
        <f>IF(B376="","",VLOOKUP(D376,'Species Data'!B:E,4,FALSE))</f>
        <v/>
      </c>
      <c r="D376" s="246" t="str">
        <f t="shared" ca="1" si="41"/>
        <v/>
      </c>
      <c r="E376" s="246" t="str">
        <f t="shared" ca="1" si="42"/>
        <v/>
      </c>
      <c r="F376" s="246" t="str">
        <f t="shared" ca="1" si="43"/>
        <v/>
      </c>
      <c r="G376" s="246" t="str">
        <f t="shared" ca="1" si="44"/>
        <v/>
      </c>
      <c r="H376" s="204" t="str">
        <f ca="1">IF(G376="","",IF(VLOOKUP(Separator!F376,'Species Data'!D:F,3,FALSE)=0,"X",IF(G376&lt;44.1,2,1)))</f>
        <v/>
      </c>
      <c r="I376" s="204" t="str">
        <f t="shared" ca="1" si="45"/>
        <v/>
      </c>
      <c r="J376" s="247" t="str">
        <f ca="1">IF(I376="","",IF(COUNTIF($D$12:D376,D376)=1,IF(H376=1,I376*H376,IF(H376="X","X",0)),0))</f>
        <v/>
      </c>
      <c r="K376" s="248" t="str">
        <f t="shared" ca="1" si="46"/>
        <v/>
      </c>
      <c r="L376" s="239"/>
      <c r="M376" s="215"/>
      <c r="N376" s="215"/>
      <c r="O376" s="216"/>
      <c r="P376" s="215"/>
      <c r="Q376" s="217"/>
      <c r="R376" s="215"/>
      <c r="S376" s="215"/>
      <c r="T376" s="215"/>
      <c r="U376" s="215"/>
      <c r="V376" s="217"/>
      <c r="W376" s="217"/>
      <c r="X376" s="217"/>
      <c r="Y376" s="217"/>
      <c r="Z376" s="217"/>
      <c r="AA376" s="215"/>
      <c r="AB376" s="215"/>
      <c r="AC376" s="215"/>
      <c r="AD376" s="217">
        <v>1.983214</v>
      </c>
      <c r="AE376" s="217">
        <v>248</v>
      </c>
      <c r="AF376" s="217">
        <v>1.1323000000000001</v>
      </c>
      <c r="AG376" s="217">
        <v>-99</v>
      </c>
      <c r="AH376" s="215" t="s">
        <v>224</v>
      </c>
      <c r="AI376" s="215" t="s">
        <v>449</v>
      </c>
      <c r="AJ376" s="215" t="s">
        <v>328</v>
      </c>
      <c r="AK376" s="215" t="s">
        <v>531</v>
      </c>
      <c r="AL376" s="215" t="s">
        <v>391</v>
      </c>
      <c r="AM376" s="217" t="b">
        <v>1</v>
      </c>
      <c r="AN376" s="217" t="b">
        <v>0</v>
      </c>
      <c r="AO376" s="215" t="s">
        <v>329</v>
      </c>
      <c r="AP376" s="215" t="s">
        <v>330</v>
      </c>
      <c r="AQ376" s="217">
        <v>86.175359999999998</v>
      </c>
      <c r="AR376" s="217" t="b">
        <v>0</v>
      </c>
      <c r="AS376" s="215" t="s">
        <v>534</v>
      </c>
    </row>
    <row r="377" spans="1:45" s="218" customFormat="1" x14ac:dyDescent="0.25">
      <c r="A377" s="245" t="str">
        <f t="shared" si="47"/>
        <v/>
      </c>
      <c r="B377" s="246" t="str">
        <f t="shared" si="40"/>
        <v/>
      </c>
      <c r="C377" s="246" t="str">
        <f>IF(B377="","",VLOOKUP(D377,'Species Data'!B:E,4,FALSE))</f>
        <v/>
      </c>
      <c r="D377" s="246" t="str">
        <f t="shared" ca="1" si="41"/>
        <v/>
      </c>
      <c r="E377" s="246" t="str">
        <f t="shared" ca="1" si="42"/>
        <v/>
      </c>
      <c r="F377" s="246" t="str">
        <f t="shared" ca="1" si="43"/>
        <v/>
      </c>
      <c r="G377" s="246" t="str">
        <f t="shared" ca="1" si="44"/>
        <v/>
      </c>
      <c r="H377" s="204" t="str">
        <f ca="1">IF(G377="","",IF(VLOOKUP(Separator!F377,'Species Data'!D:F,3,FALSE)=0,"X",IF(G377&lt;44.1,2,1)))</f>
        <v/>
      </c>
      <c r="I377" s="204" t="str">
        <f t="shared" ca="1" si="45"/>
        <v/>
      </c>
      <c r="J377" s="247" t="str">
        <f ca="1">IF(I377="","",IF(COUNTIF($D$12:D377,D377)=1,IF(H377=1,I377*H377,IF(H377="X","X",0)),0))</f>
        <v/>
      </c>
      <c r="K377" s="248" t="str">
        <f t="shared" ca="1" si="46"/>
        <v/>
      </c>
      <c r="L377" s="239"/>
      <c r="M377" s="215"/>
      <c r="N377" s="215"/>
      <c r="O377" s="216"/>
      <c r="P377" s="215"/>
      <c r="Q377" s="217"/>
      <c r="R377" s="215"/>
      <c r="S377" s="215"/>
      <c r="T377" s="215"/>
      <c r="U377" s="215"/>
      <c r="V377" s="217"/>
      <c r="W377" s="217"/>
      <c r="X377" s="217"/>
      <c r="Y377" s="217"/>
      <c r="Z377" s="217"/>
      <c r="AA377" s="215"/>
      <c r="AB377" s="215"/>
      <c r="AC377" s="215"/>
      <c r="AD377" s="217">
        <v>1.983214</v>
      </c>
      <c r="AE377" s="217">
        <v>302</v>
      </c>
      <c r="AF377" s="217">
        <v>0.25090000000000001</v>
      </c>
      <c r="AG377" s="217">
        <v>-99</v>
      </c>
      <c r="AH377" s="215" t="s">
        <v>224</v>
      </c>
      <c r="AI377" s="215" t="s">
        <v>449</v>
      </c>
      <c r="AJ377" s="215" t="s">
        <v>262</v>
      </c>
      <c r="AK377" s="215" t="s">
        <v>531</v>
      </c>
      <c r="AL377" s="215" t="s">
        <v>373</v>
      </c>
      <c r="AM377" s="217" t="b">
        <v>1</v>
      </c>
      <c r="AN377" s="217" t="b">
        <v>1</v>
      </c>
      <c r="AO377" s="215" t="s">
        <v>263</v>
      </c>
      <c r="AP377" s="215" t="s">
        <v>264</v>
      </c>
      <c r="AQ377" s="217">
        <v>78.111840000000001</v>
      </c>
      <c r="AR377" s="217" t="b">
        <v>0</v>
      </c>
      <c r="AS377" s="215" t="s">
        <v>534</v>
      </c>
    </row>
    <row r="378" spans="1:45" s="218" customFormat="1" x14ac:dyDescent="0.25">
      <c r="A378" s="245" t="str">
        <f t="shared" si="47"/>
        <v/>
      </c>
      <c r="B378" s="246" t="str">
        <f t="shared" si="40"/>
        <v/>
      </c>
      <c r="C378" s="246" t="str">
        <f>IF(B378="","",VLOOKUP(D378,'Species Data'!B:E,4,FALSE))</f>
        <v/>
      </c>
      <c r="D378" s="246" t="str">
        <f t="shared" ca="1" si="41"/>
        <v/>
      </c>
      <c r="E378" s="246" t="str">
        <f t="shared" ca="1" si="42"/>
        <v/>
      </c>
      <c r="F378" s="246" t="str">
        <f t="shared" ca="1" si="43"/>
        <v/>
      </c>
      <c r="G378" s="246" t="str">
        <f t="shared" ca="1" si="44"/>
        <v/>
      </c>
      <c r="H378" s="204" t="str">
        <f ca="1">IF(G378="","",IF(VLOOKUP(Separator!F378,'Species Data'!D:F,3,FALSE)=0,"X",IF(G378&lt;44.1,2,1)))</f>
        <v/>
      </c>
      <c r="I378" s="204" t="str">
        <f t="shared" ca="1" si="45"/>
        <v/>
      </c>
      <c r="J378" s="247" t="str">
        <f ca="1">IF(I378="","",IF(COUNTIF($D$12:D378,D378)=1,IF(H378=1,I378*H378,IF(H378="X","X",0)),0))</f>
        <v/>
      </c>
      <c r="K378" s="248" t="str">
        <f t="shared" ca="1" si="46"/>
        <v/>
      </c>
      <c r="L378" s="239"/>
      <c r="M378" s="215"/>
      <c r="N378" s="215"/>
      <c r="O378" s="216"/>
      <c r="P378" s="215"/>
      <c r="Q378" s="217"/>
      <c r="R378" s="215"/>
      <c r="S378" s="215"/>
      <c r="T378" s="215"/>
      <c r="U378" s="215"/>
      <c r="V378" s="217"/>
      <c r="W378" s="217"/>
      <c r="X378" s="217"/>
      <c r="Y378" s="217"/>
      <c r="Z378" s="217"/>
      <c r="AA378" s="215"/>
      <c r="AB378" s="215"/>
      <c r="AC378" s="215"/>
      <c r="AD378" s="217">
        <v>1.983214</v>
      </c>
      <c r="AE378" s="217">
        <v>390</v>
      </c>
      <c r="AF378" s="217">
        <v>0.2525</v>
      </c>
      <c r="AG378" s="217">
        <v>-99</v>
      </c>
      <c r="AH378" s="215" t="s">
        <v>224</v>
      </c>
      <c r="AI378" s="215" t="s">
        <v>449</v>
      </c>
      <c r="AJ378" s="215" t="s">
        <v>334</v>
      </c>
      <c r="AK378" s="215" t="s">
        <v>531</v>
      </c>
      <c r="AL378" s="215" t="s">
        <v>393</v>
      </c>
      <c r="AM378" s="217" t="b">
        <v>1</v>
      </c>
      <c r="AN378" s="217" t="b">
        <v>0</v>
      </c>
      <c r="AO378" s="215" t="s">
        <v>335</v>
      </c>
      <c r="AP378" s="215" t="s">
        <v>336</v>
      </c>
      <c r="AQ378" s="217">
        <v>70.132900000000006</v>
      </c>
      <c r="AR378" s="217" t="b">
        <v>0</v>
      </c>
      <c r="AS378" s="215" t="s">
        <v>534</v>
      </c>
    </row>
    <row r="379" spans="1:45" s="218" customFormat="1" x14ac:dyDescent="0.25">
      <c r="A379" s="245" t="str">
        <f t="shared" si="47"/>
        <v/>
      </c>
      <c r="B379" s="246" t="str">
        <f t="shared" si="40"/>
        <v/>
      </c>
      <c r="C379" s="246" t="str">
        <f>IF(B379="","",VLOOKUP(D379,'Species Data'!B:E,4,FALSE))</f>
        <v/>
      </c>
      <c r="D379" s="246" t="str">
        <f t="shared" ca="1" si="41"/>
        <v/>
      </c>
      <c r="E379" s="246" t="str">
        <f t="shared" ca="1" si="42"/>
        <v/>
      </c>
      <c r="F379" s="246" t="str">
        <f t="shared" ca="1" si="43"/>
        <v/>
      </c>
      <c r="G379" s="246" t="str">
        <f t="shared" ca="1" si="44"/>
        <v/>
      </c>
      <c r="H379" s="204" t="str">
        <f ca="1">IF(G379="","",IF(VLOOKUP(Separator!F379,'Species Data'!D:F,3,FALSE)=0,"X",IF(G379&lt;44.1,2,1)))</f>
        <v/>
      </c>
      <c r="I379" s="204" t="str">
        <f t="shared" ca="1" si="45"/>
        <v/>
      </c>
      <c r="J379" s="247" t="str">
        <f ca="1">IF(I379="","",IF(COUNTIF($D$12:D379,D379)=1,IF(H379=1,I379*H379,IF(H379="X","X",0)),0))</f>
        <v/>
      </c>
      <c r="K379" s="248" t="str">
        <f t="shared" ca="1" si="46"/>
        <v/>
      </c>
      <c r="L379" s="239"/>
      <c r="M379" s="215"/>
      <c r="N379" s="215"/>
      <c r="O379" s="216"/>
      <c r="P379" s="215"/>
      <c r="Q379" s="217"/>
      <c r="R379" s="215"/>
      <c r="S379" s="215"/>
      <c r="T379" s="215"/>
      <c r="U379" s="215"/>
      <c r="V379" s="217"/>
      <c r="W379" s="217"/>
      <c r="X379" s="217"/>
      <c r="Y379" s="217"/>
      <c r="Z379" s="217"/>
      <c r="AA379" s="215"/>
      <c r="AB379" s="215"/>
      <c r="AC379" s="215"/>
      <c r="AD379" s="217">
        <v>1.983214</v>
      </c>
      <c r="AE379" s="217">
        <v>438</v>
      </c>
      <c r="AF379" s="217">
        <v>8.8839000000000006</v>
      </c>
      <c r="AG379" s="217">
        <v>-99</v>
      </c>
      <c r="AH379" s="215" t="s">
        <v>224</v>
      </c>
      <c r="AI379" s="215" t="s">
        <v>449</v>
      </c>
      <c r="AJ379" s="215" t="s">
        <v>265</v>
      </c>
      <c r="AK379" s="215" t="s">
        <v>531</v>
      </c>
      <c r="AL379" s="215" t="s">
        <v>374</v>
      </c>
      <c r="AM379" s="217" t="b">
        <v>1</v>
      </c>
      <c r="AN379" s="217" t="b">
        <v>0</v>
      </c>
      <c r="AO379" s="215" t="s">
        <v>266</v>
      </c>
      <c r="AP379" s="215" t="s">
        <v>267</v>
      </c>
      <c r="AQ379" s="217">
        <v>30.069040000000005</v>
      </c>
      <c r="AR379" s="217" t="b">
        <v>1</v>
      </c>
      <c r="AS379" s="215" t="s">
        <v>534</v>
      </c>
    </row>
    <row r="380" spans="1:45" s="218" customFormat="1" x14ac:dyDescent="0.25">
      <c r="A380" s="245" t="str">
        <f t="shared" si="47"/>
        <v/>
      </c>
      <c r="B380" s="246" t="str">
        <f t="shared" si="40"/>
        <v/>
      </c>
      <c r="C380" s="246" t="str">
        <f>IF(B380="","",VLOOKUP(D380,'Species Data'!B:E,4,FALSE))</f>
        <v/>
      </c>
      <c r="D380" s="246" t="str">
        <f t="shared" ca="1" si="41"/>
        <v/>
      </c>
      <c r="E380" s="246" t="str">
        <f t="shared" ca="1" si="42"/>
        <v/>
      </c>
      <c r="F380" s="246" t="str">
        <f t="shared" ca="1" si="43"/>
        <v/>
      </c>
      <c r="G380" s="246" t="str">
        <f t="shared" ca="1" si="44"/>
        <v/>
      </c>
      <c r="H380" s="204" t="str">
        <f ca="1">IF(G380="","",IF(VLOOKUP(Separator!F380,'Species Data'!D:F,3,FALSE)=0,"X",IF(G380&lt;44.1,2,1)))</f>
        <v/>
      </c>
      <c r="I380" s="204" t="str">
        <f t="shared" ca="1" si="45"/>
        <v/>
      </c>
      <c r="J380" s="247" t="str">
        <f ca="1">IF(I380="","",IF(COUNTIF($D$12:D380,D380)=1,IF(H380=1,I380*H380,IF(H380="X","X",0)),0))</f>
        <v/>
      </c>
      <c r="K380" s="248" t="str">
        <f t="shared" ca="1" si="46"/>
        <v/>
      </c>
      <c r="L380" s="239"/>
      <c r="M380" s="215"/>
      <c r="N380" s="215"/>
      <c r="O380" s="216"/>
      <c r="P380" s="215"/>
      <c r="Q380" s="217"/>
      <c r="R380" s="215"/>
      <c r="S380" s="215"/>
      <c r="T380" s="215"/>
      <c r="U380" s="215"/>
      <c r="V380" s="217"/>
      <c r="W380" s="217"/>
      <c r="X380" s="217"/>
      <c r="Y380" s="217"/>
      <c r="Z380" s="217"/>
      <c r="AA380" s="215"/>
      <c r="AB380" s="215"/>
      <c r="AC380" s="215"/>
      <c r="AD380" s="217">
        <v>1.983214</v>
      </c>
      <c r="AE380" s="217">
        <v>449</v>
      </c>
      <c r="AF380" s="217">
        <v>0.19889999999999999</v>
      </c>
      <c r="AG380" s="217">
        <v>-99</v>
      </c>
      <c r="AH380" s="215" t="s">
        <v>224</v>
      </c>
      <c r="AI380" s="215" t="s">
        <v>449</v>
      </c>
      <c r="AJ380" s="215" t="s">
        <v>337</v>
      </c>
      <c r="AK380" s="215" t="s">
        <v>531</v>
      </c>
      <c r="AL380" s="215" t="s">
        <v>394</v>
      </c>
      <c r="AM380" s="217" t="b">
        <v>1</v>
      </c>
      <c r="AN380" s="217" t="b">
        <v>1</v>
      </c>
      <c r="AO380" s="215" t="s">
        <v>338</v>
      </c>
      <c r="AP380" s="215" t="s">
        <v>339</v>
      </c>
      <c r="AQ380" s="217">
        <v>106.16500000000001</v>
      </c>
      <c r="AR380" s="217" t="b">
        <v>0</v>
      </c>
      <c r="AS380" s="215" t="s">
        <v>534</v>
      </c>
    </row>
    <row r="381" spans="1:45" s="218" customFormat="1" x14ac:dyDescent="0.25">
      <c r="A381" s="245" t="str">
        <f t="shared" si="47"/>
        <v/>
      </c>
      <c r="B381" s="246" t="str">
        <f t="shared" si="40"/>
        <v/>
      </c>
      <c r="C381" s="246" t="str">
        <f>IF(B381="","",VLOOKUP(D381,'Species Data'!B:E,4,FALSE))</f>
        <v/>
      </c>
      <c r="D381" s="246" t="str">
        <f t="shared" ca="1" si="41"/>
        <v/>
      </c>
      <c r="E381" s="246" t="str">
        <f t="shared" ca="1" si="42"/>
        <v/>
      </c>
      <c r="F381" s="246" t="str">
        <f t="shared" ca="1" si="43"/>
        <v/>
      </c>
      <c r="G381" s="246" t="str">
        <f t="shared" ca="1" si="44"/>
        <v/>
      </c>
      <c r="H381" s="204" t="str">
        <f ca="1">IF(G381="","",IF(VLOOKUP(Separator!F381,'Species Data'!D:F,3,FALSE)=0,"X",IF(G381&lt;44.1,2,1)))</f>
        <v/>
      </c>
      <c r="I381" s="204" t="str">
        <f t="shared" ca="1" si="45"/>
        <v/>
      </c>
      <c r="J381" s="247" t="str">
        <f ca="1">IF(I381="","",IF(COUNTIF($D$12:D381,D381)=1,IF(H381=1,I381*H381,IF(H381="X","X",0)),0))</f>
        <v/>
      </c>
      <c r="K381" s="248" t="str">
        <f t="shared" ca="1" si="46"/>
        <v/>
      </c>
      <c r="L381" s="239"/>
      <c r="M381" s="215"/>
      <c r="N381" s="215"/>
      <c r="O381" s="216"/>
      <c r="P381" s="215"/>
      <c r="Q381" s="217"/>
      <c r="R381" s="215"/>
      <c r="S381" s="215"/>
      <c r="T381" s="215"/>
      <c r="U381" s="215"/>
      <c r="V381" s="217"/>
      <c r="W381" s="217"/>
      <c r="X381" s="217"/>
      <c r="Y381" s="217"/>
      <c r="Z381" s="217"/>
      <c r="AA381" s="215"/>
      <c r="AB381" s="215"/>
      <c r="AC381" s="215"/>
      <c r="AD381" s="217">
        <v>1.983214</v>
      </c>
      <c r="AE381" s="217">
        <v>491</v>
      </c>
      <c r="AF381" s="217">
        <v>3.1034000000000002</v>
      </c>
      <c r="AG381" s="217">
        <v>-99</v>
      </c>
      <c r="AH381" s="215" t="s">
        <v>224</v>
      </c>
      <c r="AI381" s="215" t="s">
        <v>449</v>
      </c>
      <c r="AJ381" s="215" t="s">
        <v>268</v>
      </c>
      <c r="AK381" s="215" t="s">
        <v>531</v>
      </c>
      <c r="AL381" s="215" t="s">
        <v>375</v>
      </c>
      <c r="AM381" s="217" t="b">
        <v>1</v>
      </c>
      <c r="AN381" s="217" t="b">
        <v>0</v>
      </c>
      <c r="AO381" s="215" t="s">
        <v>269</v>
      </c>
      <c r="AP381" s="215" t="s">
        <v>270</v>
      </c>
      <c r="AQ381" s="217">
        <v>58.122199999999992</v>
      </c>
      <c r="AR381" s="217" t="b">
        <v>0</v>
      </c>
      <c r="AS381" s="215" t="s">
        <v>534</v>
      </c>
    </row>
    <row r="382" spans="1:45" s="218" customFormat="1" x14ac:dyDescent="0.25">
      <c r="A382" s="245" t="str">
        <f t="shared" si="47"/>
        <v/>
      </c>
      <c r="B382" s="246" t="str">
        <f t="shared" si="40"/>
        <v/>
      </c>
      <c r="C382" s="246" t="str">
        <f>IF(B382="","",VLOOKUP(D382,'Species Data'!B:E,4,FALSE))</f>
        <v/>
      </c>
      <c r="D382" s="246" t="str">
        <f t="shared" ca="1" si="41"/>
        <v/>
      </c>
      <c r="E382" s="246" t="str">
        <f t="shared" ca="1" si="42"/>
        <v/>
      </c>
      <c r="F382" s="246" t="str">
        <f t="shared" ca="1" si="43"/>
        <v/>
      </c>
      <c r="G382" s="246" t="str">
        <f t="shared" ca="1" si="44"/>
        <v/>
      </c>
      <c r="H382" s="204" t="str">
        <f ca="1">IF(G382="","",IF(VLOOKUP(Separator!F382,'Species Data'!D:F,3,FALSE)=0,"X",IF(G382&lt;44.1,2,1)))</f>
        <v/>
      </c>
      <c r="I382" s="204" t="str">
        <f t="shared" ca="1" si="45"/>
        <v/>
      </c>
      <c r="J382" s="247" t="str">
        <f ca="1">IF(I382="","",IF(COUNTIF($D$12:D382,D382)=1,IF(H382=1,I382*H382,IF(H382="X","X",0)),0))</f>
        <v/>
      </c>
      <c r="K382" s="248" t="str">
        <f t="shared" ca="1" si="46"/>
        <v/>
      </c>
      <c r="L382" s="239"/>
      <c r="M382" s="215"/>
      <c r="N382" s="215"/>
      <c r="O382" s="216"/>
      <c r="P382" s="215"/>
      <c r="Q382" s="217"/>
      <c r="R382" s="215"/>
      <c r="S382" s="215"/>
      <c r="T382" s="215"/>
      <c r="U382" s="215"/>
      <c r="V382" s="217"/>
      <c r="W382" s="217"/>
      <c r="X382" s="217"/>
      <c r="Y382" s="217"/>
      <c r="Z382" s="217"/>
      <c r="AA382" s="215"/>
      <c r="AB382" s="215"/>
      <c r="AC382" s="215"/>
      <c r="AD382" s="217">
        <v>1.983214</v>
      </c>
      <c r="AE382" s="217">
        <v>508</v>
      </c>
      <c r="AF382" s="217">
        <v>2.8269000000000002</v>
      </c>
      <c r="AG382" s="217">
        <v>-99</v>
      </c>
      <c r="AH382" s="215" t="s">
        <v>224</v>
      </c>
      <c r="AI382" s="215" t="s">
        <v>449</v>
      </c>
      <c r="AJ382" s="215" t="s">
        <v>342</v>
      </c>
      <c r="AK382" s="215" t="s">
        <v>531</v>
      </c>
      <c r="AL382" s="215" t="s">
        <v>395</v>
      </c>
      <c r="AM382" s="217" t="b">
        <v>1</v>
      </c>
      <c r="AN382" s="217" t="b">
        <v>0</v>
      </c>
      <c r="AO382" s="215" t="s">
        <v>343</v>
      </c>
      <c r="AP382" s="215" t="s">
        <v>344</v>
      </c>
      <c r="AQ382" s="217">
        <v>72.148780000000002</v>
      </c>
      <c r="AR382" s="217" t="b">
        <v>0</v>
      </c>
      <c r="AS382" s="215" t="s">
        <v>534</v>
      </c>
    </row>
    <row r="383" spans="1:45" s="218" customFormat="1" x14ac:dyDescent="0.25">
      <c r="A383" s="245" t="str">
        <f t="shared" si="47"/>
        <v/>
      </c>
      <c r="B383" s="246" t="str">
        <f t="shared" si="40"/>
        <v/>
      </c>
      <c r="C383" s="246" t="str">
        <f>IF(B383="","",VLOOKUP(D383,'Species Data'!B:E,4,FALSE))</f>
        <v/>
      </c>
      <c r="D383" s="246" t="str">
        <f t="shared" ca="1" si="41"/>
        <v/>
      </c>
      <c r="E383" s="246" t="str">
        <f t="shared" ca="1" si="42"/>
        <v/>
      </c>
      <c r="F383" s="246" t="str">
        <f t="shared" ca="1" si="43"/>
        <v/>
      </c>
      <c r="G383" s="246" t="str">
        <f t="shared" ca="1" si="44"/>
        <v/>
      </c>
      <c r="H383" s="204" t="str">
        <f ca="1">IF(G383="","",IF(VLOOKUP(Separator!F383,'Species Data'!D:F,3,FALSE)=0,"X",IF(G383&lt;44.1,2,1)))</f>
        <v/>
      </c>
      <c r="I383" s="204" t="str">
        <f t="shared" ca="1" si="45"/>
        <v/>
      </c>
      <c r="J383" s="247" t="str">
        <f ca="1">IF(I383="","",IF(COUNTIF($D$12:D383,D383)=1,IF(H383=1,I383*H383,IF(H383="X","X",0)),0))</f>
        <v/>
      </c>
      <c r="K383" s="248" t="str">
        <f t="shared" ca="1" si="46"/>
        <v/>
      </c>
      <c r="L383" s="239"/>
      <c r="M383" s="215"/>
      <c r="N383" s="215"/>
      <c r="O383" s="216"/>
      <c r="P383" s="215"/>
      <c r="Q383" s="217"/>
      <c r="R383" s="215"/>
      <c r="S383" s="215"/>
      <c r="T383" s="215"/>
      <c r="U383" s="215"/>
      <c r="V383" s="217"/>
      <c r="W383" s="217"/>
      <c r="X383" s="217"/>
      <c r="Y383" s="217"/>
      <c r="Z383" s="217"/>
      <c r="AA383" s="215"/>
      <c r="AB383" s="215"/>
      <c r="AC383" s="215"/>
      <c r="AD383" s="217">
        <v>1.983214</v>
      </c>
      <c r="AE383" s="217">
        <v>514</v>
      </c>
      <c r="AF383" s="217">
        <v>1.83E-2</v>
      </c>
      <c r="AG383" s="217">
        <v>-99</v>
      </c>
      <c r="AH383" s="215" t="s">
        <v>224</v>
      </c>
      <c r="AI383" s="215" t="s">
        <v>449</v>
      </c>
      <c r="AJ383" s="215" t="s">
        <v>362</v>
      </c>
      <c r="AK383" s="215" t="s">
        <v>531</v>
      </c>
      <c r="AL383" s="215" t="s">
        <v>399</v>
      </c>
      <c r="AM383" s="217" t="b">
        <v>1</v>
      </c>
      <c r="AN383" s="217" t="b">
        <v>1</v>
      </c>
      <c r="AO383" s="215" t="s">
        <v>363</v>
      </c>
      <c r="AP383" s="215" t="s">
        <v>364</v>
      </c>
      <c r="AQ383" s="217">
        <v>120.19158</v>
      </c>
      <c r="AR383" s="217" t="b">
        <v>0</v>
      </c>
      <c r="AS383" s="215" t="s">
        <v>534</v>
      </c>
    </row>
    <row r="384" spans="1:45" s="218" customFormat="1" x14ac:dyDescent="0.25">
      <c r="A384" s="245" t="str">
        <f t="shared" si="47"/>
        <v/>
      </c>
      <c r="B384" s="246" t="str">
        <f t="shared" si="40"/>
        <v/>
      </c>
      <c r="C384" s="246" t="str">
        <f>IF(B384="","",VLOOKUP(D384,'Species Data'!B:E,4,FALSE))</f>
        <v/>
      </c>
      <c r="D384" s="246" t="str">
        <f t="shared" ca="1" si="41"/>
        <v/>
      </c>
      <c r="E384" s="246" t="str">
        <f t="shared" ca="1" si="42"/>
        <v/>
      </c>
      <c r="F384" s="246" t="str">
        <f t="shared" ca="1" si="43"/>
        <v/>
      </c>
      <c r="G384" s="246" t="str">
        <f t="shared" ca="1" si="44"/>
        <v/>
      </c>
      <c r="H384" s="204" t="str">
        <f ca="1">IF(G384="","",IF(VLOOKUP(Separator!F384,'Species Data'!D:F,3,FALSE)=0,"X",IF(G384&lt;44.1,2,1)))</f>
        <v/>
      </c>
      <c r="I384" s="204" t="str">
        <f t="shared" ca="1" si="45"/>
        <v/>
      </c>
      <c r="J384" s="247" t="str">
        <f ca="1">IF(I384="","",IF(COUNTIF($D$12:D384,D384)=1,IF(H384=1,I384*H384,IF(H384="X","X",0)),0))</f>
        <v/>
      </c>
      <c r="K384" s="248" t="str">
        <f t="shared" ca="1" si="46"/>
        <v/>
      </c>
      <c r="L384" s="239"/>
      <c r="M384" s="215"/>
      <c r="N384" s="215"/>
      <c r="O384" s="216"/>
      <c r="P384" s="215"/>
      <c r="Q384" s="217"/>
      <c r="R384" s="215"/>
      <c r="S384" s="215"/>
      <c r="T384" s="215"/>
      <c r="U384" s="215"/>
      <c r="V384" s="217"/>
      <c r="W384" s="217"/>
      <c r="X384" s="217"/>
      <c r="Y384" s="217"/>
      <c r="Z384" s="217"/>
      <c r="AA384" s="215"/>
      <c r="AB384" s="215"/>
      <c r="AC384" s="215"/>
      <c r="AD384" s="217">
        <v>1.983214</v>
      </c>
      <c r="AE384" s="217">
        <v>524</v>
      </c>
      <c r="AF384" s="217">
        <v>0.14630000000000001</v>
      </c>
      <c r="AG384" s="217">
        <v>-99</v>
      </c>
      <c r="AH384" s="215" t="s">
        <v>224</v>
      </c>
      <c r="AI384" s="215" t="s">
        <v>449</v>
      </c>
      <c r="AJ384" s="215" t="s">
        <v>436</v>
      </c>
      <c r="AK384" s="215" t="s">
        <v>531</v>
      </c>
      <c r="AL384" s="215" t="s">
        <v>460</v>
      </c>
      <c r="AM384" s="217" t="b">
        <v>0</v>
      </c>
      <c r="AN384" s="217" t="b">
        <v>1</v>
      </c>
      <c r="AO384" s="215" t="s">
        <v>437</v>
      </c>
      <c r="AP384" s="215" t="s">
        <v>438</v>
      </c>
      <c r="AQ384" s="217">
        <v>106.16500000000001</v>
      </c>
      <c r="AR384" s="217" t="b">
        <v>0</v>
      </c>
      <c r="AS384" s="215" t="s">
        <v>534</v>
      </c>
    </row>
    <row r="385" spans="1:45" s="218" customFormat="1" x14ac:dyDescent="0.25">
      <c r="A385" s="245" t="str">
        <f t="shared" si="47"/>
        <v/>
      </c>
      <c r="B385" s="246" t="str">
        <f t="shared" si="40"/>
        <v/>
      </c>
      <c r="C385" s="246" t="str">
        <f>IF(B385="","",VLOOKUP(D385,'Species Data'!B:E,4,FALSE))</f>
        <v/>
      </c>
      <c r="D385" s="246" t="str">
        <f t="shared" ca="1" si="41"/>
        <v/>
      </c>
      <c r="E385" s="246" t="str">
        <f t="shared" ca="1" si="42"/>
        <v/>
      </c>
      <c r="F385" s="246" t="str">
        <f t="shared" ca="1" si="43"/>
        <v/>
      </c>
      <c r="G385" s="246" t="str">
        <f t="shared" ca="1" si="44"/>
        <v/>
      </c>
      <c r="H385" s="204" t="str">
        <f ca="1">IF(G385="","",IF(VLOOKUP(Separator!F385,'Species Data'!D:F,3,FALSE)=0,"X",IF(G385&lt;44.1,2,1)))</f>
        <v/>
      </c>
      <c r="I385" s="204" t="str">
        <f t="shared" ca="1" si="45"/>
        <v/>
      </c>
      <c r="J385" s="247" t="str">
        <f ca="1">IF(I385="","",IF(COUNTIF($D$12:D385,D385)=1,IF(H385=1,I385*H385,IF(H385="X","X",0)),0))</f>
        <v/>
      </c>
      <c r="K385" s="248" t="str">
        <f t="shared" ca="1" si="46"/>
        <v/>
      </c>
      <c r="L385" s="239"/>
      <c r="M385" s="215"/>
      <c r="N385" s="215"/>
      <c r="O385" s="216"/>
      <c r="P385" s="215"/>
      <c r="Q385" s="217"/>
      <c r="R385" s="215"/>
      <c r="S385" s="215"/>
      <c r="T385" s="215"/>
      <c r="U385" s="215"/>
      <c r="V385" s="217"/>
      <c r="W385" s="217"/>
      <c r="X385" s="217"/>
      <c r="Y385" s="217"/>
      <c r="Z385" s="217"/>
      <c r="AA385" s="215"/>
      <c r="AB385" s="215"/>
      <c r="AC385" s="215"/>
      <c r="AD385" s="217">
        <v>1.983214</v>
      </c>
      <c r="AE385" s="217">
        <v>529</v>
      </c>
      <c r="AF385" s="217">
        <v>40.692900000000002</v>
      </c>
      <c r="AG385" s="217">
        <v>-99</v>
      </c>
      <c r="AH385" s="215" t="s">
        <v>224</v>
      </c>
      <c r="AI385" s="215" t="s">
        <v>449</v>
      </c>
      <c r="AJ385" s="215" t="s">
        <v>271</v>
      </c>
      <c r="AK385" s="215" t="s">
        <v>531</v>
      </c>
      <c r="AL385" s="215" t="s">
        <v>376</v>
      </c>
      <c r="AM385" s="217" t="b">
        <v>0</v>
      </c>
      <c r="AN385" s="217" t="b">
        <v>0</v>
      </c>
      <c r="AO385" s="215" t="s">
        <v>272</v>
      </c>
      <c r="AP385" s="215" t="s">
        <v>531</v>
      </c>
      <c r="AQ385" s="217">
        <v>16.042459999999998</v>
      </c>
      <c r="AR385" s="217" t="b">
        <v>1</v>
      </c>
      <c r="AS385" s="215" t="s">
        <v>534</v>
      </c>
    </row>
    <row r="386" spans="1:45" s="218" customFormat="1" x14ac:dyDescent="0.25">
      <c r="A386" s="245" t="str">
        <f t="shared" si="47"/>
        <v/>
      </c>
      <c r="B386" s="246" t="str">
        <f t="shared" si="40"/>
        <v/>
      </c>
      <c r="C386" s="246" t="str">
        <f>IF(B386="","",VLOOKUP(D386,'Species Data'!B:E,4,FALSE))</f>
        <v/>
      </c>
      <c r="D386" s="246" t="str">
        <f t="shared" ca="1" si="41"/>
        <v/>
      </c>
      <c r="E386" s="246" t="str">
        <f t="shared" ca="1" si="42"/>
        <v/>
      </c>
      <c r="F386" s="246" t="str">
        <f t="shared" ca="1" si="43"/>
        <v/>
      </c>
      <c r="G386" s="246" t="str">
        <f t="shared" ca="1" si="44"/>
        <v/>
      </c>
      <c r="H386" s="204" t="str">
        <f ca="1">IF(G386="","",IF(VLOOKUP(Separator!F386,'Species Data'!D:F,3,FALSE)=0,"X",IF(G386&lt;44.1,2,1)))</f>
        <v/>
      </c>
      <c r="I386" s="204" t="str">
        <f t="shared" ca="1" si="45"/>
        <v/>
      </c>
      <c r="J386" s="247" t="str">
        <f ca="1">IF(I386="","",IF(COUNTIF($D$12:D386,D386)=1,IF(H386=1,I386*H386,IF(H386="X","X",0)),0))</f>
        <v/>
      </c>
      <c r="K386" s="248" t="str">
        <f t="shared" ca="1" si="46"/>
        <v/>
      </c>
      <c r="L386" s="239"/>
      <c r="M386" s="215"/>
      <c r="N386" s="215"/>
      <c r="O386" s="216"/>
      <c r="P386" s="215"/>
      <c r="Q386" s="217"/>
      <c r="R386" s="215"/>
      <c r="S386" s="215"/>
      <c r="T386" s="215"/>
      <c r="U386" s="215"/>
      <c r="V386" s="217"/>
      <c r="W386" s="217"/>
      <c r="X386" s="217"/>
      <c r="Y386" s="217"/>
      <c r="Z386" s="217"/>
      <c r="AA386" s="215"/>
      <c r="AB386" s="215"/>
      <c r="AC386" s="215"/>
      <c r="AD386" s="217">
        <v>1.983214</v>
      </c>
      <c r="AE386" s="217">
        <v>550</v>
      </c>
      <c r="AF386" s="217">
        <v>0.64670000000000005</v>
      </c>
      <c r="AG386" s="217">
        <v>-99</v>
      </c>
      <c r="AH386" s="215" t="s">
        <v>224</v>
      </c>
      <c r="AI386" s="215" t="s">
        <v>449</v>
      </c>
      <c r="AJ386" s="215" t="s">
        <v>348</v>
      </c>
      <c r="AK386" s="215" t="s">
        <v>531</v>
      </c>
      <c r="AL386" s="215" t="s">
        <v>396</v>
      </c>
      <c r="AM386" s="217" t="b">
        <v>1</v>
      </c>
      <c r="AN386" s="217" t="b">
        <v>0</v>
      </c>
      <c r="AO386" s="215" t="s">
        <v>349</v>
      </c>
      <c r="AP386" s="215" t="s">
        <v>350</v>
      </c>
      <c r="AQ386" s="217">
        <v>98.186059999999998</v>
      </c>
      <c r="AR386" s="217" t="b">
        <v>0</v>
      </c>
      <c r="AS386" s="215" t="s">
        <v>534</v>
      </c>
    </row>
    <row r="387" spans="1:45" s="218" customFormat="1" x14ac:dyDescent="0.25">
      <c r="A387" s="245" t="str">
        <f t="shared" si="47"/>
        <v/>
      </c>
      <c r="B387" s="246" t="str">
        <f t="shared" si="40"/>
        <v/>
      </c>
      <c r="C387" s="246" t="str">
        <f>IF(B387="","",VLOOKUP(D387,'Species Data'!B:E,4,FALSE))</f>
        <v/>
      </c>
      <c r="D387" s="246" t="str">
        <f t="shared" ca="1" si="41"/>
        <v/>
      </c>
      <c r="E387" s="246" t="str">
        <f t="shared" ca="1" si="42"/>
        <v/>
      </c>
      <c r="F387" s="246" t="str">
        <f t="shared" ca="1" si="43"/>
        <v/>
      </c>
      <c r="G387" s="246" t="str">
        <f t="shared" ca="1" si="44"/>
        <v/>
      </c>
      <c r="H387" s="204" t="str">
        <f ca="1">IF(G387="","",IF(VLOOKUP(Separator!F387,'Species Data'!D:F,3,FALSE)=0,"X",IF(G387&lt;44.1,2,1)))</f>
        <v/>
      </c>
      <c r="I387" s="204" t="str">
        <f t="shared" ca="1" si="45"/>
        <v/>
      </c>
      <c r="J387" s="247" t="str">
        <f ca="1">IF(I387="","",IF(COUNTIF($D$12:D387,D387)=1,IF(H387=1,I387*H387,IF(H387="X","X",0)),0))</f>
        <v/>
      </c>
      <c r="K387" s="248" t="str">
        <f t="shared" ca="1" si="46"/>
        <v/>
      </c>
      <c r="L387" s="239"/>
      <c r="M387" s="215"/>
      <c r="N387" s="215"/>
      <c r="O387" s="216"/>
      <c r="P387" s="215"/>
      <c r="Q387" s="217"/>
      <c r="R387" s="215"/>
      <c r="S387" s="215"/>
      <c r="T387" s="215"/>
      <c r="U387" s="215"/>
      <c r="V387" s="217"/>
      <c r="W387" s="217"/>
      <c r="X387" s="217"/>
      <c r="Y387" s="217"/>
      <c r="Z387" s="217"/>
      <c r="AA387" s="215"/>
      <c r="AB387" s="215"/>
      <c r="AC387" s="215"/>
      <c r="AD387" s="217">
        <v>1.983214</v>
      </c>
      <c r="AE387" s="217">
        <v>551</v>
      </c>
      <c r="AF387" s="217">
        <v>1.1295999999999999</v>
      </c>
      <c r="AG387" s="217">
        <v>-99</v>
      </c>
      <c r="AH387" s="215" t="s">
        <v>224</v>
      </c>
      <c r="AI387" s="215" t="s">
        <v>449</v>
      </c>
      <c r="AJ387" s="215" t="s">
        <v>351</v>
      </c>
      <c r="AK387" s="215" t="s">
        <v>531</v>
      </c>
      <c r="AL387" s="215" t="s">
        <v>397</v>
      </c>
      <c r="AM387" s="217" t="b">
        <v>1</v>
      </c>
      <c r="AN387" s="217" t="b">
        <v>0</v>
      </c>
      <c r="AO387" s="215" t="s">
        <v>352</v>
      </c>
      <c r="AP387" s="215" t="s">
        <v>353</v>
      </c>
      <c r="AQ387" s="217">
        <v>84.159480000000002</v>
      </c>
      <c r="AR387" s="217" t="b">
        <v>0</v>
      </c>
      <c r="AS387" s="215" t="s">
        <v>534</v>
      </c>
    </row>
    <row r="388" spans="1:45" s="218" customFormat="1" x14ac:dyDescent="0.25">
      <c r="A388" s="245" t="str">
        <f t="shared" si="47"/>
        <v/>
      </c>
      <c r="B388" s="246" t="str">
        <f t="shared" si="40"/>
        <v/>
      </c>
      <c r="C388" s="246" t="str">
        <f>IF(B388="","",VLOOKUP(D388,'Species Data'!B:E,4,FALSE))</f>
        <v/>
      </c>
      <c r="D388" s="246" t="str">
        <f t="shared" ca="1" si="41"/>
        <v/>
      </c>
      <c r="E388" s="246" t="str">
        <f t="shared" ca="1" si="42"/>
        <v/>
      </c>
      <c r="F388" s="246" t="str">
        <f t="shared" ca="1" si="43"/>
        <v/>
      </c>
      <c r="G388" s="246" t="str">
        <f t="shared" ca="1" si="44"/>
        <v/>
      </c>
      <c r="H388" s="204" t="str">
        <f ca="1">IF(G388="","",IF(VLOOKUP(Separator!F388,'Species Data'!D:F,3,FALSE)=0,"X",IF(G388&lt;44.1,2,1)))</f>
        <v/>
      </c>
      <c r="I388" s="204" t="str">
        <f t="shared" ca="1" si="45"/>
        <v/>
      </c>
      <c r="J388" s="247" t="str">
        <f ca="1">IF(I388="","",IF(COUNTIF($D$12:D388,D388)=1,IF(H388=1,I388*H388,IF(H388="X","X",0)),0))</f>
        <v/>
      </c>
      <c r="K388" s="248" t="str">
        <f t="shared" ca="1" si="46"/>
        <v/>
      </c>
      <c r="L388" s="239"/>
      <c r="M388" s="215"/>
      <c r="N388" s="215"/>
      <c r="O388" s="216"/>
      <c r="P388" s="215"/>
      <c r="Q388" s="217"/>
      <c r="R388" s="215"/>
      <c r="S388" s="215"/>
      <c r="T388" s="215"/>
      <c r="U388" s="215"/>
      <c r="V388" s="217"/>
      <c r="W388" s="217"/>
      <c r="X388" s="217"/>
      <c r="Y388" s="217"/>
      <c r="Z388" s="217"/>
      <c r="AA388" s="215"/>
      <c r="AB388" s="215"/>
      <c r="AC388" s="215"/>
      <c r="AD388" s="217">
        <v>1.983214</v>
      </c>
      <c r="AE388" s="217">
        <v>592</v>
      </c>
      <c r="AF388" s="217">
        <v>8.2203999999999997</v>
      </c>
      <c r="AG388" s="217">
        <v>-99</v>
      </c>
      <c r="AH388" s="215" t="s">
        <v>224</v>
      </c>
      <c r="AI388" s="215" t="s">
        <v>449</v>
      </c>
      <c r="AJ388" s="215" t="s">
        <v>273</v>
      </c>
      <c r="AK388" s="215" t="s">
        <v>531</v>
      </c>
      <c r="AL388" s="215" t="s">
        <v>377</v>
      </c>
      <c r="AM388" s="217" t="b">
        <v>1</v>
      </c>
      <c r="AN388" s="217" t="b">
        <v>0</v>
      </c>
      <c r="AO388" s="215" t="s">
        <v>274</v>
      </c>
      <c r="AP388" s="215" t="s">
        <v>275</v>
      </c>
      <c r="AQ388" s="217">
        <v>58.122199999999992</v>
      </c>
      <c r="AR388" s="217" t="b">
        <v>0</v>
      </c>
      <c r="AS388" s="215" t="s">
        <v>534</v>
      </c>
    </row>
    <row r="389" spans="1:45" s="218" customFormat="1" x14ac:dyDescent="0.25">
      <c r="A389" s="245" t="str">
        <f t="shared" si="47"/>
        <v/>
      </c>
      <c r="B389" s="246" t="str">
        <f t="shared" si="40"/>
        <v/>
      </c>
      <c r="C389" s="246" t="str">
        <f>IF(B389="","",VLOOKUP(D389,'Species Data'!B:E,4,FALSE))</f>
        <v/>
      </c>
      <c r="D389" s="246" t="str">
        <f t="shared" ca="1" si="41"/>
        <v/>
      </c>
      <c r="E389" s="246" t="str">
        <f t="shared" ca="1" si="42"/>
        <v/>
      </c>
      <c r="F389" s="246" t="str">
        <f t="shared" ca="1" si="43"/>
        <v/>
      </c>
      <c r="G389" s="246" t="str">
        <f t="shared" ca="1" si="44"/>
        <v/>
      </c>
      <c r="H389" s="204" t="str">
        <f ca="1">IF(G389="","",IF(VLOOKUP(Separator!F389,'Species Data'!D:F,3,FALSE)=0,"X",IF(G389&lt;44.1,2,1)))</f>
        <v/>
      </c>
      <c r="I389" s="204" t="str">
        <f t="shared" ca="1" si="45"/>
        <v/>
      </c>
      <c r="J389" s="247" t="str">
        <f ca="1">IF(I389="","",IF(COUNTIF($D$12:D389,D389)=1,IF(H389=1,I389*H389,IF(H389="X","X",0)),0))</f>
        <v/>
      </c>
      <c r="K389" s="248" t="str">
        <f t="shared" ca="1" si="46"/>
        <v/>
      </c>
      <c r="L389" s="239"/>
      <c r="M389" s="215"/>
      <c r="N389" s="215"/>
      <c r="O389" s="216"/>
      <c r="P389" s="215"/>
      <c r="Q389" s="217"/>
      <c r="R389" s="215"/>
      <c r="S389" s="215"/>
      <c r="T389" s="215"/>
      <c r="U389" s="215"/>
      <c r="V389" s="217"/>
      <c r="W389" s="217"/>
      <c r="X389" s="217"/>
      <c r="Y389" s="217"/>
      <c r="Z389" s="217"/>
      <c r="AA389" s="215"/>
      <c r="AB389" s="215"/>
      <c r="AC389" s="215"/>
      <c r="AD389" s="217">
        <v>1.983214</v>
      </c>
      <c r="AE389" s="217">
        <v>598</v>
      </c>
      <c r="AF389" s="217">
        <v>6.0000000000000001E-3</v>
      </c>
      <c r="AG389" s="217">
        <v>-99</v>
      </c>
      <c r="AH389" s="215" t="s">
        <v>224</v>
      </c>
      <c r="AI389" s="215" t="s">
        <v>449</v>
      </c>
      <c r="AJ389" s="215" t="s">
        <v>414</v>
      </c>
      <c r="AK389" s="215" t="s">
        <v>531</v>
      </c>
      <c r="AL389" s="215" t="s">
        <v>452</v>
      </c>
      <c r="AM389" s="217" t="b">
        <v>1</v>
      </c>
      <c r="AN389" s="217" t="b">
        <v>0</v>
      </c>
      <c r="AO389" s="215" t="s">
        <v>415</v>
      </c>
      <c r="AP389" s="215" t="s">
        <v>416</v>
      </c>
      <c r="AQ389" s="217">
        <v>142.28167999999999</v>
      </c>
      <c r="AR389" s="217" t="b">
        <v>0</v>
      </c>
      <c r="AS389" s="215" t="s">
        <v>534</v>
      </c>
    </row>
    <row r="390" spans="1:45" s="218" customFormat="1" x14ac:dyDescent="0.25">
      <c r="A390" s="245" t="str">
        <f t="shared" si="47"/>
        <v/>
      </c>
      <c r="B390" s="246" t="str">
        <f t="shared" si="40"/>
        <v/>
      </c>
      <c r="C390" s="246" t="str">
        <f>IF(B390="","",VLOOKUP(D390,'Species Data'!B:E,4,FALSE))</f>
        <v/>
      </c>
      <c r="D390" s="246" t="str">
        <f t="shared" ca="1" si="41"/>
        <v/>
      </c>
      <c r="E390" s="246" t="str">
        <f t="shared" ca="1" si="42"/>
        <v/>
      </c>
      <c r="F390" s="246" t="str">
        <f t="shared" ca="1" si="43"/>
        <v/>
      </c>
      <c r="G390" s="246" t="str">
        <f t="shared" ca="1" si="44"/>
        <v/>
      </c>
      <c r="H390" s="204" t="str">
        <f ca="1">IF(G390="","",IF(VLOOKUP(Separator!F390,'Species Data'!D:F,3,FALSE)=0,"X",IF(G390&lt;44.1,2,1)))</f>
        <v/>
      </c>
      <c r="I390" s="204" t="str">
        <f t="shared" ca="1" si="45"/>
        <v/>
      </c>
      <c r="J390" s="247" t="str">
        <f ca="1">IF(I390="","",IF(COUNTIF($D$12:D390,D390)=1,IF(H390=1,I390*H390,IF(H390="X","X",0)),0))</f>
        <v/>
      </c>
      <c r="K390" s="248" t="str">
        <f t="shared" ca="1" si="46"/>
        <v/>
      </c>
      <c r="L390" s="239"/>
      <c r="M390" s="215"/>
      <c r="N390" s="215"/>
      <c r="O390" s="216"/>
      <c r="P390" s="215"/>
      <c r="Q390" s="217"/>
      <c r="R390" s="215"/>
      <c r="S390" s="215"/>
      <c r="T390" s="215"/>
      <c r="U390" s="215"/>
      <c r="V390" s="217"/>
      <c r="W390" s="217"/>
      <c r="X390" s="217"/>
      <c r="Y390" s="217"/>
      <c r="Z390" s="217"/>
      <c r="AA390" s="215"/>
      <c r="AB390" s="215"/>
      <c r="AC390" s="215"/>
      <c r="AD390" s="217">
        <v>1.983214</v>
      </c>
      <c r="AE390" s="217">
        <v>600</v>
      </c>
      <c r="AF390" s="217">
        <v>0.93540000000000001</v>
      </c>
      <c r="AG390" s="217">
        <v>-99</v>
      </c>
      <c r="AH390" s="215" t="s">
        <v>224</v>
      </c>
      <c r="AI390" s="215" t="s">
        <v>449</v>
      </c>
      <c r="AJ390" s="215" t="s">
        <v>276</v>
      </c>
      <c r="AK390" s="215" t="s">
        <v>531</v>
      </c>
      <c r="AL390" s="215" t="s">
        <v>378</v>
      </c>
      <c r="AM390" s="217" t="b">
        <v>1</v>
      </c>
      <c r="AN390" s="217" t="b">
        <v>0</v>
      </c>
      <c r="AO390" s="215" t="s">
        <v>277</v>
      </c>
      <c r="AP390" s="215" t="s">
        <v>278</v>
      </c>
      <c r="AQ390" s="217">
        <v>100.20194000000001</v>
      </c>
      <c r="AR390" s="217" t="b">
        <v>0</v>
      </c>
      <c r="AS390" s="215" t="s">
        <v>534</v>
      </c>
    </row>
    <row r="391" spans="1:45" s="218" customFormat="1" x14ac:dyDescent="0.25">
      <c r="A391" s="245" t="str">
        <f t="shared" si="47"/>
        <v/>
      </c>
      <c r="B391" s="246" t="str">
        <f t="shared" si="40"/>
        <v/>
      </c>
      <c r="C391" s="246" t="str">
        <f>IF(B391="","",VLOOKUP(D391,'Species Data'!B:E,4,FALSE))</f>
        <v/>
      </c>
      <c r="D391" s="246" t="str">
        <f t="shared" ca="1" si="41"/>
        <v/>
      </c>
      <c r="E391" s="246" t="str">
        <f t="shared" ca="1" si="42"/>
        <v/>
      </c>
      <c r="F391" s="246" t="str">
        <f t="shared" ca="1" si="43"/>
        <v/>
      </c>
      <c r="G391" s="246" t="str">
        <f t="shared" ca="1" si="44"/>
        <v/>
      </c>
      <c r="H391" s="204" t="str">
        <f ca="1">IF(G391="","",IF(VLOOKUP(Separator!F391,'Species Data'!D:F,3,FALSE)=0,"X",IF(G391&lt;44.1,2,1)))</f>
        <v/>
      </c>
      <c r="I391" s="204" t="str">
        <f t="shared" ca="1" si="45"/>
        <v/>
      </c>
      <c r="J391" s="247" t="str">
        <f ca="1">IF(I391="","",IF(COUNTIF($D$12:D391,D391)=1,IF(H391=1,I391*H391,IF(H391="X","X",0)),0))</f>
        <v/>
      </c>
      <c r="K391" s="248" t="str">
        <f t="shared" ca="1" si="46"/>
        <v/>
      </c>
      <c r="L391" s="239"/>
      <c r="M391" s="215"/>
      <c r="N391" s="215"/>
      <c r="O391" s="216"/>
      <c r="P391" s="215"/>
      <c r="Q391" s="217"/>
      <c r="R391" s="215"/>
      <c r="S391" s="215"/>
      <c r="T391" s="215"/>
      <c r="U391" s="215"/>
      <c r="V391" s="217"/>
      <c r="W391" s="217"/>
      <c r="X391" s="217"/>
      <c r="Y391" s="217"/>
      <c r="Z391" s="217"/>
      <c r="AA391" s="215"/>
      <c r="AB391" s="215"/>
      <c r="AC391" s="215"/>
      <c r="AD391" s="217">
        <v>1.983214</v>
      </c>
      <c r="AE391" s="217">
        <v>601</v>
      </c>
      <c r="AF391" s="217">
        <v>1.7048000000000001</v>
      </c>
      <c r="AG391" s="217">
        <v>-99</v>
      </c>
      <c r="AH391" s="215" t="s">
        <v>224</v>
      </c>
      <c r="AI391" s="215" t="s">
        <v>449</v>
      </c>
      <c r="AJ391" s="215" t="s">
        <v>279</v>
      </c>
      <c r="AK391" s="215" t="s">
        <v>531</v>
      </c>
      <c r="AL391" s="215" t="s">
        <v>379</v>
      </c>
      <c r="AM391" s="217" t="b">
        <v>1</v>
      </c>
      <c r="AN391" s="217" t="b">
        <v>1</v>
      </c>
      <c r="AO391" s="215" t="s">
        <v>280</v>
      </c>
      <c r="AP391" s="215" t="s">
        <v>281</v>
      </c>
      <c r="AQ391" s="217">
        <v>86.175359999999998</v>
      </c>
      <c r="AR391" s="217" t="b">
        <v>0</v>
      </c>
      <c r="AS391" s="215" t="s">
        <v>534</v>
      </c>
    </row>
    <row r="392" spans="1:45" s="218" customFormat="1" x14ac:dyDescent="0.25">
      <c r="A392" s="245" t="str">
        <f t="shared" si="47"/>
        <v/>
      </c>
      <c r="B392" s="246" t="str">
        <f t="shared" si="40"/>
        <v/>
      </c>
      <c r="C392" s="246" t="str">
        <f>IF(B392="","",VLOOKUP(D392,'Species Data'!B:E,4,FALSE))</f>
        <v/>
      </c>
      <c r="D392" s="246" t="str">
        <f t="shared" ca="1" si="41"/>
        <v/>
      </c>
      <c r="E392" s="246" t="str">
        <f t="shared" ca="1" si="42"/>
        <v/>
      </c>
      <c r="F392" s="246" t="str">
        <f t="shared" ca="1" si="43"/>
        <v/>
      </c>
      <c r="G392" s="246" t="str">
        <f t="shared" ca="1" si="44"/>
        <v/>
      </c>
      <c r="H392" s="204" t="str">
        <f ca="1">IF(G392="","",IF(VLOOKUP(Separator!F392,'Species Data'!D:F,3,FALSE)=0,"X",IF(G392&lt;44.1,2,1)))</f>
        <v/>
      </c>
      <c r="I392" s="204" t="str">
        <f t="shared" ca="1" si="45"/>
        <v/>
      </c>
      <c r="J392" s="247" t="str">
        <f ca="1">IF(I392="","",IF(COUNTIF($D$12:D392,D392)=1,IF(H392=1,I392*H392,IF(H392="X","X",0)),0))</f>
        <v/>
      </c>
      <c r="K392" s="248" t="str">
        <f t="shared" ca="1" si="46"/>
        <v/>
      </c>
      <c r="L392" s="239"/>
      <c r="M392" s="215"/>
      <c r="N392" s="215"/>
      <c r="O392" s="216"/>
      <c r="P392" s="215"/>
      <c r="Q392" s="217"/>
      <c r="R392" s="215"/>
      <c r="S392" s="215"/>
      <c r="T392" s="215"/>
      <c r="U392" s="215"/>
      <c r="V392" s="217"/>
      <c r="W392" s="217"/>
      <c r="X392" s="217"/>
      <c r="Y392" s="217"/>
      <c r="Z392" s="217"/>
      <c r="AA392" s="215"/>
      <c r="AB392" s="215"/>
      <c r="AC392" s="215"/>
      <c r="AD392" s="217">
        <v>1.983214</v>
      </c>
      <c r="AE392" s="217">
        <v>603</v>
      </c>
      <c r="AF392" s="217">
        <v>0.1951</v>
      </c>
      <c r="AG392" s="217">
        <v>-99</v>
      </c>
      <c r="AH392" s="215" t="s">
        <v>224</v>
      </c>
      <c r="AI392" s="215" t="s">
        <v>449</v>
      </c>
      <c r="AJ392" s="215" t="s">
        <v>417</v>
      </c>
      <c r="AK392" s="215" t="s">
        <v>531</v>
      </c>
      <c r="AL392" s="215" t="s">
        <v>453</v>
      </c>
      <c r="AM392" s="217" t="b">
        <v>1</v>
      </c>
      <c r="AN392" s="217" t="b">
        <v>0</v>
      </c>
      <c r="AO392" s="215" t="s">
        <v>418</v>
      </c>
      <c r="AP392" s="215" t="s">
        <v>419</v>
      </c>
      <c r="AQ392" s="217">
        <v>128.2551</v>
      </c>
      <c r="AR392" s="217" t="b">
        <v>0</v>
      </c>
      <c r="AS392" s="215" t="s">
        <v>534</v>
      </c>
    </row>
    <row r="393" spans="1:45" s="218" customFormat="1" x14ac:dyDescent="0.25">
      <c r="A393" s="245" t="str">
        <f t="shared" si="47"/>
        <v/>
      </c>
      <c r="B393" s="246" t="str">
        <f t="shared" si="40"/>
        <v/>
      </c>
      <c r="C393" s="246" t="str">
        <f>IF(B393="","",VLOOKUP(D393,'Species Data'!B:E,4,FALSE))</f>
        <v/>
      </c>
      <c r="D393" s="246" t="str">
        <f t="shared" ca="1" si="41"/>
        <v/>
      </c>
      <c r="E393" s="246" t="str">
        <f t="shared" ca="1" si="42"/>
        <v/>
      </c>
      <c r="F393" s="246" t="str">
        <f t="shared" ca="1" si="43"/>
        <v/>
      </c>
      <c r="G393" s="246" t="str">
        <f t="shared" ca="1" si="44"/>
        <v/>
      </c>
      <c r="H393" s="204" t="str">
        <f ca="1">IF(G393="","",IF(VLOOKUP(Separator!F393,'Species Data'!D:F,3,FALSE)=0,"X",IF(G393&lt;44.1,2,1)))</f>
        <v/>
      </c>
      <c r="I393" s="204" t="str">
        <f t="shared" ca="1" si="45"/>
        <v/>
      </c>
      <c r="J393" s="247" t="str">
        <f ca="1">IF(I393="","",IF(COUNTIF($D$12:D393,D393)=1,IF(H393=1,I393*H393,IF(H393="X","X",0)),0))</f>
        <v/>
      </c>
      <c r="K393" s="248" t="str">
        <f t="shared" ca="1" si="46"/>
        <v/>
      </c>
      <c r="L393" s="239"/>
      <c r="M393" s="215"/>
      <c r="N393" s="215"/>
      <c r="O393" s="216"/>
      <c r="P393" s="215"/>
      <c r="Q393" s="217"/>
      <c r="R393" s="215"/>
      <c r="S393" s="215"/>
      <c r="T393" s="215"/>
      <c r="U393" s="215"/>
      <c r="V393" s="217"/>
      <c r="W393" s="217"/>
      <c r="X393" s="217"/>
      <c r="Y393" s="217"/>
      <c r="Z393" s="217"/>
      <c r="AA393" s="215"/>
      <c r="AB393" s="215"/>
      <c r="AC393" s="215"/>
      <c r="AD393" s="217">
        <v>1.983214</v>
      </c>
      <c r="AE393" s="217">
        <v>604</v>
      </c>
      <c r="AF393" s="217">
        <v>0.44619999999999999</v>
      </c>
      <c r="AG393" s="217">
        <v>-99</v>
      </c>
      <c r="AH393" s="215" t="s">
        <v>224</v>
      </c>
      <c r="AI393" s="215" t="s">
        <v>449</v>
      </c>
      <c r="AJ393" s="215" t="s">
        <v>282</v>
      </c>
      <c r="AK393" s="215" t="s">
        <v>531</v>
      </c>
      <c r="AL393" s="215" t="s">
        <v>380</v>
      </c>
      <c r="AM393" s="217" t="b">
        <v>1</v>
      </c>
      <c r="AN393" s="217" t="b">
        <v>0</v>
      </c>
      <c r="AO393" s="215" t="s">
        <v>283</v>
      </c>
      <c r="AP393" s="215" t="s">
        <v>284</v>
      </c>
      <c r="AQ393" s="217">
        <v>114.22852</v>
      </c>
      <c r="AR393" s="217" t="b">
        <v>0</v>
      </c>
      <c r="AS393" s="215" t="s">
        <v>534</v>
      </c>
    </row>
    <row r="394" spans="1:45" s="218" customFormat="1" x14ac:dyDescent="0.25">
      <c r="A394" s="245" t="str">
        <f t="shared" si="47"/>
        <v/>
      </c>
      <c r="B394" s="246" t="str">
        <f t="shared" si="40"/>
        <v/>
      </c>
      <c r="C394" s="246" t="str">
        <f>IF(B394="","",VLOOKUP(D394,'Species Data'!B:E,4,FALSE))</f>
        <v/>
      </c>
      <c r="D394" s="246" t="str">
        <f t="shared" ca="1" si="41"/>
        <v/>
      </c>
      <c r="E394" s="246" t="str">
        <f t="shared" ca="1" si="42"/>
        <v/>
      </c>
      <c r="F394" s="246" t="str">
        <f t="shared" ca="1" si="43"/>
        <v/>
      </c>
      <c r="G394" s="246" t="str">
        <f t="shared" ca="1" si="44"/>
        <v/>
      </c>
      <c r="H394" s="204" t="str">
        <f ca="1">IF(G394="","",IF(VLOOKUP(Separator!F394,'Species Data'!D:F,3,FALSE)=0,"X",IF(G394&lt;44.1,2,1)))</f>
        <v/>
      </c>
      <c r="I394" s="204" t="str">
        <f t="shared" ca="1" si="45"/>
        <v/>
      </c>
      <c r="J394" s="247" t="str">
        <f ca="1">IF(I394="","",IF(COUNTIF($D$12:D394,D394)=1,IF(H394=1,I394*H394,IF(H394="X","X",0)),0))</f>
        <v/>
      </c>
      <c r="K394" s="248" t="str">
        <f t="shared" ca="1" si="46"/>
        <v/>
      </c>
      <c r="L394" s="239"/>
      <c r="M394" s="215"/>
      <c r="N394" s="215"/>
      <c r="O394" s="216"/>
      <c r="P394" s="215"/>
      <c r="Q394" s="217"/>
      <c r="R394" s="215"/>
      <c r="S394" s="215"/>
      <c r="T394" s="215"/>
      <c r="U394" s="215"/>
      <c r="V394" s="217"/>
      <c r="W394" s="217"/>
      <c r="X394" s="217"/>
      <c r="Y394" s="217"/>
      <c r="Z394" s="217"/>
      <c r="AA394" s="215"/>
      <c r="AB394" s="215"/>
      <c r="AC394" s="215"/>
      <c r="AD394" s="217">
        <v>1.983214</v>
      </c>
      <c r="AE394" s="217">
        <v>605</v>
      </c>
      <c r="AF394" s="217">
        <v>0.85009999999999997</v>
      </c>
      <c r="AG394" s="217">
        <v>-99</v>
      </c>
      <c r="AH394" s="215" t="s">
        <v>224</v>
      </c>
      <c r="AI394" s="215" t="s">
        <v>449</v>
      </c>
      <c r="AJ394" s="215" t="s">
        <v>285</v>
      </c>
      <c r="AK394" s="215" t="s">
        <v>531</v>
      </c>
      <c r="AL394" s="215" t="s">
        <v>381</v>
      </c>
      <c r="AM394" s="217" t="b">
        <v>1</v>
      </c>
      <c r="AN394" s="217" t="b">
        <v>0</v>
      </c>
      <c r="AO394" s="215" t="s">
        <v>286</v>
      </c>
      <c r="AP394" s="215" t="s">
        <v>287</v>
      </c>
      <c r="AQ394" s="217">
        <v>72.148780000000002</v>
      </c>
      <c r="AR394" s="217" t="b">
        <v>0</v>
      </c>
      <c r="AS394" s="215" t="s">
        <v>534</v>
      </c>
    </row>
    <row r="395" spans="1:45" s="218" customFormat="1" x14ac:dyDescent="0.25">
      <c r="A395" s="245" t="str">
        <f t="shared" si="47"/>
        <v/>
      </c>
      <c r="B395" s="246" t="str">
        <f t="shared" si="40"/>
        <v/>
      </c>
      <c r="C395" s="246" t="str">
        <f>IF(B395="","",VLOOKUP(D395,'Species Data'!B:E,4,FALSE))</f>
        <v/>
      </c>
      <c r="D395" s="246" t="str">
        <f t="shared" ca="1" si="41"/>
        <v/>
      </c>
      <c r="E395" s="246" t="str">
        <f t="shared" ca="1" si="42"/>
        <v/>
      </c>
      <c r="F395" s="246" t="str">
        <f t="shared" ca="1" si="43"/>
        <v/>
      </c>
      <c r="G395" s="246" t="str">
        <f t="shared" ca="1" si="44"/>
        <v/>
      </c>
      <c r="H395" s="204" t="str">
        <f ca="1">IF(G395="","",IF(VLOOKUP(Separator!F395,'Species Data'!D:F,3,FALSE)=0,"X",IF(G395&lt;44.1,2,1)))</f>
        <v/>
      </c>
      <c r="I395" s="204" t="str">
        <f t="shared" ca="1" si="45"/>
        <v/>
      </c>
      <c r="J395" s="247" t="str">
        <f ca="1">IF(I395="","",IF(COUNTIF($D$12:D395,D395)=1,IF(H395=1,I395*H395,IF(H395="X","X",0)),0))</f>
        <v/>
      </c>
      <c r="K395" s="248" t="str">
        <f t="shared" ca="1" si="46"/>
        <v/>
      </c>
      <c r="L395" s="239"/>
      <c r="M395" s="215"/>
      <c r="N395" s="215"/>
      <c r="O395" s="216"/>
      <c r="P395" s="215"/>
      <c r="Q395" s="217"/>
      <c r="R395" s="215"/>
      <c r="S395" s="215"/>
      <c r="T395" s="215"/>
      <c r="U395" s="215"/>
      <c r="V395" s="217"/>
      <c r="W395" s="217"/>
      <c r="X395" s="217"/>
      <c r="Y395" s="217"/>
      <c r="Z395" s="217"/>
      <c r="AA395" s="215"/>
      <c r="AB395" s="215"/>
      <c r="AC395" s="215"/>
      <c r="AD395" s="217">
        <v>1.983214</v>
      </c>
      <c r="AE395" s="217">
        <v>608</v>
      </c>
      <c r="AF395" s="217">
        <v>4.5600000000000002E-2</v>
      </c>
      <c r="AG395" s="217">
        <v>-99</v>
      </c>
      <c r="AH395" s="215" t="s">
        <v>224</v>
      </c>
      <c r="AI395" s="215" t="s">
        <v>449</v>
      </c>
      <c r="AJ395" s="215" t="s">
        <v>420</v>
      </c>
      <c r="AK395" s="215" t="s">
        <v>531</v>
      </c>
      <c r="AL395" s="215" t="s">
        <v>454</v>
      </c>
      <c r="AM395" s="217" t="b">
        <v>1</v>
      </c>
      <c r="AN395" s="217" t="b">
        <v>0</v>
      </c>
      <c r="AO395" s="215" t="s">
        <v>421</v>
      </c>
      <c r="AP395" s="215" t="s">
        <v>422</v>
      </c>
      <c r="AQ395" s="217">
        <v>120.19158</v>
      </c>
      <c r="AR395" s="217" t="b">
        <v>0</v>
      </c>
      <c r="AS395" s="215" t="s">
        <v>534</v>
      </c>
    </row>
    <row r="396" spans="1:45" s="218" customFormat="1" x14ac:dyDescent="0.25">
      <c r="A396" s="245" t="str">
        <f t="shared" si="47"/>
        <v/>
      </c>
      <c r="B396" s="246" t="str">
        <f t="shared" ref="B396:B450" si="48">IF(ROW(A396)-(ROW($A$12))&lt;$B$10,$B$9,"")</f>
        <v/>
      </c>
      <c r="C396" s="246" t="str">
        <f>IF(B396="","",VLOOKUP(D396,'Species Data'!B:E,4,FALSE))</f>
        <v/>
      </c>
      <c r="D396" s="246" t="str">
        <f t="shared" ca="1" si="41"/>
        <v/>
      </c>
      <c r="E396" s="246" t="str">
        <f t="shared" ca="1" si="42"/>
        <v/>
      </c>
      <c r="F396" s="246" t="str">
        <f t="shared" ca="1" si="43"/>
        <v/>
      </c>
      <c r="G396" s="246" t="str">
        <f t="shared" ca="1" si="44"/>
        <v/>
      </c>
      <c r="H396" s="204" t="str">
        <f ca="1">IF(G396="","",IF(VLOOKUP(Separator!F396,'Species Data'!D:F,3,FALSE)=0,"X",IF(G396&lt;44.1,2,1)))</f>
        <v/>
      </c>
      <c r="I396" s="204" t="str">
        <f t="shared" ca="1" si="45"/>
        <v/>
      </c>
      <c r="J396" s="247" t="str">
        <f ca="1">IF(I396="","",IF(COUNTIF($D$12:D396,D396)=1,IF(H396=1,I396*H396,IF(H396="X","X",0)),0))</f>
        <v/>
      </c>
      <c r="K396" s="248" t="str">
        <f t="shared" ca="1" si="46"/>
        <v/>
      </c>
      <c r="L396" s="239"/>
      <c r="M396" s="215"/>
      <c r="N396" s="215"/>
      <c r="O396" s="216"/>
      <c r="P396" s="215"/>
      <c r="Q396" s="217"/>
      <c r="R396" s="215"/>
      <c r="S396" s="215"/>
      <c r="T396" s="215"/>
      <c r="U396" s="215"/>
      <c r="V396" s="217"/>
      <c r="W396" s="217"/>
      <c r="X396" s="217"/>
      <c r="Y396" s="217"/>
      <c r="Z396" s="217"/>
      <c r="AA396" s="215"/>
      <c r="AB396" s="215"/>
      <c r="AC396" s="215"/>
      <c r="AD396" s="217">
        <v>1.983214</v>
      </c>
      <c r="AE396" s="217">
        <v>620</v>
      </c>
      <c r="AF396" s="217">
        <v>8.1299999999999997E-2</v>
      </c>
      <c r="AG396" s="217">
        <v>-99</v>
      </c>
      <c r="AH396" s="215" t="s">
        <v>224</v>
      </c>
      <c r="AI396" s="215" t="s">
        <v>449</v>
      </c>
      <c r="AJ396" s="215" t="s">
        <v>354</v>
      </c>
      <c r="AK396" s="215" t="s">
        <v>531</v>
      </c>
      <c r="AL396" s="215" t="s">
        <v>398</v>
      </c>
      <c r="AM396" s="217" t="b">
        <v>1</v>
      </c>
      <c r="AN396" s="217" t="b">
        <v>1</v>
      </c>
      <c r="AO396" s="215" t="s">
        <v>355</v>
      </c>
      <c r="AP396" s="215" t="s">
        <v>356</v>
      </c>
      <c r="AQ396" s="217">
        <v>106.16500000000001</v>
      </c>
      <c r="AR396" s="217" t="b">
        <v>0</v>
      </c>
      <c r="AS396" s="215" t="s">
        <v>534</v>
      </c>
    </row>
    <row r="397" spans="1:45" s="218" customFormat="1" x14ac:dyDescent="0.25">
      <c r="A397" s="245" t="str">
        <f t="shared" si="47"/>
        <v/>
      </c>
      <c r="B397" s="246" t="str">
        <f t="shared" si="48"/>
        <v/>
      </c>
      <c r="C397" s="246" t="str">
        <f>IF(B397="","",VLOOKUP(D397,'Species Data'!B:E,4,FALSE))</f>
        <v/>
      </c>
      <c r="D397" s="246" t="str">
        <f t="shared" ref="D397:D450" ca="1" si="49">IF(B397="","",INDIRECT("AE"&amp;$A397))</f>
        <v/>
      </c>
      <c r="E397" s="246" t="str">
        <f t="shared" ref="E397:E450" ca="1" si="50">IF(D397="","",INDIRECT("AF"&amp;$A397))</f>
        <v/>
      </c>
      <c r="F397" s="246" t="str">
        <f t="shared" ref="F397:F450" ca="1" si="51">IF(E397="","",INDIRECT("AO"&amp;$A397))</f>
        <v/>
      </c>
      <c r="G397" s="246" t="str">
        <f t="shared" ref="G397:G450" ca="1" si="52">IF(F397="","",INDIRECT("AQ"&amp;$A397))</f>
        <v/>
      </c>
      <c r="H397" s="204" t="str">
        <f ca="1">IF(G397="","",IF(VLOOKUP(Separator!F397,'Species Data'!D:F,3,FALSE)=0,"X",IF(G397&lt;44.1,2,1)))</f>
        <v/>
      </c>
      <c r="I397" s="204" t="str">
        <f t="shared" ref="I397:I450" ca="1" si="53">IF(H397="","",SUMIF(D:D,D397,E:E)/($E$9/100))</f>
        <v/>
      </c>
      <c r="J397" s="247" t="str">
        <f ca="1">IF(I397="","",IF(COUNTIF($D$12:D397,D397)=1,IF(H397=1,I397*H397,IF(H397="X","X",0)),0))</f>
        <v/>
      </c>
      <c r="K397" s="248" t="str">
        <f t="shared" ref="K397:K450" ca="1" si="54">IF(J397="","",IF(J397="X",0,J397/$J$9*100))</f>
        <v/>
      </c>
      <c r="L397" s="239"/>
      <c r="M397" s="215"/>
      <c r="N397" s="215"/>
      <c r="O397" s="216"/>
      <c r="P397" s="215"/>
      <c r="Q397" s="217"/>
      <c r="R397" s="215"/>
      <c r="S397" s="215"/>
      <c r="T397" s="215"/>
      <c r="U397" s="215"/>
      <c r="V397" s="217"/>
      <c r="W397" s="217"/>
      <c r="X397" s="217"/>
      <c r="Y397" s="217"/>
      <c r="Z397" s="217"/>
      <c r="AA397" s="215"/>
      <c r="AB397" s="215"/>
      <c r="AC397" s="215"/>
      <c r="AD397" s="217">
        <v>1.983214</v>
      </c>
      <c r="AE397" s="217">
        <v>648</v>
      </c>
      <c r="AF397" s="217">
        <v>0.08</v>
      </c>
      <c r="AG397" s="217">
        <v>-99</v>
      </c>
      <c r="AH397" s="215" t="s">
        <v>224</v>
      </c>
      <c r="AI397" s="215" t="s">
        <v>449</v>
      </c>
      <c r="AJ397" s="215" t="s">
        <v>433</v>
      </c>
      <c r="AK397" s="215" t="s">
        <v>531</v>
      </c>
      <c r="AL397" s="215" t="s">
        <v>459</v>
      </c>
      <c r="AM397" s="217" t="b">
        <v>0</v>
      </c>
      <c r="AN397" s="217" t="b">
        <v>1</v>
      </c>
      <c r="AO397" s="215" t="s">
        <v>434</v>
      </c>
      <c r="AP397" s="215" t="s">
        <v>435</v>
      </c>
      <c r="AQ397" s="217">
        <v>106.16500000000001</v>
      </c>
      <c r="AR397" s="217" t="b">
        <v>0</v>
      </c>
      <c r="AS397" s="215" t="s">
        <v>534</v>
      </c>
    </row>
    <row r="398" spans="1:45" s="218" customFormat="1" x14ac:dyDescent="0.25">
      <c r="A398" s="245" t="str">
        <f t="shared" ref="A398:A450" si="55">IF(B398="","",A397+1)</f>
        <v/>
      </c>
      <c r="B398" s="246" t="str">
        <f t="shared" si="48"/>
        <v/>
      </c>
      <c r="C398" s="246" t="str">
        <f>IF(B398="","",VLOOKUP(D398,'Species Data'!B:E,4,FALSE))</f>
        <v/>
      </c>
      <c r="D398" s="246" t="str">
        <f t="shared" ca="1" si="49"/>
        <v/>
      </c>
      <c r="E398" s="246" t="str">
        <f t="shared" ca="1" si="50"/>
        <v/>
      </c>
      <c r="F398" s="246" t="str">
        <f t="shared" ca="1" si="51"/>
        <v/>
      </c>
      <c r="G398" s="246" t="str">
        <f t="shared" ca="1" si="52"/>
        <v/>
      </c>
      <c r="H398" s="204" t="str">
        <f ca="1">IF(G398="","",IF(VLOOKUP(Separator!F398,'Species Data'!D:F,3,FALSE)=0,"X",IF(G398&lt;44.1,2,1)))</f>
        <v/>
      </c>
      <c r="I398" s="204" t="str">
        <f t="shared" ca="1" si="53"/>
        <v/>
      </c>
      <c r="J398" s="247" t="str">
        <f ca="1">IF(I398="","",IF(COUNTIF($D$12:D398,D398)=1,IF(H398=1,I398*H398,IF(H398="X","X",0)),0))</f>
        <v/>
      </c>
      <c r="K398" s="248" t="str">
        <f t="shared" ca="1" si="54"/>
        <v/>
      </c>
      <c r="L398" s="239"/>
      <c r="M398" s="215"/>
      <c r="N398" s="215"/>
      <c r="O398" s="216"/>
      <c r="P398" s="215"/>
      <c r="Q398" s="217"/>
      <c r="R398" s="215"/>
      <c r="S398" s="215"/>
      <c r="T398" s="215"/>
      <c r="U398" s="215"/>
      <c r="V398" s="217"/>
      <c r="W398" s="217"/>
      <c r="X398" s="217"/>
      <c r="Y398" s="217"/>
      <c r="Z398" s="217"/>
      <c r="AA398" s="215"/>
      <c r="AB398" s="215"/>
      <c r="AC398" s="215"/>
      <c r="AD398" s="217">
        <v>1.983214</v>
      </c>
      <c r="AE398" s="217">
        <v>671</v>
      </c>
      <c r="AF398" s="217">
        <v>14.1404</v>
      </c>
      <c r="AG398" s="217">
        <v>-99</v>
      </c>
      <c r="AH398" s="215" t="s">
        <v>224</v>
      </c>
      <c r="AI398" s="215" t="s">
        <v>449</v>
      </c>
      <c r="AJ398" s="215" t="s">
        <v>288</v>
      </c>
      <c r="AK398" s="215" t="s">
        <v>531</v>
      </c>
      <c r="AL398" s="215" t="s">
        <v>382</v>
      </c>
      <c r="AM398" s="217" t="b">
        <v>1</v>
      </c>
      <c r="AN398" s="217" t="b">
        <v>0</v>
      </c>
      <c r="AO398" s="215" t="s">
        <v>289</v>
      </c>
      <c r="AP398" s="215" t="s">
        <v>290</v>
      </c>
      <c r="AQ398" s="217">
        <v>44.095619999999997</v>
      </c>
      <c r="AR398" s="217" t="b">
        <v>0</v>
      </c>
      <c r="AS398" s="215" t="s">
        <v>534</v>
      </c>
    </row>
    <row r="399" spans="1:45" s="218" customFormat="1" x14ac:dyDescent="0.25">
      <c r="A399" s="245" t="str">
        <f t="shared" si="55"/>
        <v/>
      </c>
      <c r="B399" s="246" t="str">
        <f t="shared" si="48"/>
        <v/>
      </c>
      <c r="C399" s="246" t="str">
        <f>IF(B399="","",VLOOKUP(D399,'Species Data'!B:E,4,FALSE))</f>
        <v/>
      </c>
      <c r="D399" s="246" t="str">
        <f t="shared" ca="1" si="49"/>
        <v/>
      </c>
      <c r="E399" s="246" t="str">
        <f t="shared" ca="1" si="50"/>
        <v/>
      </c>
      <c r="F399" s="246" t="str">
        <f t="shared" ca="1" si="51"/>
        <v/>
      </c>
      <c r="G399" s="246" t="str">
        <f t="shared" ca="1" si="52"/>
        <v/>
      </c>
      <c r="H399" s="204" t="str">
        <f ca="1">IF(G399="","",IF(VLOOKUP(Separator!F399,'Species Data'!D:F,3,FALSE)=0,"X",IF(G399&lt;44.1,2,1)))</f>
        <v/>
      </c>
      <c r="I399" s="204" t="str">
        <f t="shared" ca="1" si="53"/>
        <v/>
      </c>
      <c r="J399" s="247" t="str">
        <f ca="1">IF(I399="","",IF(COUNTIF($D$12:D399,D399)=1,IF(H399=1,I399*H399,IF(H399="X","X",0)),0))</f>
        <v/>
      </c>
      <c r="K399" s="248" t="str">
        <f t="shared" ca="1" si="54"/>
        <v/>
      </c>
      <c r="L399" s="239"/>
      <c r="M399" s="215"/>
      <c r="N399" s="215"/>
      <c r="O399" s="216"/>
      <c r="P399" s="215"/>
      <c r="Q399" s="217"/>
      <c r="R399" s="215"/>
      <c r="S399" s="215"/>
      <c r="T399" s="215"/>
      <c r="U399" s="215"/>
      <c r="V399" s="217"/>
      <c r="W399" s="217"/>
      <c r="X399" s="217"/>
      <c r="Y399" s="217"/>
      <c r="Z399" s="217"/>
      <c r="AA399" s="215"/>
      <c r="AB399" s="215"/>
      <c r="AC399" s="215"/>
      <c r="AD399" s="217">
        <v>1.983214</v>
      </c>
      <c r="AE399" s="217">
        <v>703</v>
      </c>
      <c r="AF399" s="217">
        <v>3.3700000000000001E-2</v>
      </c>
      <c r="AG399" s="217">
        <v>-99</v>
      </c>
      <c r="AH399" s="215" t="s">
        <v>224</v>
      </c>
      <c r="AI399" s="215" t="s">
        <v>449</v>
      </c>
      <c r="AJ399" s="215" t="s">
        <v>423</v>
      </c>
      <c r="AK399" s="215" t="s">
        <v>531</v>
      </c>
      <c r="AL399" s="215" t="s">
        <v>455</v>
      </c>
      <c r="AM399" s="217" t="b">
        <v>0</v>
      </c>
      <c r="AN399" s="217" t="b">
        <v>0</v>
      </c>
      <c r="AO399" s="215" t="s">
        <v>424</v>
      </c>
      <c r="AP399" s="215" t="s">
        <v>531</v>
      </c>
      <c r="AQ399" s="217">
        <v>134.21816000000001</v>
      </c>
      <c r="AR399" s="217" t="b">
        <v>0</v>
      </c>
      <c r="AS399" s="215" t="s">
        <v>534</v>
      </c>
    </row>
    <row r="400" spans="1:45" s="218" customFormat="1" x14ac:dyDescent="0.25">
      <c r="A400" s="245" t="str">
        <f t="shared" si="55"/>
        <v/>
      </c>
      <c r="B400" s="246" t="str">
        <f t="shared" si="48"/>
        <v/>
      </c>
      <c r="C400" s="246" t="str">
        <f>IF(B400="","",VLOOKUP(D400,'Species Data'!B:E,4,FALSE))</f>
        <v/>
      </c>
      <c r="D400" s="246" t="str">
        <f t="shared" ca="1" si="49"/>
        <v/>
      </c>
      <c r="E400" s="246" t="str">
        <f t="shared" ca="1" si="50"/>
        <v/>
      </c>
      <c r="F400" s="246" t="str">
        <f t="shared" ca="1" si="51"/>
        <v/>
      </c>
      <c r="G400" s="246" t="str">
        <f t="shared" ca="1" si="52"/>
        <v/>
      </c>
      <c r="H400" s="204" t="str">
        <f ca="1">IF(G400="","",IF(VLOOKUP(Separator!F400,'Species Data'!D:F,3,FALSE)=0,"X",IF(G400&lt;44.1,2,1)))</f>
        <v/>
      </c>
      <c r="I400" s="204" t="str">
        <f t="shared" ca="1" si="53"/>
        <v/>
      </c>
      <c r="J400" s="247" t="str">
        <f ca="1">IF(I400="","",IF(COUNTIF($D$12:D400,D400)=1,IF(H400=1,I400*H400,IF(H400="X","X",0)),0))</f>
        <v/>
      </c>
      <c r="K400" s="248" t="str">
        <f t="shared" ca="1" si="54"/>
        <v/>
      </c>
      <c r="L400" s="239"/>
      <c r="M400" s="215"/>
      <c r="N400" s="215"/>
      <c r="O400" s="216"/>
      <c r="P400" s="215"/>
      <c r="Q400" s="217"/>
      <c r="R400" s="215"/>
      <c r="S400" s="215"/>
      <c r="T400" s="215"/>
      <c r="U400" s="215"/>
      <c r="V400" s="217"/>
      <c r="W400" s="217"/>
      <c r="X400" s="217"/>
      <c r="Y400" s="217"/>
      <c r="Z400" s="217"/>
      <c r="AA400" s="215"/>
      <c r="AB400" s="215"/>
      <c r="AC400" s="215"/>
      <c r="AD400" s="217">
        <v>1.983214</v>
      </c>
      <c r="AE400" s="217">
        <v>717</v>
      </c>
      <c r="AF400" s="217">
        <v>0.4204</v>
      </c>
      <c r="AG400" s="217">
        <v>-99</v>
      </c>
      <c r="AH400" s="215" t="s">
        <v>224</v>
      </c>
      <c r="AI400" s="215" t="s">
        <v>449</v>
      </c>
      <c r="AJ400" s="215" t="s">
        <v>294</v>
      </c>
      <c r="AK400" s="215" t="s">
        <v>531</v>
      </c>
      <c r="AL400" s="215" t="s">
        <v>383</v>
      </c>
      <c r="AM400" s="217" t="b">
        <v>1</v>
      </c>
      <c r="AN400" s="217" t="b">
        <v>1</v>
      </c>
      <c r="AO400" s="215" t="s">
        <v>295</v>
      </c>
      <c r="AP400" s="215" t="s">
        <v>296</v>
      </c>
      <c r="AQ400" s="217">
        <v>92.138419999999996</v>
      </c>
      <c r="AR400" s="217" t="b">
        <v>0</v>
      </c>
      <c r="AS400" s="215" t="s">
        <v>534</v>
      </c>
    </row>
    <row r="401" spans="1:45" s="218" customFormat="1" x14ac:dyDescent="0.25">
      <c r="A401" s="245" t="str">
        <f t="shared" si="55"/>
        <v/>
      </c>
      <c r="B401" s="246" t="str">
        <f t="shared" si="48"/>
        <v/>
      </c>
      <c r="C401" s="246" t="str">
        <f>IF(B401="","",VLOOKUP(D401,'Species Data'!B:E,4,FALSE))</f>
        <v/>
      </c>
      <c r="D401" s="246" t="str">
        <f t="shared" ca="1" si="49"/>
        <v/>
      </c>
      <c r="E401" s="246" t="str">
        <f t="shared" ca="1" si="50"/>
        <v/>
      </c>
      <c r="F401" s="246" t="str">
        <f t="shared" ca="1" si="51"/>
        <v/>
      </c>
      <c r="G401" s="246" t="str">
        <f t="shared" ca="1" si="52"/>
        <v/>
      </c>
      <c r="H401" s="204" t="str">
        <f ca="1">IF(G401="","",IF(VLOOKUP(Separator!F401,'Species Data'!D:F,3,FALSE)=0,"X",IF(G401&lt;44.1,2,1)))</f>
        <v/>
      </c>
      <c r="I401" s="204" t="str">
        <f t="shared" ca="1" si="53"/>
        <v/>
      </c>
      <c r="J401" s="247" t="str">
        <f ca="1">IF(I401="","",IF(COUNTIF($D$12:D401,D401)=1,IF(H401=1,I401*H401,IF(H401="X","X",0)),0))</f>
        <v/>
      </c>
      <c r="K401" s="248" t="str">
        <f t="shared" ca="1" si="54"/>
        <v/>
      </c>
      <c r="L401" s="239"/>
      <c r="M401" s="215"/>
      <c r="N401" s="215"/>
      <c r="O401" s="216"/>
      <c r="P401" s="215"/>
      <c r="Q401" s="217"/>
      <c r="R401" s="215"/>
      <c r="S401" s="215"/>
      <c r="T401" s="215"/>
      <c r="U401" s="215"/>
      <c r="V401" s="217"/>
      <c r="W401" s="217"/>
      <c r="X401" s="217"/>
      <c r="Y401" s="217"/>
      <c r="Z401" s="217"/>
      <c r="AA401" s="215"/>
      <c r="AB401" s="215"/>
      <c r="AC401" s="215"/>
      <c r="AD401" s="217">
        <v>1.983214</v>
      </c>
      <c r="AE401" s="217">
        <v>1924</v>
      </c>
      <c r="AF401" s="217">
        <v>0.35210000000000002</v>
      </c>
      <c r="AG401" s="217">
        <v>-99</v>
      </c>
      <c r="AH401" s="215" t="s">
        <v>224</v>
      </c>
      <c r="AI401" s="215" t="s">
        <v>449</v>
      </c>
      <c r="AJ401" s="215" t="s">
        <v>224</v>
      </c>
      <c r="AK401" s="215" t="s">
        <v>531</v>
      </c>
      <c r="AL401" s="215" t="s">
        <v>466</v>
      </c>
      <c r="AM401" s="217" t="b">
        <v>0</v>
      </c>
      <c r="AN401" s="217" t="b">
        <v>0</v>
      </c>
      <c r="AO401" s="215" t="s">
        <v>535</v>
      </c>
      <c r="AP401" s="215" t="s">
        <v>536</v>
      </c>
      <c r="AQ401" s="217">
        <v>142.28167999999999</v>
      </c>
      <c r="AR401" s="217" t="b">
        <v>0</v>
      </c>
      <c r="AS401" s="215" t="s">
        <v>534</v>
      </c>
    </row>
    <row r="402" spans="1:45" s="218" customFormat="1" x14ac:dyDescent="0.25">
      <c r="A402" s="245" t="str">
        <f t="shared" si="55"/>
        <v/>
      </c>
      <c r="B402" s="246" t="str">
        <f t="shared" si="48"/>
        <v/>
      </c>
      <c r="C402" s="246" t="str">
        <f>IF(B402="","",VLOOKUP(D402,'Species Data'!B:E,4,FALSE))</f>
        <v/>
      </c>
      <c r="D402" s="246" t="str">
        <f t="shared" ca="1" si="49"/>
        <v/>
      </c>
      <c r="E402" s="246" t="str">
        <f t="shared" ca="1" si="50"/>
        <v/>
      </c>
      <c r="F402" s="246" t="str">
        <f t="shared" ca="1" si="51"/>
        <v/>
      </c>
      <c r="G402" s="246" t="str">
        <f t="shared" ca="1" si="52"/>
        <v/>
      </c>
      <c r="H402" s="204" t="str">
        <f ca="1">IF(G402="","",IF(VLOOKUP(Separator!F402,'Species Data'!D:F,3,FALSE)=0,"X",IF(G402&lt;44.1,2,1)))</f>
        <v/>
      </c>
      <c r="I402" s="204" t="str">
        <f t="shared" ca="1" si="53"/>
        <v/>
      </c>
      <c r="J402" s="247" t="str">
        <f ca="1">IF(I402="","",IF(COUNTIF($D$12:D402,D402)=1,IF(H402=1,I402*H402,IF(H402="X","X",0)),0))</f>
        <v/>
      </c>
      <c r="K402" s="248" t="str">
        <f t="shared" ca="1" si="54"/>
        <v/>
      </c>
      <c r="L402" s="239"/>
      <c r="M402" s="215"/>
      <c r="N402" s="215"/>
      <c r="O402" s="216"/>
      <c r="P402" s="215"/>
      <c r="Q402" s="217"/>
      <c r="R402" s="215"/>
      <c r="S402" s="215"/>
      <c r="T402" s="215"/>
      <c r="U402" s="215"/>
      <c r="V402" s="217"/>
      <c r="W402" s="217"/>
      <c r="X402" s="217"/>
      <c r="Y402" s="217"/>
      <c r="Z402" s="217"/>
      <c r="AA402" s="215"/>
      <c r="AB402" s="215"/>
      <c r="AC402" s="215"/>
      <c r="AD402" s="217">
        <v>1.983214</v>
      </c>
      <c r="AE402" s="217">
        <v>1929</v>
      </c>
      <c r="AF402" s="217">
        <v>6.8400000000000002E-2</v>
      </c>
      <c r="AG402" s="217">
        <v>-99</v>
      </c>
      <c r="AH402" s="215" t="s">
        <v>224</v>
      </c>
      <c r="AI402" s="215" t="s">
        <v>449</v>
      </c>
      <c r="AJ402" s="215" t="s">
        <v>224</v>
      </c>
      <c r="AK402" s="215" t="s">
        <v>531</v>
      </c>
      <c r="AL402" s="215" t="s">
        <v>467</v>
      </c>
      <c r="AM402" s="217" t="b">
        <v>0</v>
      </c>
      <c r="AN402" s="217" t="b">
        <v>0</v>
      </c>
      <c r="AO402" s="215" t="s">
        <v>468</v>
      </c>
      <c r="AP402" s="215" t="s">
        <v>469</v>
      </c>
      <c r="AQ402" s="217">
        <v>156.30826000000002</v>
      </c>
      <c r="AR402" s="217" t="b">
        <v>0</v>
      </c>
      <c r="AS402" s="215" t="s">
        <v>534</v>
      </c>
    </row>
    <row r="403" spans="1:45" s="218" customFormat="1" x14ac:dyDescent="0.25">
      <c r="A403" s="245" t="str">
        <f t="shared" si="55"/>
        <v/>
      </c>
      <c r="B403" s="246" t="str">
        <f t="shared" si="48"/>
        <v/>
      </c>
      <c r="C403" s="246" t="str">
        <f>IF(B403="","",VLOOKUP(D403,'Species Data'!B:E,4,FALSE))</f>
        <v/>
      </c>
      <c r="D403" s="246" t="str">
        <f t="shared" ca="1" si="49"/>
        <v/>
      </c>
      <c r="E403" s="246" t="str">
        <f t="shared" ca="1" si="50"/>
        <v/>
      </c>
      <c r="F403" s="246" t="str">
        <f t="shared" ca="1" si="51"/>
        <v/>
      </c>
      <c r="G403" s="246" t="str">
        <f t="shared" ca="1" si="52"/>
        <v/>
      </c>
      <c r="H403" s="204" t="str">
        <f ca="1">IF(G403="","",IF(VLOOKUP(Separator!F403,'Species Data'!D:F,3,FALSE)=0,"X",IF(G403&lt;44.1,2,1)))</f>
        <v/>
      </c>
      <c r="I403" s="204" t="str">
        <f t="shared" ca="1" si="53"/>
        <v/>
      </c>
      <c r="J403" s="247" t="str">
        <f ca="1">IF(I403="","",IF(COUNTIF($D$12:D403,D403)=1,IF(H403=1,I403*H403,IF(H403="X","X",0)),0))</f>
        <v/>
      </c>
      <c r="K403" s="248" t="str">
        <f t="shared" ca="1" si="54"/>
        <v/>
      </c>
      <c r="L403" s="239"/>
      <c r="M403" s="215"/>
      <c r="N403" s="215"/>
      <c r="O403" s="216"/>
      <c r="P403" s="215"/>
      <c r="Q403" s="217"/>
      <c r="R403" s="215"/>
      <c r="S403" s="215"/>
      <c r="T403" s="215"/>
      <c r="U403" s="215"/>
      <c r="V403" s="217"/>
      <c r="W403" s="217"/>
      <c r="X403" s="217"/>
      <c r="Y403" s="217"/>
      <c r="Z403" s="217"/>
      <c r="AA403" s="215"/>
      <c r="AB403" s="215"/>
      <c r="AC403" s="215"/>
      <c r="AD403" s="217">
        <v>1.983214</v>
      </c>
      <c r="AE403" s="217">
        <v>1976</v>
      </c>
      <c r="AF403" s="217">
        <v>1.1116999999999999</v>
      </c>
      <c r="AG403" s="217">
        <v>-99</v>
      </c>
      <c r="AH403" s="215" t="s">
        <v>224</v>
      </c>
      <c r="AI403" s="215" t="s">
        <v>449</v>
      </c>
      <c r="AJ403" s="215" t="s">
        <v>224</v>
      </c>
      <c r="AK403" s="215" t="s">
        <v>531</v>
      </c>
      <c r="AL403" s="215" t="s">
        <v>465</v>
      </c>
      <c r="AM403" s="217" t="b">
        <v>0</v>
      </c>
      <c r="AN403" s="217" t="b">
        <v>0</v>
      </c>
      <c r="AO403" s="215" t="s">
        <v>551</v>
      </c>
      <c r="AP403" s="215" t="s">
        <v>552</v>
      </c>
      <c r="AQ403" s="217">
        <v>56.106319999999997</v>
      </c>
      <c r="AR403" s="217" t="b">
        <v>0</v>
      </c>
      <c r="AS403" s="215" t="s">
        <v>534</v>
      </c>
    </row>
    <row r="404" spans="1:45" s="218" customFormat="1" x14ac:dyDescent="0.25">
      <c r="A404" s="245" t="str">
        <f t="shared" si="55"/>
        <v/>
      </c>
      <c r="B404" s="246" t="str">
        <f t="shared" si="48"/>
        <v/>
      </c>
      <c r="C404" s="246" t="str">
        <f>IF(B404="","",VLOOKUP(D404,'Species Data'!B:E,4,FALSE))</f>
        <v/>
      </c>
      <c r="D404" s="246" t="str">
        <f t="shared" ca="1" si="49"/>
        <v/>
      </c>
      <c r="E404" s="246" t="str">
        <f t="shared" ca="1" si="50"/>
        <v/>
      </c>
      <c r="F404" s="246" t="str">
        <f t="shared" ca="1" si="51"/>
        <v/>
      </c>
      <c r="G404" s="246" t="str">
        <f t="shared" ca="1" si="52"/>
        <v/>
      </c>
      <c r="H404" s="204" t="str">
        <f ca="1">IF(G404="","",IF(VLOOKUP(Separator!F404,'Species Data'!D:F,3,FALSE)=0,"X",IF(G404&lt;44.1,2,1)))</f>
        <v/>
      </c>
      <c r="I404" s="204" t="str">
        <f t="shared" ca="1" si="53"/>
        <v/>
      </c>
      <c r="J404" s="247" t="str">
        <f ca="1">IF(I404="","",IF(COUNTIF($D$12:D404,D404)=1,IF(H404=1,I404*H404,IF(H404="X","X",0)),0))</f>
        <v/>
      </c>
      <c r="K404" s="248" t="str">
        <f t="shared" ca="1" si="54"/>
        <v/>
      </c>
      <c r="L404" s="239"/>
      <c r="M404" s="215"/>
      <c r="N404" s="215"/>
      <c r="O404" s="216"/>
      <c r="P404" s="215"/>
      <c r="Q404" s="217"/>
      <c r="R404" s="215"/>
      <c r="S404" s="215"/>
      <c r="T404" s="215"/>
      <c r="U404" s="215"/>
      <c r="V404" s="217"/>
      <c r="W404" s="217"/>
      <c r="X404" s="217"/>
      <c r="Y404" s="217"/>
      <c r="Z404" s="217"/>
      <c r="AA404" s="215"/>
      <c r="AB404" s="215"/>
      <c r="AC404" s="215"/>
      <c r="AD404" s="217">
        <v>1.983214</v>
      </c>
      <c r="AE404" s="217">
        <v>1986</v>
      </c>
      <c r="AF404" s="217">
        <v>3.3706</v>
      </c>
      <c r="AG404" s="217">
        <v>-99</v>
      </c>
      <c r="AH404" s="215" t="s">
        <v>224</v>
      </c>
      <c r="AI404" s="215" t="s">
        <v>449</v>
      </c>
      <c r="AJ404" s="215" t="s">
        <v>224</v>
      </c>
      <c r="AK404" s="215" t="s">
        <v>531</v>
      </c>
      <c r="AL404" s="215" t="s">
        <v>537</v>
      </c>
      <c r="AM404" s="217" t="b">
        <v>0</v>
      </c>
      <c r="AN404" s="217" t="b">
        <v>0</v>
      </c>
      <c r="AO404" s="215" t="s">
        <v>538</v>
      </c>
      <c r="AP404" s="215" t="s">
        <v>539</v>
      </c>
      <c r="AQ404" s="217">
        <v>72.148780000000002</v>
      </c>
      <c r="AR404" s="217" t="b">
        <v>0</v>
      </c>
      <c r="AS404" s="215" t="s">
        <v>534</v>
      </c>
    </row>
    <row r="405" spans="1:45" s="218" customFormat="1" x14ac:dyDescent="0.25">
      <c r="A405" s="245" t="str">
        <f t="shared" si="55"/>
        <v/>
      </c>
      <c r="B405" s="246" t="str">
        <f t="shared" si="48"/>
        <v/>
      </c>
      <c r="C405" s="246" t="str">
        <f>IF(B405="","",VLOOKUP(D405,'Species Data'!B:E,4,FALSE))</f>
        <v/>
      </c>
      <c r="D405" s="246" t="str">
        <f t="shared" ca="1" si="49"/>
        <v/>
      </c>
      <c r="E405" s="246" t="str">
        <f t="shared" ca="1" si="50"/>
        <v/>
      </c>
      <c r="F405" s="246" t="str">
        <f t="shared" ca="1" si="51"/>
        <v/>
      </c>
      <c r="G405" s="246" t="str">
        <f t="shared" ca="1" si="52"/>
        <v/>
      </c>
      <c r="H405" s="204" t="str">
        <f ca="1">IF(G405="","",IF(VLOOKUP(Separator!F405,'Species Data'!D:F,3,FALSE)=0,"X",IF(G405&lt;44.1,2,1)))</f>
        <v/>
      </c>
      <c r="I405" s="204" t="str">
        <f t="shared" ca="1" si="53"/>
        <v/>
      </c>
      <c r="J405" s="247" t="str">
        <f ca="1">IF(I405="","",IF(COUNTIF($D$12:D405,D405)=1,IF(H405=1,I405*H405,IF(H405="X","X",0)),0))</f>
        <v/>
      </c>
      <c r="K405" s="248" t="str">
        <f t="shared" ca="1" si="54"/>
        <v/>
      </c>
      <c r="L405" s="239"/>
      <c r="M405" s="215"/>
      <c r="N405" s="215"/>
      <c r="O405" s="216"/>
      <c r="P405" s="215"/>
      <c r="Q405" s="217"/>
      <c r="R405" s="215"/>
      <c r="S405" s="215"/>
      <c r="T405" s="215"/>
      <c r="U405" s="215"/>
      <c r="V405" s="217"/>
      <c r="W405" s="217"/>
      <c r="X405" s="217"/>
      <c r="Y405" s="217"/>
      <c r="Z405" s="217"/>
      <c r="AA405" s="215"/>
      <c r="AB405" s="215"/>
      <c r="AC405" s="215"/>
      <c r="AD405" s="217">
        <v>1.983214</v>
      </c>
      <c r="AE405" s="217">
        <v>1999</v>
      </c>
      <c r="AF405" s="217">
        <v>1.6494</v>
      </c>
      <c r="AG405" s="217">
        <v>-99</v>
      </c>
      <c r="AH405" s="215" t="s">
        <v>224</v>
      </c>
      <c r="AI405" s="215" t="s">
        <v>449</v>
      </c>
      <c r="AJ405" s="215" t="s">
        <v>224</v>
      </c>
      <c r="AK405" s="215" t="s">
        <v>531</v>
      </c>
      <c r="AL405" s="215" t="s">
        <v>540</v>
      </c>
      <c r="AM405" s="217" t="b">
        <v>0</v>
      </c>
      <c r="AN405" s="217" t="b">
        <v>0</v>
      </c>
      <c r="AO405" s="215" t="s">
        <v>541</v>
      </c>
      <c r="AP405" s="215" t="s">
        <v>542</v>
      </c>
      <c r="AQ405" s="217">
        <v>86.175359999999998</v>
      </c>
      <c r="AR405" s="217" t="b">
        <v>0</v>
      </c>
      <c r="AS405" s="215" t="s">
        <v>534</v>
      </c>
    </row>
    <row r="406" spans="1:45" s="218" customFormat="1" x14ac:dyDescent="0.25">
      <c r="A406" s="245" t="str">
        <f t="shared" si="55"/>
        <v/>
      </c>
      <c r="B406" s="246" t="str">
        <f t="shared" si="48"/>
        <v/>
      </c>
      <c r="C406" s="246" t="str">
        <f>IF(B406="","",VLOOKUP(D406,'Species Data'!B:E,4,FALSE))</f>
        <v/>
      </c>
      <c r="D406" s="246" t="str">
        <f t="shared" ca="1" si="49"/>
        <v/>
      </c>
      <c r="E406" s="246" t="str">
        <f t="shared" ca="1" si="50"/>
        <v/>
      </c>
      <c r="F406" s="246" t="str">
        <f t="shared" ca="1" si="51"/>
        <v/>
      </c>
      <c r="G406" s="246" t="str">
        <f t="shared" ca="1" si="52"/>
        <v/>
      </c>
      <c r="H406" s="204" t="str">
        <f ca="1">IF(G406="","",IF(VLOOKUP(Separator!F406,'Species Data'!D:F,3,FALSE)=0,"X",IF(G406&lt;44.1,2,1)))</f>
        <v/>
      </c>
      <c r="I406" s="204" t="str">
        <f t="shared" ca="1" si="53"/>
        <v/>
      </c>
      <c r="J406" s="247" t="str">
        <f ca="1">IF(I406="","",IF(COUNTIF($D$12:D406,D406)=1,IF(H406=1,I406*H406,IF(H406="X","X",0)),0))</f>
        <v/>
      </c>
      <c r="K406" s="248" t="str">
        <f t="shared" ca="1" si="54"/>
        <v/>
      </c>
      <c r="L406" s="239"/>
      <c r="M406" s="215"/>
      <c r="N406" s="215"/>
      <c r="O406" s="216"/>
      <c r="P406" s="215"/>
      <c r="Q406" s="217"/>
      <c r="R406" s="215"/>
      <c r="S406" s="215"/>
      <c r="T406" s="215"/>
      <c r="U406" s="215"/>
      <c r="V406" s="217"/>
      <c r="W406" s="217"/>
      <c r="X406" s="217"/>
      <c r="Y406" s="217"/>
      <c r="Z406" s="217"/>
      <c r="AA406" s="215"/>
      <c r="AB406" s="215"/>
      <c r="AC406" s="215"/>
      <c r="AD406" s="217">
        <v>1.983214</v>
      </c>
      <c r="AE406" s="217">
        <v>2005</v>
      </c>
      <c r="AF406" s="217">
        <v>1.3692</v>
      </c>
      <c r="AG406" s="217">
        <v>-99</v>
      </c>
      <c r="AH406" s="215" t="s">
        <v>224</v>
      </c>
      <c r="AI406" s="215" t="s">
        <v>449</v>
      </c>
      <c r="AJ406" s="215" t="s">
        <v>224</v>
      </c>
      <c r="AK406" s="215" t="s">
        <v>531</v>
      </c>
      <c r="AL406" s="215" t="s">
        <v>543</v>
      </c>
      <c r="AM406" s="217" t="b">
        <v>0</v>
      </c>
      <c r="AN406" s="217" t="b">
        <v>0</v>
      </c>
      <c r="AO406" s="215" t="s">
        <v>544</v>
      </c>
      <c r="AP406" s="215" t="s">
        <v>545</v>
      </c>
      <c r="AQ406" s="217">
        <v>100.20194000000001</v>
      </c>
      <c r="AR406" s="217" t="b">
        <v>0</v>
      </c>
      <c r="AS406" s="215" t="s">
        <v>534</v>
      </c>
    </row>
    <row r="407" spans="1:45" s="218" customFormat="1" x14ac:dyDescent="0.25">
      <c r="A407" s="245" t="str">
        <f t="shared" si="55"/>
        <v/>
      </c>
      <c r="B407" s="246" t="str">
        <f t="shared" si="48"/>
        <v/>
      </c>
      <c r="C407" s="246" t="str">
        <f>IF(B407="","",VLOOKUP(D407,'Species Data'!B:E,4,FALSE))</f>
        <v/>
      </c>
      <c r="D407" s="246" t="str">
        <f t="shared" ca="1" si="49"/>
        <v/>
      </c>
      <c r="E407" s="246" t="str">
        <f t="shared" ca="1" si="50"/>
        <v/>
      </c>
      <c r="F407" s="246" t="str">
        <f t="shared" ca="1" si="51"/>
        <v/>
      </c>
      <c r="G407" s="246" t="str">
        <f t="shared" ca="1" si="52"/>
        <v/>
      </c>
      <c r="H407" s="204" t="str">
        <f ca="1">IF(G407="","",IF(VLOOKUP(Separator!F407,'Species Data'!D:F,3,FALSE)=0,"X",IF(G407&lt;44.1,2,1)))</f>
        <v/>
      </c>
      <c r="I407" s="204" t="str">
        <f t="shared" ca="1" si="53"/>
        <v/>
      </c>
      <c r="J407" s="247" t="str">
        <f ca="1">IF(I407="","",IF(COUNTIF($D$12:D407,D407)=1,IF(H407=1,I407*H407,IF(H407="X","X",0)),0))</f>
        <v/>
      </c>
      <c r="K407" s="248" t="str">
        <f t="shared" ca="1" si="54"/>
        <v/>
      </c>
      <c r="L407" s="239"/>
      <c r="M407" s="215"/>
      <c r="N407" s="215"/>
      <c r="O407" s="216"/>
      <c r="P407" s="215"/>
      <c r="Q407" s="217"/>
      <c r="R407" s="215"/>
      <c r="S407" s="215"/>
      <c r="T407" s="215"/>
      <c r="U407" s="215"/>
      <c r="V407" s="217"/>
      <c r="W407" s="217"/>
      <c r="X407" s="217"/>
      <c r="Y407" s="217"/>
      <c r="Z407" s="217"/>
      <c r="AA407" s="215"/>
      <c r="AB407" s="215"/>
      <c r="AC407" s="215"/>
      <c r="AD407" s="217">
        <v>1.983214</v>
      </c>
      <c r="AE407" s="217">
        <v>2011</v>
      </c>
      <c r="AF407" s="217">
        <v>1.3995</v>
      </c>
      <c r="AG407" s="217">
        <v>-99</v>
      </c>
      <c r="AH407" s="215" t="s">
        <v>224</v>
      </c>
      <c r="AI407" s="215" t="s">
        <v>449</v>
      </c>
      <c r="AJ407" s="215" t="s">
        <v>224</v>
      </c>
      <c r="AK407" s="215" t="s">
        <v>531</v>
      </c>
      <c r="AL407" s="215" t="s">
        <v>546</v>
      </c>
      <c r="AM407" s="217" t="b">
        <v>0</v>
      </c>
      <c r="AN407" s="217" t="b">
        <v>0</v>
      </c>
      <c r="AO407" s="215" t="s">
        <v>547</v>
      </c>
      <c r="AP407" s="215" t="s">
        <v>548</v>
      </c>
      <c r="AQ407" s="217">
        <v>113.21160686946486</v>
      </c>
      <c r="AR407" s="217" t="b">
        <v>0</v>
      </c>
      <c r="AS407" s="215" t="s">
        <v>534</v>
      </c>
    </row>
    <row r="408" spans="1:45" s="218" customFormat="1" x14ac:dyDescent="0.25">
      <c r="A408" s="245" t="str">
        <f t="shared" si="55"/>
        <v/>
      </c>
      <c r="B408" s="246" t="str">
        <f t="shared" si="48"/>
        <v/>
      </c>
      <c r="C408" s="246" t="str">
        <f>IF(B408="","",VLOOKUP(D408,'Species Data'!B:E,4,FALSE))</f>
        <v/>
      </c>
      <c r="D408" s="246" t="str">
        <f t="shared" ca="1" si="49"/>
        <v/>
      </c>
      <c r="E408" s="246" t="str">
        <f t="shared" ca="1" si="50"/>
        <v/>
      </c>
      <c r="F408" s="246" t="str">
        <f t="shared" ca="1" si="51"/>
        <v/>
      </c>
      <c r="G408" s="246" t="str">
        <f t="shared" ca="1" si="52"/>
        <v/>
      </c>
      <c r="H408" s="204" t="str">
        <f ca="1">IF(G408="","",IF(VLOOKUP(Separator!F408,'Species Data'!D:F,3,FALSE)=0,"X",IF(G408&lt;44.1,2,1)))</f>
        <v/>
      </c>
      <c r="I408" s="204" t="str">
        <f t="shared" ca="1" si="53"/>
        <v/>
      </c>
      <c r="J408" s="247" t="str">
        <f ca="1">IF(I408="","",IF(COUNTIF($D$12:D408,D408)=1,IF(H408=1,I408*H408,IF(H408="X","X",0)),0))</f>
        <v/>
      </c>
      <c r="K408" s="248" t="str">
        <f t="shared" ca="1" si="54"/>
        <v/>
      </c>
      <c r="L408" s="239"/>
      <c r="M408" s="215"/>
      <c r="N408" s="215"/>
      <c r="O408" s="216"/>
      <c r="P408" s="215"/>
      <c r="Q408" s="217"/>
      <c r="R408" s="215"/>
      <c r="S408" s="215"/>
      <c r="T408" s="215"/>
      <c r="U408" s="215"/>
      <c r="V408" s="217"/>
      <c r="W408" s="217"/>
      <c r="X408" s="217"/>
      <c r="Y408" s="217"/>
      <c r="Z408" s="217"/>
      <c r="AA408" s="215"/>
      <c r="AB408" s="215"/>
      <c r="AC408" s="215"/>
      <c r="AD408" s="217">
        <v>1.983214</v>
      </c>
      <c r="AE408" s="217">
        <v>2018</v>
      </c>
      <c r="AF408" s="217">
        <v>0.68589999999999995</v>
      </c>
      <c r="AG408" s="217">
        <v>-99</v>
      </c>
      <c r="AH408" s="215" t="s">
        <v>224</v>
      </c>
      <c r="AI408" s="215" t="s">
        <v>449</v>
      </c>
      <c r="AJ408" s="215" t="s">
        <v>224</v>
      </c>
      <c r="AK408" s="215" t="s">
        <v>531</v>
      </c>
      <c r="AL408" s="215" t="s">
        <v>464</v>
      </c>
      <c r="AM408" s="217" t="b">
        <v>0</v>
      </c>
      <c r="AN408" s="217" t="b">
        <v>0</v>
      </c>
      <c r="AO408" s="215" t="s">
        <v>549</v>
      </c>
      <c r="AP408" s="215" t="s">
        <v>550</v>
      </c>
      <c r="AQ408" s="217">
        <v>127.23917598649743</v>
      </c>
      <c r="AR408" s="217" t="b">
        <v>0</v>
      </c>
      <c r="AS408" s="215" t="s">
        <v>534</v>
      </c>
    </row>
    <row r="409" spans="1:45" s="218" customFormat="1" x14ac:dyDescent="0.25">
      <c r="A409" s="245" t="str">
        <f t="shared" si="55"/>
        <v/>
      </c>
      <c r="B409" s="246" t="str">
        <f t="shared" si="48"/>
        <v/>
      </c>
      <c r="C409" s="246" t="str">
        <f>IF(B409="","",VLOOKUP(D409,'Species Data'!B:E,4,FALSE))</f>
        <v/>
      </c>
      <c r="D409" s="246" t="str">
        <f t="shared" ca="1" si="49"/>
        <v/>
      </c>
      <c r="E409" s="246" t="str">
        <f t="shared" ca="1" si="50"/>
        <v/>
      </c>
      <c r="F409" s="246" t="str">
        <f t="shared" ca="1" si="51"/>
        <v/>
      </c>
      <c r="G409" s="246" t="str">
        <f t="shared" ca="1" si="52"/>
        <v/>
      </c>
      <c r="H409" s="204" t="str">
        <f ca="1">IF(G409="","",IF(VLOOKUP(Separator!F409,'Species Data'!D:F,3,FALSE)=0,"X",IF(G409&lt;44.1,2,1)))</f>
        <v/>
      </c>
      <c r="I409" s="204" t="str">
        <f t="shared" ca="1" si="53"/>
        <v/>
      </c>
      <c r="J409" s="247" t="str">
        <f ca="1">IF(I409="","",IF(COUNTIF($D$12:D409,D409)=1,IF(H409=1,I409*H409,IF(H409="X","X",0)),0))</f>
        <v/>
      </c>
      <c r="K409" s="248" t="str">
        <f t="shared" ca="1" si="54"/>
        <v/>
      </c>
      <c r="L409" s="239"/>
      <c r="M409" s="215"/>
      <c r="N409" s="215"/>
      <c r="O409" s="216"/>
      <c r="P409" s="215"/>
      <c r="Q409" s="217"/>
      <c r="R409" s="215"/>
      <c r="S409" s="215"/>
      <c r="T409" s="215"/>
      <c r="U409" s="215"/>
      <c r="V409" s="217"/>
      <c r="W409" s="217"/>
      <c r="X409" s="217"/>
      <c r="Y409" s="217"/>
      <c r="Z409" s="217"/>
      <c r="AA409" s="215"/>
      <c r="AB409" s="215"/>
      <c r="AC409" s="215"/>
      <c r="AD409" s="217">
        <v>1.434064</v>
      </c>
      <c r="AE409" s="217">
        <v>25</v>
      </c>
      <c r="AF409" s="217">
        <v>0.38679999999999998</v>
      </c>
      <c r="AG409" s="217">
        <v>-99</v>
      </c>
      <c r="AH409" s="215" t="s">
        <v>224</v>
      </c>
      <c r="AI409" s="215" t="s">
        <v>449</v>
      </c>
      <c r="AJ409" s="215" t="s">
        <v>627</v>
      </c>
      <c r="AK409" s="215" t="s">
        <v>531</v>
      </c>
      <c r="AL409" s="215" t="s">
        <v>628</v>
      </c>
      <c r="AM409" s="217" t="b">
        <v>1</v>
      </c>
      <c r="AN409" s="217" t="b">
        <v>0</v>
      </c>
      <c r="AO409" s="215" t="s">
        <v>629</v>
      </c>
      <c r="AP409" s="215" t="s">
        <v>630</v>
      </c>
      <c r="AQ409" s="217">
        <v>120.19158</v>
      </c>
      <c r="AR409" s="217" t="b">
        <v>0</v>
      </c>
      <c r="AS409" s="215" t="s">
        <v>534</v>
      </c>
    </row>
    <row r="410" spans="1:45" s="218" customFormat="1" x14ac:dyDescent="0.25">
      <c r="A410" s="245" t="str">
        <f t="shared" si="55"/>
        <v/>
      </c>
      <c r="B410" s="246" t="str">
        <f t="shared" si="48"/>
        <v/>
      </c>
      <c r="C410" s="246" t="str">
        <f>IF(B410="","",VLOOKUP(D410,'Species Data'!B:E,4,FALSE))</f>
        <v/>
      </c>
      <c r="D410" s="246" t="str">
        <f t="shared" ca="1" si="49"/>
        <v/>
      </c>
      <c r="E410" s="246" t="str">
        <f t="shared" ca="1" si="50"/>
        <v/>
      </c>
      <c r="F410" s="246" t="str">
        <f t="shared" ca="1" si="51"/>
        <v/>
      </c>
      <c r="G410" s="246" t="str">
        <f t="shared" ca="1" si="52"/>
        <v/>
      </c>
      <c r="H410" s="204" t="str">
        <f ca="1">IF(G410="","",IF(VLOOKUP(Separator!F410,'Species Data'!D:F,3,FALSE)=0,"X",IF(G410&lt;44.1,2,1)))</f>
        <v/>
      </c>
      <c r="I410" s="204" t="str">
        <f t="shared" ca="1" si="53"/>
        <v/>
      </c>
      <c r="J410" s="247" t="str">
        <f ca="1">IF(I410="","",IF(COUNTIF($D$12:D410,D410)=1,IF(H410=1,I410*H410,IF(H410="X","X",0)),0))</f>
        <v/>
      </c>
      <c r="K410" s="248" t="str">
        <f t="shared" ca="1" si="54"/>
        <v/>
      </c>
      <c r="L410" s="239"/>
      <c r="M410" s="215"/>
      <c r="N410" s="215"/>
      <c r="O410" s="216"/>
      <c r="P410" s="215"/>
      <c r="Q410" s="217"/>
      <c r="R410" s="215"/>
      <c r="S410" s="215"/>
      <c r="T410" s="215"/>
      <c r="U410" s="215"/>
      <c r="V410" s="217"/>
      <c r="W410" s="217"/>
      <c r="X410" s="217"/>
      <c r="Y410" s="217"/>
      <c r="Z410" s="217"/>
      <c r="AA410" s="215"/>
      <c r="AB410" s="215"/>
      <c r="AC410" s="215"/>
      <c r="AD410" s="217">
        <v>1.434064</v>
      </c>
      <c r="AE410" s="217">
        <v>30</v>
      </c>
      <c r="AF410" s="217">
        <v>0.68149999999999999</v>
      </c>
      <c r="AG410" s="217">
        <v>-99</v>
      </c>
      <c r="AH410" s="215" t="s">
        <v>224</v>
      </c>
      <c r="AI410" s="215" t="s">
        <v>449</v>
      </c>
      <c r="AJ410" s="215" t="s">
        <v>359</v>
      </c>
      <c r="AK410" s="215" t="s">
        <v>531</v>
      </c>
      <c r="AL410" s="215" t="s">
        <v>531</v>
      </c>
      <c r="AM410" s="217" t="b">
        <v>1</v>
      </c>
      <c r="AN410" s="217" t="b">
        <v>0</v>
      </c>
      <c r="AO410" s="215" t="s">
        <v>360</v>
      </c>
      <c r="AP410" s="215" t="s">
        <v>361</v>
      </c>
      <c r="AQ410" s="217">
        <v>120.19158</v>
      </c>
      <c r="AR410" s="217" t="b">
        <v>0</v>
      </c>
      <c r="AS410" s="215" t="s">
        <v>534</v>
      </c>
    </row>
    <row r="411" spans="1:45" s="219" customFormat="1" x14ac:dyDescent="0.25">
      <c r="A411" s="245" t="str">
        <f t="shared" si="55"/>
        <v/>
      </c>
      <c r="B411" s="246" t="str">
        <f t="shared" si="48"/>
        <v/>
      </c>
      <c r="C411" s="246" t="str">
        <f>IF(B411="","",VLOOKUP(D411,'Species Data'!B:E,4,FALSE))</f>
        <v/>
      </c>
      <c r="D411" s="246" t="str">
        <f t="shared" ca="1" si="49"/>
        <v/>
      </c>
      <c r="E411" s="246" t="str">
        <f t="shared" ca="1" si="50"/>
        <v/>
      </c>
      <c r="F411" s="246" t="str">
        <f t="shared" ca="1" si="51"/>
        <v/>
      </c>
      <c r="G411" s="246" t="str">
        <f t="shared" ca="1" si="52"/>
        <v/>
      </c>
      <c r="H411" s="204" t="str">
        <f ca="1">IF(G411="","",IF(VLOOKUP(Separator!F411,'Species Data'!D:F,3,FALSE)=0,"X",IF(G411&lt;44.1,2,1)))</f>
        <v/>
      </c>
      <c r="I411" s="204" t="str">
        <f t="shared" ca="1" si="53"/>
        <v/>
      </c>
      <c r="J411" s="247" t="str">
        <f ca="1">IF(I411="","",IF(COUNTIF($D$12:D411,D411)=1,IF(H411=1,I411*H411,IF(H411="X","X",0)),0))</f>
        <v/>
      </c>
      <c r="K411" s="248" t="str">
        <f t="shared" ca="1" si="54"/>
        <v/>
      </c>
      <c r="L411" s="239"/>
      <c r="M411" s="215"/>
      <c r="N411" s="215"/>
      <c r="O411" s="216"/>
      <c r="P411" s="215"/>
      <c r="Q411" s="217"/>
      <c r="R411" s="215"/>
      <c r="S411" s="215"/>
      <c r="T411" s="215"/>
      <c r="U411" s="215"/>
      <c r="V411" s="217"/>
      <c r="W411" s="217"/>
      <c r="X411" s="217"/>
      <c r="Y411" s="217"/>
      <c r="Z411" s="217"/>
      <c r="AA411" s="215"/>
      <c r="AB411" s="215"/>
      <c r="AC411" s="215"/>
      <c r="AD411" s="217">
        <v>1.434064</v>
      </c>
      <c r="AE411" s="217">
        <v>51</v>
      </c>
      <c r="AF411" s="217">
        <v>0.4904</v>
      </c>
      <c r="AG411" s="217">
        <v>-99</v>
      </c>
      <c r="AH411" s="215" t="s">
        <v>224</v>
      </c>
      <c r="AI411" s="215" t="s">
        <v>449</v>
      </c>
      <c r="AJ411" s="215" t="s">
        <v>634</v>
      </c>
      <c r="AK411" s="215" t="s">
        <v>531</v>
      </c>
      <c r="AL411" s="215" t="s">
        <v>635</v>
      </c>
      <c r="AM411" s="217" t="b">
        <v>1</v>
      </c>
      <c r="AN411" s="217" t="b">
        <v>0</v>
      </c>
      <c r="AO411" s="215" t="s">
        <v>636</v>
      </c>
      <c r="AP411" s="215" t="s">
        <v>637</v>
      </c>
      <c r="AQ411" s="217">
        <v>134.21816000000001</v>
      </c>
      <c r="AR411" s="217" t="b">
        <v>0</v>
      </c>
      <c r="AS411" s="215" t="s">
        <v>534</v>
      </c>
    </row>
    <row r="412" spans="1:45" s="219" customFormat="1" x14ac:dyDescent="0.25">
      <c r="A412" s="245" t="str">
        <f t="shared" si="55"/>
        <v/>
      </c>
      <c r="B412" s="246" t="str">
        <f t="shared" si="48"/>
        <v/>
      </c>
      <c r="C412" s="246" t="str">
        <f>IF(B412="","",VLOOKUP(D412,'Species Data'!B:E,4,FALSE))</f>
        <v/>
      </c>
      <c r="D412" s="246" t="str">
        <f t="shared" ca="1" si="49"/>
        <v/>
      </c>
      <c r="E412" s="246" t="str">
        <f t="shared" ca="1" si="50"/>
        <v/>
      </c>
      <c r="F412" s="246" t="str">
        <f t="shared" ca="1" si="51"/>
        <v/>
      </c>
      <c r="G412" s="246" t="str">
        <f t="shared" ca="1" si="52"/>
        <v/>
      </c>
      <c r="H412" s="204" t="str">
        <f ca="1">IF(G412="","",IF(VLOOKUP(Separator!F412,'Species Data'!D:F,3,FALSE)=0,"X",IF(G412&lt;44.1,2,1)))</f>
        <v/>
      </c>
      <c r="I412" s="204" t="str">
        <f t="shared" ca="1" si="53"/>
        <v/>
      </c>
      <c r="J412" s="247" t="str">
        <f ca="1">IF(I412="","",IF(COUNTIF($D$12:D412,D412)=1,IF(H412=1,I412*H412,IF(H412="X","X",0)),0))</f>
        <v/>
      </c>
      <c r="K412" s="248" t="str">
        <f t="shared" ca="1" si="54"/>
        <v/>
      </c>
      <c r="L412" s="239"/>
      <c r="M412" s="215"/>
      <c r="N412" s="215"/>
      <c r="O412" s="216"/>
      <c r="P412" s="215"/>
      <c r="Q412" s="217"/>
      <c r="R412" s="215"/>
      <c r="S412" s="215"/>
      <c r="T412" s="215"/>
      <c r="U412" s="215"/>
      <c r="V412" s="217"/>
      <c r="W412" s="217"/>
      <c r="X412" s="217"/>
      <c r="Y412" s="217"/>
      <c r="Z412" s="217"/>
      <c r="AA412" s="215"/>
      <c r="AB412" s="215"/>
      <c r="AC412" s="215"/>
      <c r="AD412" s="217">
        <v>1.434064</v>
      </c>
      <c r="AE412" s="217">
        <v>80</v>
      </c>
      <c r="AF412" s="217">
        <v>0.16919999999999999</v>
      </c>
      <c r="AG412" s="217">
        <v>-99</v>
      </c>
      <c r="AH412" s="215" t="s">
        <v>224</v>
      </c>
      <c r="AI412" s="215" t="s">
        <v>449</v>
      </c>
      <c r="AJ412" s="215" t="s">
        <v>408</v>
      </c>
      <c r="AK412" s="215" t="s">
        <v>531</v>
      </c>
      <c r="AL412" s="215" t="s">
        <v>450</v>
      </c>
      <c r="AM412" s="217" t="b">
        <v>1</v>
      </c>
      <c r="AN412" s="217" t="b">
        <v>0</v>
      </c>
      <c r="AO412" s="215" t="s">
        <v>409</v>
      </c>
      <c r="AP412" s="215" t="s">
        <v>410</v>
      </c>
      <c r="AQ412" s="217">
        <v>120.19158</v>
      </c>
      <c r="AR412" s="217" t="b">
        <v>0</v>
      </c>
      <c r="AS412" s="215" t="s">
        <v>534</v>
      </c>
    </row>
    <row r="413" spans="1:45" s="219" customFormat="1" x14ac:dyDescent="0.25">
      <c r="A413" s="245" t="str">
        <f t="shared" si="55"/>
        <v/>
      </c>
      <c r="B413" s="246" t="str">
        <f t="shared" si="48"/>
        <v/>
      </c>
      <c r="C413" s="246" t="str">
        <f>IF(B413="","",VLOOKUP(D413,'Species Data'!B:E,4,FALSE))</f>
        <v/>
      </c>
      <c r="D413" s="246" t="str">
        <f t="shared" ca="1" si="49"/>
        <v/>
      </c>
      <c r="E413" s="246" t="str">
        <f t="shared" ca="1" si="50"/>
        <v/>
      </c>
      <c r="F413" s="246" t="str">
        <f t="shared" ca="1" si="51"/>
        <v/>
      </c>
      <c r="G413" s="246" t="str">
        <f t="shared" ca="1" si="52"/>
        <v/>
      </c>
      <c r="H413" s="204" t="str">
        <f ca="1">IF(G413="","",IF(VLOOKUP(Separator!F413,'Species Data'!D:F,3,FALSE)=0,"X",IF(G413&lt;44.1,2,1)))</f>
        <v/>
      </c>
      <c r="I413" s="204" t="str">
        <f t="shared" ca="1" si="53"/>
        <v/>
      </c>
      <c r="J413" s="247" t="str">
        <f ca="1">IF(I413="","",IF(COUNTIF($D$12:D413,D413)=1,IF(H413=1,I413*H413,IF(H413="X","X",0)),0))</f>
        <v/>
      </c>
      <c r="K413" s="248" t="str">
        <f t="shared" ca="1" si="54"/>
        <v/>
      </c>
      <c r="L413" s="239"/>
      <c r="M413" s="215"/>
      <c r="N413" s="215"/>
      <c r="O413" s="216"/>
      <c r="P413" s="215"/>
      <c r="Q413" s="217"/>
      <c r="R413" s="215"/>
      <c r="S413" s="215"/>
      <c r="T413" s="215"/>
      <c r="U413" s="215"/>
      <c r="V413" s="217"/>
      <c r="W413" s="217"/>
      <c r="X413" s="217"/>
      <c r="Y413" s="217"/>
      <c r="Z413" s="217"/>
      <c r="AA413" s="215"/>
      <c r="AB413" s="215"/>
      <c r="AC413" s="215"/>
      <c r="AD413" s="217">
        <v>1.434064</v>
      </c>
      <c r="AE413" s="217">
        <v>89</v>
      </c>
      <c r="AF413" s="217">
        <v>0.55159999999999998</v>
      </c>
      <c r="AG413" s="217">
        <v>-99</v>
      </c>
      <c r="AH413" s="215" t="s">
        <v>224</v>
      </c>
      <c r="AI413" s="215" t="s">
        <v>449</v>
      </c>
      <c r="AJ413" s="215" t="s">
        <v>411</v>
      </c>
      <c r="AK413" s="215" t="s">
        <v>531</v>
      </c>
      <c r="AL413" s="215" t="s">
        <v>451</v>
      </c>
      <c r="AM413" s="217" t="b">
        <v>1</v>
      </c>
      <c r="AN413" s="217" t="b">
        <v>0</v>
      </c>
      <c r="AO413" s="215" t="s">
        <v>412</v>
      </c>
      <c r="AP413" s="215" t="s">
        <v>413</v>
      </c>
      <c r="AQ413" s="217">
        <v>120.19158</v>
      </c>
      <c r="AR413" s="217" t="b">
        <v>0</v>
      </c>
      <c r="AS413" s="215" t="s">
        <v>534</v>
      </c>
    </row>
    <row r="414" spans="1:45" s="219" customFormat="1" x14ac:dyDescent="0.25">
      <c r="A414" s="245" t="str">
        <f t="shared" si="55"/>
        <v/>
      </c>
      <c r="B414" s="246" t="str">
        <f t="shared" si="48"/>
        <v/>
      </c>
      <c r="C414" s="246" t="str">
        <f>IF(B414="","",VLOOKUP(D414,'Species Data'!B:E,4,FALSE))</f>
        <v/>
      </c>
      <c r="D414" s="246" t="str">
        <f t="shared" ca="1" si="49"/>
        <v/>
      </c>
      <c r="E414" s="246" t="str">
        <f t="shared" ca="1" si="50"/>
        <v/>
      </c>
      <c r="F414" s="246" t="str">
        <f t="shared" ca="1" si="51"/>
        <v/>
      </c>
      <c r="G414" s="246" t="str">
        <f t="shared" ca="1" si="52"/>
        <v/>
      </c>
      <c r="H414" s="204" t="str">
        <f ca="1">IF(G414="","",IF(VLOOKUP(Separator!F414,'Species Data'!D:F,3,FALSE)=0,"X",IF(G414&lt;44.1,2,1)))</f>
        <v/>
      </c>
      <c r="I414" s="204" t="str">
        <f t="shared" ca="1" si="53"/>
        <v/>
      </c>
      <c r="J414" s="247" t="str">
        <f ca="1">IF(I414="","",IF(COUNTIF($D$12:D414,D414)=1,IF(H414=1,I414*H414,IF(H414="X","X",0)),0))</f>
        <v/>
      </c>
      <c r="K414" s="248" t="str">
        <f t="shared" ca="1" si="54"/>
        <v/>
      </c>
      <c r="L414" s="239"/>
      <c r="M414" s="215"/>
      <c r="N414" s="215"/>
      <c r="O414" s="216"/>
      <c r="P414" s="215"/>
      <c r="Q414" s="217"/>
      <c r="R414" s="215"/>
      <c r="S414" s="215"/>
      <c r="T414" s="215"/>
      <c r="U414" s="215"/>
      <c r="V414" s="217"/>
      <c r="W414" s="217"/>
      <c r="X414" s="217"/>
      <c r="Y414" s="217"/>
      <c r="Z414" s="217"/>
      <c r="AA414" s="215"/>
      <c r="AB414" s="215"/>
      <c r="AC414" s="215"/>
      <c r="AD414" s="217">
        <v>1.434064</v>
      </c>
      <c r="AE414" s="217">
        <v>138</v>
      </c>
      <c r="AF414" s="217">
        <v>7.4399999999999994E-2</v>
      </c>
      <c r="AG414" s="217">
        <v>-99</v>
      </c>
      <c r="AH414" s="215" t="s">
        <v>224</v>
      </c>
      <c r="AI414" s="215" t="s">
        <v>449</v>
      </c>
      <c r="AJ414" s="215" t="s">
        <v>443</v>
      </c>
      <c r="AK414" s="215" t="s">
        <v>531</v>
      </c>
      <c r="AL414" s="215" t="s">
        <v>463</v>
      </c>
      <c r="AM414" s="217" t="b">
        <v>0</v>
      </c>
      <c r="AN414" s="217" t="b">
        <v>0</v>
      </c>
      <c r="AO414" s="215" t="s">
        <v>444</v>
      </c>
      <c r="AP414" s="215" t="s">
        <v>531</v>
      </c>
      <c r="AQ414" s="217">
        <v>114.22852</v>
      </c>
      <c r="AR414" s="217" t="b">
        <v>0</v>
      </c>
      <c r="AS414" s="215" t="s">
        <v>534</v>
      </c>
    </row>
    <row r="415" spans="1:45" s="219" customFormat="1" x14ac:dyDescent="0.25">
      <c r="A415" s="245" t="str">
        <f t="shared" si="55"/>
        <v/>
      </c>
      <c r="B415" s="246" t="str">
        <f t="shared" si="48"/>
        <v/>
      </c>
      <c r="C415" s="246" t="str">
        <f>IF(B415="","",VLOOKUP(D415,'Species Data'!B:E,4,FALSE))</f>
        <v/>
      </c>
      <c r="D415" s="246" t="str">
        <f t="shared" ca="1" si="49"/>
        <v/>
      </c>
      <c r="E415" s="246" t="str">
        <f t="shared" ca="1" si="50"/>
        <v/>
      </c>
      <c r="F415" s="246" t="str">
        <f t="shared" ca="1" si="51"/>
        <v/>
      </c>
      <c r="G415" s="246" t="str">
        <f t="shared" ca="1" si="52"/>
        <v/>
      </c>
      <c r="H415" s="204" t="str">
        <f ca="1">IF(G415="","",IF(VLOOKUP(Separator!F415,'Species Data'!D:F,3,FALSE)=0,"X",IF(G415&lt;44.1,2,1)))</f>
        <v/>
      </c>
      <c r="I415" s="204" t="str">
        <f t="shared" ca="1" si="53"/>
        <v/>
      </c>
      <c r="J415" s="247" t="str">
        <f ca="1">IF(I415="","",IF(COUNTIF($D$12:D415,D415)=1,IF(H415=1,I415*H415,IF(H415="X","X",0)),0))</f>
        <v/>
      </c>
      <c r="K415" s="248" t="str">
        <f t="shared" ca="1" si="54"/>
        <v/>
      </c>
      <c r="L415" s="239"/>
      <c r="M415" s="215"/>
      <c r="N415" s="215"/>
      <c r="O415" s="216"/>
      <c r="P415" s="215"/>
      <c r="Q415" s="217"/>
      <c r="R415" s="215"/>
      <c r="S415" s="215"/>
      <c r="T415" s="215"/>
      <c r="U415" s="215"/>
      <c r="V415" s="217"/>
      <c r="W415" s="217"/>
      <c r="X415" s="217"/>
      <c r="Y415" s="217"/>
      <c r="Z415" s="217"/>
      <c r="AA415" s="215"/>
      <c r="AB415" s="215"/>
      <c r="AC415" s="215"/>
      <c r="AD415" s="217">
        <v>1.434064</v>
      </c>
      <c r="AE415" s="217">
        <v>140</v>
      </c>
      <c r="AF415" s="217">
        <v>0.19350000000000001</v>
      </c>
      <c r="AG415" s="217">
        <v>-99</v>
      </c>
      <c r="AH415" s="215" t="s">
        <v>224</v>
      </c>
      <c r="AI415" s="215" t="s">
        <v>449</v>
      </c>
      <c r="AJ415" s="215" t="s">
        <v>307</v>
      </c>
      <c r="AK415" s="215" t="s">
        <v>531</v>
      </c>
      <c r="AL415" s="215" t="s">
        <v>385</v>
      </c>
      <c r="AM415" s="217" t="b">
        <v>1</v>
      </c>
      <c r="AN415" s="217" t="b">
        <v>0</v>
      </c>
      <c r="AO415" s="215" t="s">
        <v>308</v>
      </c>
      <c r="AP415" s="215" t="s">
        <v>309</v>
      </c>
      <c r="AQ415" s="217">
        <v>100.20194000000001</v>
      </c>
      <c r="AR415" s="217" t="b">
        <v>0</v>
      </c>
      <c r="AS415" s="215" t="s">
        <v>534</v>
      </c>
    </row>
    <row r="416" spans="1:45" s="219" customFormat="1" x14ac:dyDescent="0.25">
      <c r="A416" s="245" t="str">
        <f t="shared" si="55"/>
        <v/>
      </c>
      <c r="B416" s="246" t="str">
        <f t="shared" si="48"/>
        <v/>
      </c>
      <c r="C416" s="246" t="str">
        <f>IF(B416="","",VLOOKUP(D416,'Species Data'!B:E,4,FALSE))</f>
        <v/>
      </c>
      <c r="D416" s="246" t="str">
        <f t="shared" ca="1" si="49"/>
        <v/>
      </c>
      <c r="E416" s="246" t="str">
        <f t="shared" ca="1" si="50"/>
        <v/>
      </c>
      <c r="F416" s="246" t="str">
        <f t="shared" ca="1" si="51"/>
        <v/>
      </c>
      <c r="G416" s="246" t="str">
        <f t="shared" ca="1" si="52"/>
        <v/>
      </c>
      <c r="H416" s="204" t="str">
        <f ca="1">IF(G416="","",IF(VLOOKUP(Separator!F416,'Species Data'!D:F,3,FALSE)=0,"X",IF(G416&lt;44.1,2,1)))</f>
        <v/>
      </c>
      <c r="I416" s="204" t="str">
        <f t="shared" ca="1" si="53"/>
        <v/>
      </c>
      <c r="J416" s="247" t="str">
        <f ca="1">IF(I416="","",IF(COUNTIF($D$12:D416,D416)=1,IF(H416=1,I416*H416,IF(H416="X","X",0)),0))</f>
        <v/>
      </c>
      <c r="K416" s="248" t="str">
        <f t="shared" ca="1" si="54"/>
        <v/>
      </c>
      <c r="L416" s="239"/>
      <c r="M416" s="215"/>
      <c r="N416" s="215"/>
      <c r="O416" s="216"/>
      <c r="P416" s="215"/>
      <c r="Q416" s="217"/>
      <c r="R416" s="215"/>
      <c r="S416" s="215"/>
      <c r="T416" s="215"/>
      <c r="U416" s="215"/>
      <c r="V416" s="217"/>
      <c r="W416" s="217"/>
      <c r="X416" s="217"/>
      <c r="Y416" s="217"/>
      <c r="Z416" s="217"/>
      <c r="AA416" s="215"/>
      <c r="AB416" s="215"/>
      <c r="AC416" s="215"/>
      <c r="AD416" s="217">
        <v>1.434064</v>
      </c>
      <c r="AE416" s="217">
        <v>149</v>
      </c>
      <c r="AF416" s="217">
        <v>4.6100000000000002E-2</v>
      </c>
      <c r="AG416" s="217">
        <v>-99</v>
      </c>
      <c r="AH416" s="215" t="s">
        <v>224</v>
      </c>
      <c r="AI416" s="215" t="s">
        <v>449</v>
      </c>
      <c r="AJ416" s="215" t="s">
        <v>427</v>
      </c>
      <c r="AK416" s="215" t="s">
        <v>531</v>
      </c>
      <c r="AL416" s="215" t="s">
        <v>457</v>
      </c>
      <c r="AM416" s="217" t="b">
        <v>0</v>
      </c>
      <c r="AN416" s="217" t="b">
        <v>0</v>
      </c>
      <c r="AO416" s="215" t="s">
        <v>428</v>
      </c>
      <c r="AP416" s="215" t="s">
        <v>429</v>
      </c>
      <c r="AQ416" s="217">
        <v>114.22852</v>
      </c>
      <c r="AR416" s="217" t="b">
        <v>0</v>
      </c>
      <c r="AS416" s="215" t="s">
        <v>534</v>
      </c>
    </row>
    <row r="417" spans="1:45" s="219" customFormat="1" x14ac:dyDescent="0.25">
      <c r="A417" s="245" t="str">
        <f t="shared" si="55"/>
        <v/>
      </c>
      <c r="B417" s="246" t="str">
        <f t="shared" si="48"/>
        <v/>
      </c>
      <c r="C417" s="246" t="str">
        <f>IF(B417="","",VLOOKUP(D417,'Species Data'!B:E,4,FALSE))</f>
        <v/>
      </c>
      <c r="D417" s="246" t="str">
        <f t="shared" ca="1" si="49"/>
        <v/>
      </c>
      <c r="E417" s="246" t="str">
        <f t="shared" ca="1" si="50"/>
        <v/>
      </c>
      <c r="F417" s="246" t="str">
        <f t="shared" ca="1" si="51"/>
        <v/>
      </c>
      <c r="G417" s="246" t="str">
        <f t="shared" ca="1" si="52"/>
        <v/>
      </c>
      <c r="H417" s="204" t="str">
        <f ca="1">IF(G417="","",IF(VLOOKUP(Separator!F417,'Species Data'!D:F,3,FALSE)=0,"X",IF(G417&lt;44.1,2,1)))</f>
        <v/>
      </c>
      <c r="I417" s="204" t="str">
        <f t="shared" ca="1" si="53"/>
        <v/>
      </c>
      <c r="J417" s="247" t="str">
        <f ca="1">IF(I417="","",IF(COUNTIF($D$12:D417,D417)=1,IF(H417=1,I417*H417,IF(H417="X","X",0)),0))</f>
        <v/>
      </c>
      <c r="K417" s="248" t="str">
        <f t="shared" ca="1" si="54"/>
        <v/>
      </c>
      <c r="L417" s="239"/>
      <c r="M417" s="215"/>
      <c r="N417" s="215"/>
      <c r="O417" s="216"/>
      <c r="P417" s="215"/>
      <c r="Q417" s="217"/>
      <c r="R417" s="215"/>
      <c r="S417" s="215"/>
      <c r="T417" s="215"/>
      <c r="U417" s="215"/>
      <c r="V417" s="217"/>
      <c r="W417" s="217"/>
      <c r="X417" s="217"/>
      <c r="Y417" s="217"/>
      <c r="Z417" s="217"/>
      <c r="AA417" s="215"/>
      <c r="AB417" s="215"/>
      <c r="AC417" s="215"/>
      <c r="AD417" s="217">
        <v>1.434064</v>
      </c>
      <c r="AE417" s="217">
        <v>193</v>
      </c>
      <c r="AF417" s="217">
        <v>0.6905</v>
      </c>
      <c r="AG417" s="217">
        <v>-99</v>
      </c>
      <c r="AH417" s="215" t="s">
        <v>224</v>
      </c>
      <c r="AI417" s="215" t="s">
        <v>449</v>
      </c>
      <c r="AJ417" s="215" t="s">
        <v>313</v>
      </c>
      <c r="AK417" s="215" t="s">
        <v>531</v>
      </c>
      <c r="AL417" s="215" t="s">
        <v>387</v>
      </c>
      <c r="AM417" s="217" t="b">
        <v>1</v>
      </c>
      <c r="AN417" s="217" t="b">
        <v>0</v>
      </c>
      <c r="AO417" s="215" t="s">
        <v>314</v>
      </c>
      <c r="AP417" s="215" t="s">
        <v>315</v>
      </c>
      <c r="AQ417" s="217">
        <v>114.22852</v>
      </c>
      <c r="AR417" s="217" t="b">
        <v>0</v>
      </c>
      <c r="AS417" s="215" t="s">
        <v>534</v>
      </c>
    </row>
    <row r="418" spans="1:45" s="219" customFormat="1" x14ac:dyDescent="0.25">
      <c r="A418" s="245" t="str">
        <f t="shared" si="55"/>
        <v/>
      </c>
      <c r="B418" s="246" t="str">
        <f t="shared" si="48"/>
        <v/>
      </c>
      <c r="C418" s="246" t="str">
        <f>IF(B418="","",VLOOKUP(D418,'Species Data'!B:E,4,FALSE))</f>
        <v/>
      </c>
      <c r="D418" s="246" t="str">
        <f t="shared" ca="1" si="49"/>
        <v/>
      </c>
      <c r="E418" s="246" t="str">
        <f t="shared" ca="1" si="50"/>
        <v/>
      </c>
      <c r="F418" s="246" t="str">
        <f t="shared" ca="1" si="51"/>
        <v/>
      </c>
      <c r="G418" s="246" t="str">
        <f t="shared" ca="1" si="52"/>
        <v/>
      </c>
      <c r="H418" s="204" t="str">
        <f ca="1">IF(G418="","",IF(VLOOKUP(Separator!F418,'Species Data'!D:F,3,FALSE)=0,"X",IF(G418&lt;44.1,2,1)))</f>
        <v/>
      </c>
      <c r="I418" s="204" t="str">
        <f t="shared" ca="1" si="53"/>
        <v/>
      </c>
      <c r="J418" s="247" t="str">
        <f ca="1">IF(I418="","",IF(COUNTIF($D$12:D418,D418)=1,IF(H418=1,I418*H418,IF(H418="X","X",0)),0))</f>
        <v/>
      </c>
      <c r="K418" s="248" t="str">
        <f t="shared" ca="1" si="54"/>
        <v/>
      </c>
      <c r="L418" s="239"/>
      <c r="M418" s="215"/>
      <c r="N418" s="215"/>
      <c r="O418" s="216"/>
      <c r="P418" s="215"/>
      <c r="Q418" s="217"/>
      <c r="R418" s="215"/>
      <c r="S418" s="215"/>
      <c r="T418" s="215"/>
      <c r="U418" s="215"/>
      <c r="V418" s="217"/>
      <c r="W418" s="217"/>
      <c r="X418" s="217"/>
      <c r="Y418" s="217"/>
      <c r="Z418" s="217"/>
      <c r="AA418" s="215"/>
      <c r="AB418" s="215"/>
      <c r="AC418" s="215"/>
      <c r="AD418" s="217">
        <v>1.434064</v>
      </c>
      <c r="AE418" s="217">
        <v>194</v>
      </c>
      <c r="AF418" s="217">
        <v>0.2747</v>
      </c>
      <c r="AG418" s="217">
        <v>-99</v>
      </c>
      <c r="AH418" s="215" t="s">
        <v>224</v>
      </c>
      <c r="AI418" s="215" t="s">
        <v>449</v>
      </c>
      <c r="AJ418" s="215" t="s">
        <v>316</v>
      </c>
      <c r="AK418" s="215" t="s">
        <v>531</v>
      </c>
      <c r="AL418" s="215" t="s">
        <v>388</v>
      </c>
      <c r="AM418" s="217" t="b">
        <v>1</v>
      </c>
      <c r="AN418" s="217" t="b">
        <v>0</v>
      </c>
      <c r="AO418" s="215" t="s">
        <v>317</v>
      </c>
      <c r="AP418" s="215" t="s">
        <v>318</v>
      </c>
      <c r="AQ418" s="217">
        <v>100.20194000000001</v>
      </c>
      <c r="AR418" s="217" t="b">
        <v>0</v>
      </c>
      <c r="AS418" s="215" t="s">
        <v>534</v>
      </c>
    </row>
    <row r="419" spans="1:45" s="219" customFormat="1" x14ac:dyDescent="0.25">
      <c r="A419" s="245" t="str">
        <f t="shared" si="55"/>
        <v/>
      </c>
      <c r="B419" s="246" t="str">
        <f t="shared" si="48"/>
        <v/>
      </c>
      <c r="C419" s="246" t="str">
        <f>IF(B419="","",VLOOKUP(D419,'Species Data'!B:E,4,FALSE))</f>
        <v/>
      </c>
      <c r="D419" s="246" t="str">
        <f t="shared" ca="1" si="49"/>
        <v/>
      </c>
      <c r="E419" s="246" t="str">
        <f t="shared" ca="1" si="50"/>
        <v/>
      </c>
      <c r="F419" s="246" t="str">
        <f t="shared" ca="1" si="51"/>
        <v/>
      </c>
      <c r="G419" s="246" t="str">
        <f t="shared" ca="1" si="52"/>
        <v/>
      </c>
      <c r="H419" s="204" t="str">
        <f ca="1">IF(G419="","",IF(VLOOKUP(Separator!F419,'Species Data'!D:F,3,FALSE)=0,"X",IF(G419&lt;44.1,2,1)))</f>
        <v/>
      </c>
      <c r="I419" s="204" t="str">
        <f t="shared" ca="1" si="53"/>
        <v/>
      </c>
      <c r="J419" s="247" t="str">
        <f ca="1">IF(I419="","",IF(COUNTIF($D$12:D419,D419)=1,IF(H419=1,I419*H419,IF(H419="X","X",0)),0))</f>
        <v/>
      </c>
      <c r="K419" s="248" t="str">
        <f t="shared" ca="1" si="54"/>
        <v/>
      </c>
      <c r="L419" s="239"/>
      <c r="M419" s="215"/>
      <c r="N419" s="215"/>
      <c r="O419" s="216"/>
      <c r="P419" s="215"/>
      <c r="Q419" s="217"/>
      <c r="R419" s="215"/>
      <c r="S419" s="215"/>
      <c r="T419" s="215"/>
      <c r="U419" s="215"/>
      <c r="V419" s="217"/>
      <c r="W419" s="217"/>
      <c r="X419" s="217"/>
      <c r="Y419" s="217"/>
      <c r="Z419" s="217"/>
      <c r="AA419" s="215"/>
      <c r="AB419" s="215"/>
      <c r="AC419" s="215"/>
      <c r="AD419" s="217">
        <v>1.434064</v>
      </c>
      <c r="AE419" s="217">
        <v>199</v>
      </c>
      <c r="AF419" s="217">
        <v>0.69199999999999995</v>
      </c>
      <c r="AG419" s="217">
        <v>-99</v>
      </c>
      <c r="AH419" s="215" t="s">
        <v>224</v>
      </c>
      <c r="AI419" s="215" t="s">
        <v>449</v>
      </c>
      <c r="AJ419" s="215" t="s">
        <v>319</v>
      </c>
      <c r="AK419" s="215" t="s">
        <v>531</v>
      </c>
      <c r="AL419" s="215" t="s">
        <v>389</v>
      </c>
      <c r="AM419" s="217" t="b">
        <v>1</v>
      </c>
      <c r="AN419" s="217" t="b">
        <v>0</v>
      </c>
      <c r="AO419" s="215" t="s">
        <v>320</v>
      </c>
      <c r="AP419" s="215" t="s">
        <v>321</v>
      </c>
      <c r="AQ419" s="217">
        <v>86.175359999999998</v>
      </c>
      <c r="AR419" s="217" t="b">
        <v>0</v>
      </c>
      <c r="AS419" s="215" t="s">
        <v>534</v>
      </c>
    </row>
    <row r="420" spans="1:45" s="219" customFormat="1" x14ac:dyDescent="0.25">
      <c r="A420" s="245" t="str">
        <f t="shared" si="55"/>
        <v/>
      </c>
      <c r="B420" s="246" t="str">
        <f t="shared" si="48"/>
        <v/>
      </c>
      <c r="C420" s="246" t="str">
        <f>IF(B420="","",VLOOKUP(D420,'Species Data'!B:E,4,FALSE))</f>
        <v/>
      </c>
      <c r="D420" s="246" t="str">
        <f t="shared" ca="1" si="49"/>
        <v/>
      </c>
      <c r="E420" s="246" t="str">
        <f t="shared" ca="1" si="50"/>
        <v/>
      </c>
      <c r="F420" s="246" t="str">
        <f t="shared" ca="1" si="51"/>
        <v/>
      </c>
      <c r="G420" s="246" t="str">
        <f t="shared" ca="1" si="52"/>
        <v/>
      </c>
      <c r="H420" s="204" t="str">
        <f ca="1">IF(G420="","",IF(VLOOKUP(Separator!F420,'Species Data'!D:F,3,FALSE)=0,"X",IF(G420&lt;44.1,2,1)))</f>
        <v/>
      </c>
      <c r="I420" s="204" t="str">
        <f t="shared" ca="1" si="53"/>
        <v/>
      </c>
      <c r="J420" s="247" t="str">
        <f ca="1">IF(I420="","",IF(COUNTIF($D$12:D420,D420)=1,IF(H420=1,I420*H420,IF(H420="X","X",0)),0))</f>
        <v/>
      </c>
      <c r="K420" s="248" t="str">
        <f t="shared" ca="1" si="54"/>
        <v/>
      </c>
      <c r="L420" s="239"/>
      <c r="M420" s="215"/>
      <c r="N420" s="215"/>
      <c r="O420" s="216"/>
      <c r="P420" s="215"/>
      <c r="Q420" s="217"/>
      <c r="R420" s="215"/>
      <c r="S420" s="215"/>
      <c r="T420" s="215"/>
      <c r="U420" s="215"/>
      <c r="V420" s="217"/>
      <c r="W420" s="217"/>
      <c r="X420" s="217"/>
      <c r="Y420" s="217"/>
      <c r="Z420" s="217"/>
      <c r="AA420" s="215"/>
      <c r="AB420" s="215"/>
      <c r="AC420" s="215"/>
      <c r="AD420" s="217">
        <v>1.434064</v>
      </c>
      <c r="AE420" s="217">
        <v>226</v>
      </c>
      <c r="AF420" s="217">
        <v>0.30570000000000003</v>
      </c>
      <c r="AG420" s="217">
        <v>-99</v>
      </c>
      <c r="AH420" s="215" t="s">
        <v>224</v>
      </c>
      <c r="AI420" s="215" t="s">
        <v>449</v>
      </c>
      <c r="AJ420" s="215" t="s">
        <v>439</v>
      </c>
      <c r="AK420" s="215" t="s">
        <v>531</v>
      </c>
      <c r="AL420" s="215" t="s">
        <v>461</v>
      </c>
      <c r="AM420" s="217" t="b">
        <v>0</v>
      </c>
      <c r="AN420" s="217" t="b">
        <v>0</v>
      </c>
      <c r="AO420" s="215" t="s">
        <v>440</v>
      </c>
      <c r="AP420" s="215" t="s">
        <v>531</v>
      </c>
      <c r="AQ420" s="217">
        <v>114.22852</v>
      </c>
      <c r="AR420" s="217" t="b">
        <v>0</v>
      </c>
      <c r="AS420" s="215" t="s">
        <v>534</v>
      </c>
    </row>
    <row r="421" spans="1:45" s="219" customFormat="1" x14ac:dyDescent="0.25">
      <c r="A421" s="245" t="str">
        <f t="shared" si="55"/>
        <v/>
      </c>
      <c r="B421" s="246" t="str">
        <f t="shared" si="48"/>
        <v/>
      </c>
      <c r="C421" s="246" t="str">
        <f>IF(B421="","",VLOOKUP(D421,'Species Data'!B:E,4,FALSE))</f>
        <v/>
      </c>
      <c r="D421" s="246" t="str">
        <f t="shared" ca="1" si="49"/>
        <v/>
      </c>
      <c r="E421" s="246" t="str">
        <f t="shared" ca="1" si="50"/>
        <v/>
      </c>
      <c r="F421" s="246" t="str">
        <f t="shared" ca="1" si="51"/>
        <v/>
      </c>
      <c r="G421" s="246" t="str">
        <f t="shared" ca="1" si="52"/>
        <v/>
      </c>
      <c r="H421" s="204" t="str">
        <f ca="1">IF(G421="","",IF(VLOOKUP(Separator!F421,'Species Data'!D:F,3,FALSE)=0,"X",IF(G421&lt;44.1,2,1)))</f>
        <v/>
      </c>
      <c r="I421" s="204" t="str">
        <f t="shared" ca="1" si="53"/>
        <v/>
      </c>
      <c r="J421" s="247" t="str">
        <f ca="1">IF(I421="","",IF(COUNTIF($D$12:D421,D421)=1,IF(H421=1,I421*H421,IF(H421="X","X",0)),0))</f>
        <v/>
      </c>
      <c r="K421" s="248" t="str">
        <f t="shared" ca="1" si="54"/>
        <v/>
      </c>
      <c r="L421" s="239"/>
      <c r="M421" s="215"/>
      <c r="N421" s="215"/>
      <c r="O421" s="216"/>
      <c r="P421" s="215"/>
      <c r="Q421" s="217"/>
      <c r="R421" s="215"/>
      <c r="S421" s="215"/>
      <c r="T421" s="215"/>
      <c r="U421" s="215"/>
      <c r="V421" s="217"/>
      <c r="W421" s="217"/>
      <c r="X421" s="217"/>
      <c r="Y421" s="217"/>
      <c r="Z421" s="217"/>
      <c r="AA421" s="215"/>
      <c r="AB421" s="215"/>
      <c r="AC421" s="215"/>
      <c r="AD421" s="217">
        <v>1.434064</v>
      </c>
      <c r="AE421" s="217">
        <v>245</v>
      </c>
      <c r="AF421" s="217">
        <v>0.50480000000000003</v>
      </c>
      <c r="AG421" s="217">
        <v>-99</v>
      </c>
      <c r="AH421" s="215" t="s">
        <v>224</v>
      </c>
      <c r="AI421" s="215" t="s">
        <v>449</v>
      </c>
      <c r="AJ421" s="215" t="s">
        <v>325</v>
      </c>
      <c r="AK421" s="215" t="s">
        <v>531</v>
      </c>
      <c r="AL421" s="215" t="s">
        <v>390</v>
      </c>
      <c r="AM421" s="217" t="b">
        <v>1</v>
      </c>
      <c r="AN421" s="217" t="b">
        <v>0</v>
      </c>
      <c r="AO421" s="215" t="s">
        <v>326</v>
      </c>
      <c r="AP421" s="215" t="s">
        <v>327</v>
      </c>
      <c r="AQ421" s="217">
        <v>100.20194000000001</v>
      </c>
      <c r="AR421" s="217" t="b">
        <v>0</v>
      </c>
      <c r="AS421" s="215" t="s">
        <v>534</v>
      </c>
    </row>
    <row r="422" spans="1:45" s="219" customFormat="1" x14ac:dyDescent="0.25">
      <c r="A422" s="245" t="str">
        <f t="shared" si="55"/>
        <v/>
      </c>
      <c r="B422" s="246" t="str">
        <f t="shared" si="48"/>
        <v/>
      </c>
      <c r="C422" s="246" t="str">
        <f>IF(B422="","",VLOOKUP(D422,'Species Data'!B:E,4,FALSE))</f>
        <v/>
      </c>
      <c r="D422" s="246" t="str">
        <f t="shared" ca="1" si="49"/>
        <v/>
      </c>
      <c r="E422" s="246" t="str">
        <f t="shared" ca="1" si="50"/>
        <v/>
      </c>
      <c r="F422" s="246" t="str">
        <f t="shared" ca="1" si="51"/>
        <v/>
      </c>
      <c r="G422" s="246" t="str">
        <f t="shared" ca="1" si="52"/>
        <v/>
      </c>
      <c r="H422" s="204" t="str">
        <f ca="1">IF(G422="","",IF(VLOOKUP(Separator!F422,'Species Data'!D:F,3,FALSE)=0,"X",IF(G422&lt;44.1,2,1)))</f>
        <v/>
      </c>
      <c r="I422" s="204" t="str">
        <f t="shared" ca="1" si="53"/>
        <v/>
      </c>
      <c r="J422" s="247" t="str">
        <f ca="1">IF(I422="","",IF(COUNTIF($D$12:D422,D422)=1,IF(H422=1,I422*H422,IF(H422="X","X",0)),0))</f>
        <v/>
      </c>
      <c r="K422" s="248" t="str">
        <f t="shared" ca="1" si="54"/>
        <v/>
      </c>
      <c r="L422" s="239"/>
      <c r="M422" s="215"/>
      <c r="N422" s="215"/>
      <c r="O422" s="216"/>
      <c r="P422" s="215"/>
      <c r="Q422" s="217"/>
      <c r="R422" s="215"/>
      <c r="S422" s="215"/>
      <c r="T422" s="215"/>
      <c r="U422" s="215"/>
      <c r="V422" s="217"/>
      <c r="W422" s="217"/>
      <c r="X422" s="217"/>
      <c r="Y422" s="217"/>
      <c r="Z422" s="217"/>
      <c r="AA422" s="215"/>
      <c r="AB422" s="215"/>
      <c r="AC422" s="215"/>
      <c r="AD422" s="217">
        <v>1.434064</v>
      </c>
      <c r="AE422" s="217">
        <v>248</v>
      </c>
      <c r="AF422" s="217">
        <v>0.60219999999999996</v>
      </c>
      <c r="AG422" s="217">
        <v>-99</v>
      </c>
      <c r="AH422" s="215" t="s">
        <v>224</v>
      </c>
      <c r="AI422" s="215" t="s">
        <v>449</v>
      </c>
      <c r="AJ422" s="215" t="s">
        <v>328</v>
      </c>
      <c r="AK422" s="215" t="s">
        <v>531</v>
      </c>
      <c r="AL422" s="215" t="s">
        <v>391</v>
      </c>
      <c r="AM422" s="217" t="b">
        <v>1</v>
      </c>
      <c r="AN422" s="217" t="b">
        <v>0</v>
      </c>
      <c r="AO422" s="215" t="s">
        <v>329</v>
      </c>
      <c r="AP422" s="215" t="s">
        <v>330</v>
      </c>
      <c r="AQ422" s="217">
        <v>86.175359999999998</v>
      </c>
      <c r="AR422" s="217" t="b">
        <v>0</v>
      </c>
      <c r="AS422" s="215" t="s">
        <v>534</v>
      </c>
    </row>
    <row r="423" spans="1:45" s="219" customFormat="1" x14ac:dyDescent="0.25">
      <c r="A423" s="245" t="str">
        <f t="shared" si="55"/>
        <v/>
      </c>
      <c r="B423" s="246" t="str">
        <f t="shared" si="48"/>
        <v/>
      </c>
      <c r="C423" s="246" t="str">
        <f>IF(B423="","",VLOOKUP(D423,'Species Data'!B:E,4,FALSE))</f>
        <v/>
      </c>
      <c r="D423" s="246" t="str">
        <f t="shared" ca="1" si="49"/>
        <v/>
      </c>
      <c r="E423" s="246" t="str">
        <f t="shared" ca="1" si="50"/>
        <v/>
      </c>
      <c r="F423" s="246" t="str">
        <f t="shared" ca="1" si="51"/>
        <v/>
      </c>
      <c r="G423" s="246" t="str">
        <f t="shared" ca="1" si="52"/>
        <v/>
      </c>
      <c r="H423" s="204" t="str">
        <f ca="1">IF(G423="","",IF(VLOOKUP(Separator!F423,'Species Data'!D:F,3,FALSE)=0,"X",IF(G423&lt;44.1,2,1)))</f>
        <v/>
      </c>
      <c r="I423" s="204" t="str">
        <f t="shared" ca="1" si="53"/>
        <v/>
      </c>
      <c r="J423" s="247" t="str">
        <f ca="1">IF(I423="","",IF(COUNTIF($D$12:D423,D423)=1,IF(H423=1,I423*H423,IF(H423="X","X",0)),0))</f>
        <v/>
      </c>
      <c r="K423" s="248" t="str">
        <f t="shared" ca="1" si="54"/>
        <v/>
      </c>
      <c r="L423" s="239"/>
      <c r="M423" s="215"/>
      <c r="N423" s="215"/>
      <c r="O423" s="216"/>
      <c r="P423" s="215"/>
      <c r="Q423" s="217"/>
      <c r="R423" s="215"/>
      <c r="S423" s="215"/>
      <c r="T423" s="215"/>
      <c r="U423" s="215"/>
      <c r="V423" s="217"/>
      <c r="W423" s="217"/>
      <c r="X423" s="217"/>
      <c r="Y423" s="217"/>
      <c r="Z423" s="217"/>
      <c r="AA423" s="215"/>
      <c r="AB423" s="215"/>
      <c r="AC423" s="215"/>
      <c r="AD423" s="217">
        <v>1.434064</v>
      </c>
      <c r="AE423" s="217">
        <v>302</v>
      </c>
      <c r="AF423" s="217">
        <v>1.8187</v>
      </c>
      <c r="AG423" s="217">
        <v>-99</v>
      </c>
      <c r="AH423" s="215" t="s">
        <v>224</v>
      </c>
      <c r="AI423" s="215" t="s">
        <v>449</v>
      </c>
      <c r="AJ423" s="215" t="s">
        <v>262</v>
      </c>
      <c r="AK423" s="215" t="s">
        <v>531</v>
      </c>
      <c r="AL423" s="215" t="s">
        <v>373</v>
      </c>
      <c r="AM423" s="217" t="b">
        <v>1</v>
      </c>
      <c r="AN423" s="217" t="b">
        <v>1</v>
      </c>
      <c r="AO423" s="215" t="s">
        <v>263</v>
      </c>
      <c r="AP423" s="215" t="s">
        <v>264</v>
      </c>
      <c r="AQ423" s="217">
        <v>78.111840000000001</v>
      </c>
      <c r="AR423" s="217" t="b">
        <v>0</v>
      </c>
      <c r="AS423" s="215" t="s">
        <v>534</v>
      </c>
    </row>
    <row r="424" spans="1:45" s="219" customFormat="1" x14ac:dyDescent="0.25">
      <c r="A424" s="245" t="str">
        <f t="shared" si="55"/>
        <v/>
      </c>
      <c r="B424" s="246" t="str">
        <f t="shared" si="48"/>
        <v/>
      </c>
      <c r="C424" s="246" t="str">
        <f>IF(B424="","",VLOOKUP(D424,'Species Data'!B:E,4,FALSE))</f>
        <v/>
      </c>
      <c r="D424" s="246" t="str">
        <f t="shared" ca="1" si="49"/>
        <v/>
      </c>
      <c r="E424" s="246" t="str">
        <f t="shared" ca="1" si="50"/>
        <v/>
      </c>
      <c r="F424" s="246" t="str">
        <f t="shared" ca="1" si="51"/>
        <v/>
      </c>
      <c r="G424" s="246" t="str">
        <f t="shared" ca="1" si="52"/>
        <v/>
      </c>
      <c r="H424" s="204" t="str">
        <f ca="1">IF(G424="","",IF(VLOOKUP(Separator!F424,'Species Data'!D:F,3,FALSE)=0,"X",IF(G424&lt;44.1,2,1)))</f>
        <v/>
      </c>
      <c r="I424" s="204" t="str">
        <f t="shared" ca="1" si="53"/>
        <v/>
      </c>
      <c r="J424" s="247" t="str">
        <f ca="1">IF(I424="","",IF(COUNTIF($D$12:D424,D424)=1,IF(H424=1,I424*H424,IF(H424="X","X",0)),0))</f>
        <v/>
      </c>
      <c r="K424" s="248" t="str">
        <f t="shared" ca="1" si="54"/>
        <v/>
      </c>
      <c r="L424" s="239"/>
      <c r="M424" s="215"/>
      <c r="N424" s="215"/>
      <c r="O424" s="216"/>
      <c r="P424" s="215"/>
      <c r="Q424" s="217"/>
      <c r="R424" s="215"/>
      <c r="S424" s="215"/>
      <c r="T424" s="215"/>
      <c r="U424" s="215"/>
      <c r="V424" s="217"/>
      <c r="W424" s="217"/>
      <c r="X424" s="217"/>
      <c r="Y424" s="217"/>
      <c r="Z424" s="217"/>
      <c r="AA424" s="215"/>
      <c r="AB424" s="215"/>
      <c r="AC424" s="215"/>
      <c r="AD424" s="217">
        <v>1.434064</v>
      </c>
      <c r="AE424" s="217">
        <v>390</v>
      </c>
      <c r="AF424" s="217">
        <v>0.1323</v>
      </c>
      <c r="AG424" s="217">
        <v>-99</v>
      </c>
      <c r="AH424" s="215" t="s">
        <v>224</v>
      </c>
      <c r="AI424" s="215" t="s">
        <v>449</v>
      </c>
      <c r="AJ424" s="215" t="s">
        <v>334</v>
      </c>
      <c r="AK424" s="215" t="s">
        <v>531</v>
      </c>
      <c r="AL424" s="215" t="s">
        <v>393</v>
      </c>
      <c r="AM424" s="217" t="b">
        <v>1</v>
      </c>
      <c r="AN424" s="217" t="b">
        <v>0</v>
      </c>
      <c r="AO424" s="215" t="s">
        <v>335</v>
      </c>
      <c r="AP424" s="215" t="s">
        <v>336</v>
      </c>
      <c r="AQ424" s="217">
        <v>70.132900000000006</v>
      </c>
      <c r="AR424" s="217" t="b">
        <v>0</v>
      </c>
      <c r="AS424" s="215" t="s">
        <v>534</v>
      </c>
    </row>
    <row r="425" spans="1:45" s="219" customFormat="1" x14ac:dyDescent="0.25">
      <c r="A425" s="245" t="str">
        <f t="shared" si="55"/>
        <v/>
      </c>
      <c r="B425" s="246" t="str">
        <f t="shared" si="48"/>
        <v/>
      </c>
      <c r="C425" s="246" t="str">
        <f>IF(B425="","",VLOOKUP(D425,'Species Data'!B:E,4,FALSE))</f>
        <v/>
      </c>
      <c r="D425" s="246" t="str">
        <f t="shared" ca="1" si="49"/>
        <v/>
      </c>
      <c r="E425" s="246" t="str">
        <f t="shared" ca="1" si="50"/>
        <v/>
      </c>
      <c r="F425" s="246" t="str">
        <f t="shared" ca="1" si="51"/>
        <v/>
      </c>
      <c r="G425" s="246" t="str">
        <f t="shared" ca="1" si="52"/>
        <v/>
      </c>
      <c r="H425" s="204" t="str">
        <f ca="1">IF(G425="","",IF(VLOOKUP(Separator!F425,'Species Data'!D:F,3,FALSE)=0,"X",IF(G425&lt;44.1,2,1)))</f>
        <v/>
      </c>
      <c r="I425" s="204" t="str">
        <f t="shared" ca="1" si="53"/>
        <v/>
      </c>
      <c r="J425" s="247" t="str">
        <f ca="1">IF(I425="","",IF(COUNTIF($D$12:D425,D425)=1,IF(H425=1,I425*H425,IF(H425="X","X",0)),0))</f>
        <v/>
      </c>
      <c r="K425" s="248" t="str">
        <f t="shared" ca="1" si="54"/>
        <v/>
      </c>
      <c r="L425" s="239"/>
      <c r="M425" s="215"/>
      <c r="N425" s="215"/>
      <c r="O425" s="216"/>
      <c r="P425" s="215"/>
      <c r="Q425" s="217"/>
      <c r="R425" s="215"/>
      <c r="S425" s="215"/>
      <c r="T425" s="215"/>
      <c r="U425" s="215"/>
      <c r="V425" s="217"/>
      <c r="W425" s="217"/>
      <c r="X425" s="217"/>
      <c r="Y425" s="217"/>
      <c r="Z425" s="217"/>
      <c r="AA425" s="215"/>
      <c r="AB425" s="215"/>
      <c r="AC425" s="215"/>
      <c r="AD425" s="217">
        <v>1.434064</v>
      </c>
      <c r="AE425" s="217">
        <v>438</v>
      </c>
      <c r="AF425" s="217">
        <v>20.193999999999999</v>
      </c>
      <c r="AG425" s="217">
        <v>-99</v>
      </c>
      <c r="AH425" s="215" t="s">
        <v>224</v>
      </c>
      <c r="AI425" s="215" t="s">
        <v>449</v>
      </c>
      <c r="AJ425" s="215" t="s">
        <v>265</v>
      </c>
      <c r="AK425" s="215" t="s">
        <v>531</v>
      </c>
      <c r="AL425" s="215" t="s">
        <v>374</v>
      </c>
      <c r="AM425" s="217" t="b">
        <v>1</v>
      </c>
      <c r="AN425" s="217" t="b">
        <v>0</v>
      </c>
      <c r="AO425" s="215" t="s">
        <v>266</v>
      </c>
      <c r="AP425" s="215" t="s">
        <v>267</v>
      </c>
      <c r="AQ425" s="217">
        <v>30.069040000000005</v>
      </c>
      <c r="AR425" s="217" t="b">
        <v>1</v>
      </c>
      <c r="AS425" s="215" t="s">
        <v>534</v>
      </c>
    </row>
    <row r="426" spans="1:45" s="219" customFormat="1" x14ac:dyDescent="0.25">
      <c r="A426" s="245" t="str">
        <f t="shared" si="55"/>
        <v/>
      </c>
      <c r="B426" s="246" t="str">
        <f t="shared" si="48"/>
        <v/>
      </c>
      <c r="C426" s="246" t="str">
        <f>IF(B426="","",VLOOKUP(D426,'Species Data'!B:E,4,FALSE))</f>
        <v/>
      </c>
      <c r="D426" s="246" t="str">
        <f t="shared" ca="1" si="49"/>
        <v/>
      </c>
      <c r="E426" s="246" t="str">
        <f t="shared" ca="1" si="50"/>
        <v/>
      </c>
      <c r="F426" s="246" t="str">
        <f t="shared" ca="1" si="51"/>
        <v/>
      </c>
      <c r="G426" s="246" t="str">
        <f t="shared" ca="1" si="52"/>
        <v/>
      </c>
      <c r="H426" s="204" t="str">
        <f ca="1">IF(G426="","",IF(VLOOKUP(Separator!F426,'Species Data'!D:F,3,FALSE)=0,"X",IF(G426&lt;44.1,2,1)))</f>
        <v/>
      </c>
      <c r="I426" s="204" t="str">
        <f t="shared" ca="1" si="53"/>
        <v/>
      </c>
      <c r="J426" s="247" t="str">
        <f ca="1">IF(I426="","",IF(COUNTIF($D$12:D426,D426)=1,IF(H426=1,I426*H426,IF(H426="X","X",0)),0))</f>
        <v/>
      </c>
      <c r="K426" s="248" t="str">
        <f t="shared" ca="1" si="54"/>
        <v/>
      </c>
      <c r="L426" s="239"/>
      <c r="M426" s="215"/>
      <c r="N426" s="215"/>
      <c r="O426" s="216"/>
      <c r="P426" s="215"/>
      <c r="Q426" s="217"/>
      <c r="R426" s="215"/>
      <c r="S426" s="215"/>
      <c r="T426" s="215"/>
      <c r="U426" s="215"/>
      <c r="V426" s="217"/>
      <c r="W426" s="217"/>
      <c r="X426" s="217"/>
      <c r="Y426" s="217"/>
      <c r="Z426" s="217"/>
      <c r="AA426" s="215"/>
      <c r="AB426" s="215"/>
      <c r="AC426" s="215"/>
      <c r="AD426" s="217">
        <v>1.434064</v>
      </c>
      <c r="AE426" s="217">
        <v>449</v>
      </c>
      <c r="AF426" s="217">
        <v>1.2698</v>
      </c>
      <c r="AG426" s="217">
        <v>-99</v>
      </c>
      <c r="AH426" s="215" t="s">
        <v>224</v>
      </c>
      <c r="AI426" s="215" t="s">
        <v>449</v>
      </c>
      <c r="AJ426" s="215" t="s">
        <v>337</v>
      </c>
      <c r="AK426" s="215" t="s">
        <v>531</v>
      </c>
      <c r="AL426" s="215" t="s">
        <v>394</v>
      </c>
      <c r="AM426" s="217" t="b">
        <v>1</v>
      </c>
      <c r="AN426" s="217" t="b">
        <v>1</v>
      </c>
      <c r="AO426" s="215" t="s">
        <v>338</v>
      </c>
      <c r="AP426" s="215" t="s">
        <v>339</v>
      </c>
      <c r="AQ426" s="217">
        <v>106.16500000000001</v>
      </c>
      <c r="AR426" s="217" t="b">
        <v>0</v>
      </c>
      <c r="AS426" s="215" t="s">
        <v>534</v>
      </c>
    </row>
    <row r="427" spans="1:45" s="219" customFormat="1" x14ac:dyDescent="0.25">
      <c r="A427" s="245" t="str">
        <f t="shared" si="55"/>
        <v/>
      </c>
      <c r="B427" s="246" t="str">
        <f t="shared" si="48"/>
        <v/>
      </c>
      <c r="C427" s="246" t="str">
        <f>IF(B427="","",VLOOKUP(D427,'Species Data'!B:E,4,FALSE))</f>
        <v/>
      </c>
      <c r="D427" s="246" t="str">
        <f t="shared" ca="1" si="49"/>
        <v/>
      </c>
      <c r="E427" s="246" t="str">
        <f t="shared" ca="1" si="50"/>
        <v/>
      </c>
      <c r="F427" s="246" t="str">
        <f t="shared" ca="1" si="51"/>
        <v/>
      </c>
      <c r="G427" s="246" t="str">
        <f t="shared" ca="1" si="52"/>
        <v/>
      </c>
      <c r="H427" s="204" t="str">
        <f ca="1">IF(G427="","",IF(VLOOKUP(Separator!F427,'Species Data'!D:F,3,FALSE)=0,"X",IF(G427&lt;44.1,2,1)))</f>
        <v/>
      </c>
      <c r="I427" s="204" t="str">
        <f t="shared" ca="1" si="53"/>
        <v/>
      </c>
      <c r="J427" s="247" t="str">
        <f ca="1">IF(I427="","",IF(COUNTIF($D$12:D427,D427)=1,IF(H427=1,I427*H427,IF(H427="X","X",0)),0))</f>
        <v/>
      </c>
      <c r="K427" s="248" t="str">
        <f t="shared" ca="1" si="54"/>
        <v/>
      </c>
      <c r="L427" s="239"/>
      <c r="M427" s="215"/>
      <c r="N427" s="215"/>
      <c r="O427" s="216"/>
      <c r="P427" s="215"/>
      <c r="Q427" s="217"/>
      <c r="R427" s="215"/>
      <c r="S427" s="215"/>
      <c r="T427" s="215"/>
      <c r="U427" s="215"/>
      <c r="V427" s="217"/>
      <c r="W427" s="217"/>
      <c r="X427" s="217"/>
      <c r="Y427" s="217"/>
      <c r="Z427" s="217"/>
      <c r="AA427" s="215"/>
      <c r="AB427" s="215"/>
      <c r="AC427" s="215"/>
      <c r="AD427" s="217">
        <v>1.434064</v>
      </c>
      <c r="AE427" s="217">
        <v>491</v>
      </c>
      <c r="AF427" s="217">
        <v>1.5022</v>
      </c>
      <c r="AG427" s="217">
        <v>-99</v>
      </c>
      <c r="AH427" s="215" t="s">
        <v>224</v>
      </c>
      <c r="AI427" s="215" t="s">
        <v>449</v>
      </c>
      <c r="AJ427" s="215" t="s">
        <v>268</v>
      </c>
      <c r="AK427" s="215" t="s">
        <v>531</v>
      </c>
      <c r="AL427" s="215" t="s">
        <v>375</v>
      </c>
      <c r="AM427" s="217" t="b">
        <v>1</v>
      </c>
      <c r="AN427" s="217" t="b">
        <v>0</v>
      </c>
      <c r="AO427" s="215" t="s">
        <v>269</v>
      </c>
      <c r="AP427" s="215" t="s">
        <v>270</v>
      </c>
      <c r="AQ427" s="217">
        <v>58.122199999999992</v>
      </c>
      <c r="AR427" s="217" t="b">
        <v>0</v>
      </c>
      <c r="AS427" s="215" t="s">
        <v>534</v>
      </c>
    </row>
    <row r="428" spans="1:45" s="219" customFormat="1" x14ac:dyDescent="0.25">
      <c r="A428" s="245" t="str">
        <f t="shared" si="55"/>
        <v/>
      </c>
      <c r="B428" s="246" t="str">
        <f t="shared" si="48"/>
        <v/>
      </c>
      <c r="C428" s="246" t="str">
        <f>IF(B428="","",VLOOKUP(D428,'Species Data'!B:E,4,FALSE))</f>
        <v/>
      </c>
      <c r="D428" s="246" t="str">
        <f t="shared" ca="1" si="49"/>
        <v/>
      </c>
      <c r="E428" s="246" t="str">
        <f t="shared" ca="1" si="50"/>
        <v/>
      </c>
      <c r="F428" s="246" t="str">
        <f t="shared" ca="1" si="51"/>
        <v/>
      </c>
      <c r="G428" s="246" t="str">
        <f t="shared" ca="1" si="52"/>
        <v/>
      </c>
      <c r="H428" s="204" t="str">
        <f ca="1">IF(G428="","",IF(VLOOKUP(Separator!F428,'Species Data'!D:F,3,FALSE)=0,"X",IF(G428&lt;44.1,2,1)))</f>
        <v/>
      </c>
      <c r="I428" s="204" t="str">
        <f t="shared" ca="1" si="53"/>
        <v/>
      </c>
      <c r="J428" s="247" t="str">
        <f ca="1">IF(I428="","",IF(COUNTIF($D$12:D428,D428)=1,IF(H428=1,I428*H428,IF(H428="X","X",0)),0))</f>
        <v/>
      </c>
      <c r="K428" s="248" t="str">
        <f t="shared" ca="1" si="54"/>
        <v/>
      </c>
      <c r="L428" s="239"/>
      <c r="M428" s="215"/>
      <c r="N428" s="215"/>
      <c r="O428" s="216"/>
      <c r="P428" s="215"/>
      <c r="Q428" s="217"/>
      <c r="R428" s="215"/>
      <c r="S428" s="215"/>
      <c r="T428" s="215"/>
      <c r="U428" s="215"/>
      <c r="V428" s="217"/>
      <c r="W428" s="217"/>
      <c r="X428" s="217"/>
      <c r="Y428" s="217"/>
      <c r="Z428" s="217"/>
      <c r="AA428" s="215"/>
      <c r="AB428" s="215"/>
      <c r="AC428" s="215"/>
      <c r="AD428" s="217">
        <v>1.434064</v>
      </c>
      <c r="AE428" s="217">
        <v>499</v>
      </c>
      <c r="AF428" s="217">
        <v>0.22170000000000001</v>
      </c>
      <c r="AG428" s="217">
        <v>-99</v>
      </c>
      <c r="AH428" s="215" t="s">
        <v>224</v>
      </c>
      <c r="AI428" s="215" t="s">
        <v>449</v>
      </c>
      <c r="AJ428" s="215" t="s">
        <v>531</v>
      </c>
      <c r="AK428" s="215" t="s">
        <v>642</v>
      </c>
      <c r="AL428" s="215" t="s">
        <v>643</v>
      </c>
      <c r="AM428" s="217" t="b">
        <v>0</v>
      </c>
      <c r="AN428" s="217" t="b">
        <v>0</v>
      </c>
      <c r="AO428" s="215" t="s">
        <v>644</v>
      </c>
      <c r="AP428" s="215" t="s">
        <v>531</v>
      </c>
      <c r="AQ428" s="217">
        <v>134.21816000000001</v>
      </c>
      <c r="AR428" s="217" t="b">
        <v>0</v>
      </c>
      <c r="AS428" s="215" t="s">
        <v>534</v>
      </c>
    </row>
    <row r="429" spans="1:45" s="219" customFormat="1" x14ac:dyDescent="0.25">
      <c r="A429" s="245" t="str">
        <f t="shared" si="55"/>
        <v/>
      </c>
      <c r="B429" s="246" t="str">
        <f t="shared" si="48"/>
        <v/>
      </c>
      <c r="C429" s="246" t="str">
        <f>IF(B429="","",VLOOKUP(D429,'Species Data'!B:E,4,FALSE))</f>
        <v/>
      </c>
      <c r="D429" s="246" t="str">
        <f t="shared" ca="1" si="49"/>
        <v/>
      </c>
      <c r="E429" s="246" t="str">
        <f t="shared" ca="1" si="50"/>
        <v/>
      </c>
      <c r="F429" s="246" t="str">
        <f t="shared" ca="1" si="51"/>
        <v/>
      </c>
      <c r="G429" s="246" t="str">
        <f t="shared" ca="1" si="52"/>
        <v/>
      </c>
      <c r="H429" s="204" t="str">
        <f ca="1">IF(G429="","",IF(VLOOKUP(Separator!F429,'Species Data'!D:F,3,FALSE)=0,"X",IF(G429&lt;44.1,2,1)))</f>
        <v/>
      </c>
      <c r="I429" s="204" t="str">
        <f t="shared" ca="1" si="53"/>
        <v/>
      </c>
      <c r="J429" s="247" t="str">
        <f ca="1">IF(I429="","",IF(COUNTIF($D$12:D429,D429)=1,IF(H429=1,I429*H429,IF(H429="X","X",0)),0))</f>
        <v/>
      </c>
      <c r="K429" s="248" t="str">
        <f t="shared" ca="1" si="54"/>
        <v/>
      </c>
      <c r="L429" s="239"/>
      <c r="M429" s="215"/>
      <c r="N429" s="215"/>
      <c r="O429" s="216"/>
      <c r="P429" s="215"/>
      <c r="Q429" s="217"/>
      <c r="R429" s="215"/>
      <c r="S429" s="215"/>
      <c r="T429" s="215"/>
      <c r="U429" s="215"/>
      <c r="V429" s="217"/>
      <c r="W429" s="217"/>
      <c r="X429" s="217"/>
      <c r="Y429" s="217"/>
      <c r="Z429" s="217"/>
      <c r="AA429" s="215"/>
      <c r="AB429" s="215"/>
      <c r="AC429" s="215"/>
      <c r="AD429" s="217">
        <v>1.434064</v>
      </c>
      <c r="AE429" s="217">
        <v>508</v>
      </c>
      <c r="AF429" s="217">
        <v>1.6489</v>
      </c>
      <c r="AG429" s="217">
        <v>-99</v>
      </c>
      <c r="AH429" s="215" t="s">
        <v>224</v>
      </c>
      <c r="AI429" s="215" t="s">
        <v>449</v>
      </c>
      <c r="AJ429" s="215" t="s">
        <v>342</v>
      </c>
      <c r="AK429" s="215" t="s">
        <v>531</v>
      </c>
      <c r="AL429" s="215" t="s">
        <v>395</v>
      </c>
      <c r="AM429" s="217" t="b">
        <v>1</v>
      </c>
      <c r="AN429" s="217" t="b">
        <v>0</v>
      </c>
      <c r="AO429" s="215" t="s">
        <v>343</v>
      </c>
      <c r="AP429" s="215" t="s">
        <v>344</v>
      </c>
      <c r="AQ429" s="217">
        <v>72.148780000000002</v>
      </c>
      <c r="AR429" s="217" t="b">
        <v>0</v>
      </c>
      <c r="AS429" s="215" t="s">
        <v>534</v>
      </c>
    </row>
    <row r="430" spans="1:45" s="219" customFormat="1" x14ac:dyDescent="0.25">
      <c r="A430" s="245" t="str">
        <f t="shared" si="55"/>
        <v/>
      </c>
      <c r="B430" s="246" t="str">
        <f t="shared" si="48"/>
        <v/>
      </c>
      <c r="C430" s="246" t="str">
        <f>IF(B430="","",VLOOKUP(D430,'Species Data'!B:E,4,FALSE))</f>
        <v/>
      </c>
      <c r="D430" s="246" t="str">
        <f t="shared" ca="1" si="49"/>
        <v/>
      </c>
      <c r="E430" s="246" t="str">
        <f t="shared" ca="1" si="50"/>
        <v/>
      </c>
      <c r="F430" s="246" t="str">
        <f t="shared" ca="1" si="51"/>
        <v/>
      </c>
      <c r="G430" s="246" t="str">
        <f t="shared" ca="1" si="52"/>
        <v/>
      </c>
      <c r="H430" s="204" t="str">
        <f ca="1">IF(G430="","",IF(VLOOKUP(Separator!F430,'Species Data'!D:F,3,FALSE)=0,"X",IF(G430&lt;44.1,2,1)))</f>
        <v/>
      </c>
      <c r="I430" s="204" t="str">
        <f t="shared" ca="1" si="53"/>
        <v/>
      </c>
      <c r="J430" s="247" t="str">
        <f ca="1">IF(I430="","",IF(COUNTIF($D$12:D430,D430)=1,IF(H430=1,I430*H430,IF(H430="X","X",0)),0))</f>
        <v/>
      </c>
      <c r="K430" s="248" t="str">
        <f t="shared" ca="1" si="54"/>
        <v/>
      </c>
      <c r="L430" s="239"/>
      <c r="M430" s="215"/>
      <c r="N430" s="215"/>
      <c r="O430" s="216"/>
      <c r="P430" s="215"/>
      <c r="Q430" s="217"/>
      <c r="R430" s="215"/>
      <c r="S430" s="215"/>
      <c r="T430" s="215"/>
      <c r="U430" s="215"/>
      <c r="V430" s="217"/>
      <c r="W430" s="217"/>
      <c r="X430" s="217"/>
      <c r="Y430" s="217"/>
      <c r="Z430" s="217"/>
      <c r="AA430" s="215"/>
      <c r="AB430" s="215"/>
      <c r="AC430" s="215"/>
      <c r="AD430" s="217">
        <v>1.434064</v>
      </c>
      <c r="AE430" s="217">
        <v>514</v>
      </c>
      <c r="AF430" s="217">
        <v>0.16439999999999999</v>
      </c>
      <c r="AG430" s="217">
        <v>-99</v>
      </c>
      <c r="AH430" s="215" t="s">
        <v>224</v>
      </c>
      <c r="AI430" s="215" t="s">
        <v>449</v>
      </c>
      <c r="AJ430" s="215" t="s">
        <v>362</v>
      </c>
      <c r="AK430" s="215" t="s">
        <v>531</v>
      </c>
      <c r="AL430" s="215" t="s">
        <v>399</v>
      </c>
      <c r="AM430" s="217" t="b">
        <v>1</v>
      </c>
      <c r="AN430" s="217" t="b">
        <v>1</v>
      </c>
      <c r="AO430" s="215" t="s">
        <v>363</v>
      </c>
      <c r="AP430" s="215" t="s">
        <v>364</v>
      </c>
      <c r="AQ430" s="217">
        <v>120.19158</v>
      </c>
      <c r="AR430" s="217" t="b">
        <v>0</v>
      </c>
      <c r="AS430" s="215" t="s">
        <v>534</v>
      </c>
    </row>
    <row r="431" spans="1:45" s="219" customFormat="1" x14ac:dyDescent="0.25">
      <c r="A431" s="245" t="str">
        <f t="shared" si="55"/>
        <v/>
      </c>
      <c r="B431" s="246" t="str">
        <f t="shared" si="48"/>
        <v/>
      </c>
      <c r="C431" s="246" t="str">
        <f>IF(B431="","",VLOOKUP(D431,'Species Data'!B:E,4,FALSE))</f>
        <v/>
      </c>
      <c r="D431" s="246" t="str">
        <f t="shared" ca="1" si="49"/>
        <v/>
      </c>
      <c r="E431" s="246" t="str">
        <f t="shared" ca="1" si="50"/>
        <v/>
      </c>
      <c r="F431" s="246" t="str">
        <f t="shared" ca="1" si="51"/>
        <v/>
      </c>
      <c r="G431" s="246" t="str">
        <f t="shared" ca="1" si="52"/>
        <v/>
      </c>
      <c r="H431" s="204" t="str">
        <f ca="1">IF(G431="","",IF(VLOOKUP(Separator!F431,'Species Data'!D:F,3,FALSE)=0,"X",IF(G431&lt;44.1,2,1)))</f>
        <v/>
      </c>
      <c r="I431" s="204" t="str">
        <f t="shared" ca="1" si="53"/>
        <v/>
      </c>
      <c r="J431" s="247" t="str">
        <f ca="1">IF(I431="","",IF(COUNTIF($D$12:D431,D431)=1,IF(H431=1,I431*H431,IF(H431="X","X",0)),0))</f>
        <v/>
      </c>
      <c r="K431" s="248" t="str">
        <f t="shared" ca="1" si="54"/>
        <v/>
      </c>
      <c r="L431" s="239"/>
      <c r="M431" s="215"/>
      <c r="N431" s="215"/>
      <c r="O431" s="216"/>
      <c r="P431" s="215"/>
      <c r="Q431" s="217"/>
      <c r="R431" s="215"/>
      <c r="S431" s="215"/>
      <c r="T431" s="215"/>
      <c r="U431" s="215"/>
      <c r="V431" s="217"/>
      <c r="W431" s="217"/>
      <c r="X431" s="217"/>
      <c r="Y431" s="217"/>
      <c r="Z431" s="217"/>
      <c r="AA431" s="215"/>
      <c r="AB431" s="215"/>
      <c r="AC431" s="215"/>
      <c r="AD431" s="217">
        <v>1.434064</v>
      </c>
      <c r="AE431" s="217">
        <v>524</v>
      </c>
      <c r="AF431" s="217">
        <v>1.0710999999999999</v>
      </c>
      <c r="AG431" s="217">
        <v>-99</v>
      </c>
      <c r="AH431" s="215" t="s">
        <v>224</v>
      </c>
      <c r="AI431" s="215" t="s">
        <v>449</v>
      </c>
      <c r="AJ431" s="215" t="s">
        <v>436</v>
      </c>
      <c r="AK431" s="215" t="s">
        <v>531</v>
      </c>
      <c r="AL431" s="215" t="s">
        <v>460</v>
      </c>
      <c r="AM431" s="217" t="b">
        <v>0</v>
      </c>
      <c r="AN431" s="217" t="b">
        <v>1</v>
      </c>
      <c r="AO431" s="215" t="s">
        <v>437</v>
      </c>
      <c r="AP431" s="215" t="s">
        <v>438</v>
      </c>
      <c r="AQ431" s="217">
        <v>106.16500000000001</v>
      </c>
      <c r="AR431" s="217" t="b">
        <v>0</v>
      </c>
      <c r="AS431" s="215" t="s">
        <v>534</v>
      </c>
    </row>
    <row r="432" spans="1:45" s="219" customFormat="1" x14ac:dyDescent="0.25">
      <c r="A432" s="245" t="str">
        <f t="shared" si="55"/>
        <v/>
      </c>
      <c r="B432" s="246" t="str">
        <f t="shared" si="48"/>
        <v/>
      </c>
      <c r="C432" s="246" t="str">
        <f>IF(B432="","",VLOOKUP(D432,'Species Data'!B:E,4,FALSE))</f>
        <v/>
      </c>
      <c r="D432" s="246" t="str">
        <f t="shared" ca="1" si="49"/>
        <v/>
      </c>
      <c r="E432" s="246" t="str">
        <f t="shared" ca="1" si="50"/>
        <v/>
      </c>
      <c r="F432" s="246" t="str">
        <f t="shared" ca="1" si="51"/>
        <v/>
      </c>
      <c r="G432" s="246" t="str">
        <f t="shared" ca="1" si="52"/>
        <v/>
      </c>
      <c r="H432" s="204" t="str">
        <f ca="1">IF(G432="","",IF(VLOOKUP(Separator!F432,'Species Data'!D:F,3,FALSE)=0,"X",IF(G432&lt;44.1,2,1)))</f>
        <v/>
      </c>
      <c r="I432" s="204" t="str">
        <f t="shared" ca="1" si="53"/>
        <v/>
      </c>
      <c r="J432" s="247" t="str">
        <f ca="1">IF(I432="","",IF(COUNTIF($D$12:D432,D432)=1,IF(H432=1,I432*H432,IF(H432="X","X",0)),0))</f>
        <v/>
      </c>
      <c r="K432" s="248" t="str">
        <f t="shared" ca="1" si="54"/>
        <v/>
      </c>
      <c r="L432" s="239"/>
      <c r="M432" s="215"/>
      <c r="N432" s="215"/>
      <c r="O432" s="216"/>
      <c r="P432" s="215"/>
      <c r="Q432" s="217"/>
      <c r="R432" s="215"/>
      <c r="S432" s="215"/>
      <c r="T432" s="215"/>
      <c r="U432" s="215"/>
      <c r="V432" s="217"/>
      <c r="W432" s="217"/>
      <c r="X432" s="217"/>
      <c r="Y432" s="217"/>
      <c r="Z432" s="217"/>
      <c r="AA432" s="215"/>
      <c r="AB432" s="215"/>
      <c r="AC432" s="215"/>
      <c r="AD432" s="217">
        <v>1.434064</v>
      </c>
      <c r="AE432" s="217">
        <v>529</v>
      </c>
      <c r="AF432" s="217">
        <v>10.0741</v>
      </c>
      <c r="AG432" s="217">
        <v>-99</v>
      </c>
      <c r="AH432" s="215" t="s">
        <v>224</v>
      </c>
      <c r="AI432" s="215" t="s">
        <v>449</v>
      </c>
      <c r="AJ432" s="215" t="s">
        <v>271</v>
      </c>
      <c r="AK432" s="215" t="s">
        <v>531</v>
      </c>
      <c r="AL432" s="215" t="s">
        <v>376</v>
      </c>
      <c r="AM432" s="217" t="b">
        <v>0</v>
      </c>
      <c r="AN432" s="217" t="b">
        <v>0</v>
      </c>
      <c r="AO432" s="215" t="s">
        <v>272</v>
      </c>
      <c r="AP432" s="215" t="s">
        <v>531</v>
      </c>
      <c r="AQ432" s="217">
        <v>16.042459999999998</v>
      </c>
      <c r="AR432" s="217" t="b">
        <v>1</v>
      </c>
      <c r="AS432" s="215" t="s">
        <v>534</v>
      </c>
    </row>
    <row r="433" spans="1:45" s="219" customFormat="1" x14ac:dyDescent="0.25">
      <c r="A433" s="245" t="str">
        <f t="shared" si="55"/>
        <v/>
      </c>
      <c r="B433" s="246" t="str">
        <f t="shared" si="48"/>
        <v/>
      </c>
      <c r="C433" s="246" t="str">
        <f>IF(B433="","",VLOOKUP(D433,'Species Data'!B:E,4,FALSE))</f>
        <v/>
      </c>
      <c r="D433" s="246" t="str">
        <f t="shared" ca="1" si="49"/>
        <v/>
      </c>
      <c r="E433" s="246" t="str">
        <f t="shared" ca="1" si="50"/>
        <v/>
      </c>
      <c r="F433" s="246" t="str">
        <f t="shared" ca="1" si="51"/>
        <v/>
      </c>
      <c r="G433" s="246" t="str">
        <f t="shared" ca="1" si="52"/>
        <v/>
      </c>
      <c r="H433" s="204" t="str">
        <f ca="1">IF(G433="","",IF(VLOOKUP(Separator!F433,'Species Data'!D:F,3,FALSE)=0,"X",IF(G433&lt;44.1,2,1)))</f>
        <v/>
      </c>
      <c r="I433" s="204" t="str">
        <f t="shared" ca="1" si="53"/>
        <v/>
      </c>
      <c r="J433" s="247" t="str">
        <f ca="1">IF(I433="","",IF(COUNTIF($D$12:D433,D433)=1,IF(H433=1,I433*H433,IF(H433="X","X",0)),0))</f>
        <v/>
      </c>
      <c r="K433" s="248" t="str">
        <f t="shared" ca="1" si="54"/>
        <v/>
      </c>
      <c r="L433" s="239"/>
      <c r="M433" s="215"/>
      <c r="N433" s="215"/>
      <c r="O433" s="216"/>
      <c r="P433" s="215"/>
      <c r="Q433" s="217"/>
      <c r="R433" s="215"/>
      <c r="S433" s="215"/>
      <c r="T433" s="215"/>
      <c r="U433" s="215"/>
      <c r="V433" s="217"/>
      <c r="W433" s="217"/>
      <c r="X433" s="217"/>
      <c r="Y433" s="217"/>
      <c r="Z433" s="217"/>
      <c r="AA433" s="215"/>
      <c r="AB433" s="215"/>
      <c r="AC433" s="215"/>
      <c r="AD433" s="217">
        <v>1.434064</v>
      </c>
      <c r="AE433" s="217">
        <v>550</v>
      </c>
      <c r="AF433" s="217">
        <v>1.0305</v>
      </c>
      <c r="AG433" s="217">
        <v>-99</v>
      </c>
      <c r="AH433" s="215" t="s">
        <v>224</v>
      </c>
      <c r="AI433" s="215" t="s">
        <v>449</v>
      </c>
      <c r="AJ433" s="215" t="s">
        <v>348</v>
      </c>
      <c r="AK433" s="215" t="s">
        <v>531</v>
      </c>
      <c r="AL433" s="215" t="s">
        <v>396</v>
      </c>
      <c r="AM433" s="217" t="b">
        <v>1</v>
      </c>
      <c r="AN433" s="217" t="b">
        <v>0</v>
      </c>
      <c r="AO433" s="215" t="s">
        <v>349</v>
      </c>
      <c r="AP433" s="215" t="s">
        <v>350</v>
      </c>
      <c r="AQ433" s="217">
        <v>98.186059999999998</v>
      </c>
      <c r="AR433" s="217" t="b">
        <v>0</v>
      </c>
      <c r="AS433" s="215" t="s">
        <v>534</v>
      </c>
    </row>
    <row r="434" spans="1:45" s="219" customFormat="1" x14ac:dyDescent="0.25">
      <c r="A434" s="245" t="str">
        <f t="shared" si="55"/>
        <v/>
      </c>
      <c r="B434" s="246" t="str">
        <f t="shared" si="48"/>
        <v/>
      </c>
      <c r="C434" s="246" t="str">
        <f>IF(B434="","",VLOOKUP(D434,'Species Data'!B:E,4,FALSE))</f>
        <v/>
      </c>
      <c r="D434" s="246" t="str">
        <f t="shared" ca="1" si="49"/>
        <v/>
      </c>
      <c r="E434" s="246" t="str">
        <f t="shared" ca="1" si="50"/>
        <v/>
      </c>
      <c r="F434" s="246" t="str">
        <f t="shared" ca="1" si="51"/>
        <v/>
      </c>
      <c r="G434" s="246" t="str">
        <f t="shared" ca="1" si="52"/>
        <v/>
      </c>
      <c r="H434" s="204" t="str">
        <f ca="1">IF(G434="","",IF(VLOOKUP(Separator!F434,'Species Data'!D:F,3,FALSE)=0,"X",IF(G434&lt;44.1,2,1)))</f>
        <v/>
      </c>
      <c r="I434" s="204" t="str">
        <f t="shared" ca="1" si="53"/>
        <v/>
      </c>
      <c r="J434" s="247" t="str">
        <f ca="1">IF(I434="","",IF(COUNTIF($D$12:D434,D434)=1,IF(H434=1,I434*H434,IF(H434="X","X",0)),0))</f>
        <v/>
      </c>
      <c r="K434" s="248" t="str">
        <f t="shared" ca="1" si="54"/>
        <v/>
      </c>
      <c r="L434" s="239"/>
      <c r="M434" s="215"/>
      <c r="N434" s="215"/>
      <c r="O434" s="216"/>
      <c r="P434" s="215"/>
      <c r="Q434" s="217"/>
      <c r="R434" s="215"/>
      <c r="S434" s="215"/>
      <c r="T434" s="215"/>
      <c r="U434" s="215"/>
      <c r="V434" s="217"/>
      <c r="W434" s="217"/>
      <c r="X434" s="217"/>
      <c r="Y434" s="217"/>
      <c r="Z434" s="217"/>
      <c r="AA434" s="215"/>
      <c r="AB434" s="215"/>
      <c r="AC434" s="215"/>
      <c r="AD434" s="217">
        <v>1.434064</v>
      </c>
      <c r="AE434" s="217">
        <v>551</v>
      </c>
      <c r="AF434" s="217">
        <v>1.2395</v>
      </c>
      <c r="AG434" s="217">
        <v>-99</v>
      </c>
      <c r="AH434" s="215" t="s">
        <v>224</v>
      </c>
      <c r="AI434" s="215" t="s">
        <v>449</v>
      </c>
      <c r="AJ434" s="215" t="s">
        <v>351</v>
      </c>
      <c r="AK434" s="215" t="s">
        <v>531</v>
      </c>
      <c r="AL434" s="215" t="s">
        <v>397</v>
      </c>
      <c r="AM434" s="217" t="b">
        <v>1</v>
      </c>
      <c r="AN434" s="217" t="b">
        <v>0</v>
      </c>
      <c r="AO434" s="215" t="s">
        <v>352</v>
      </c>
      <c r="AP434" s="215" t="s">
        <v>353</v>
      </c>
      <c r="AQ434" s="217">
        <v>84.159480000000002</v>
      </c>
      <c r="AR434" s="217" t="b">
        <v>0</v>
      </c>
      <c r="AS434" s="215" t="s">
        <v>534</v>
      </c>
    </row>
    <row r="435" spans="1:45" s="219" customFormat="1" x14ac:dyDescent="0.25">
      <c r="A435" s="245" t="str">
        <f t="shared" si="55"/>
        <v/>
      </c>
      <c r="B435" s="246" t="str">
        <f t="shared" si="48"/>
        <v/>
      </c>
      <c r="C435" s="246" t="str">
        <f>IF(B435="","",VLOOKUP(D435,'Species Data'!B:E,4,FALSE))</f>
        <v/>
      </c>
      <c r="D435" s="246" t="str">
        <f t="shared" ca="1" si="49"/>
        <v/>
      </c>
      <c r="E435" s="246" t="str">
        <f t="shared" ca="1" si="50"/>
        <v/>
      </c>
      <c r="F435" s="246" t="str">
        <f t="shared" ca="1" si="51"/>
        <v/>
      </c>
      <c r="G435" s="246" t="str">
        <f t="shared" ca="1" si="52"/>
        <v/>
      </c>
      <c r="H435" s="204" t="str">
        <f ca="1">IF(G435="","",IF(VLOOKUP(Separator!F435,'Species Data'!D:F,3,FALSE)=0,"X",IF(G435&lt;44.1,2,1)))</f>
        <v/>
      </c>
      <c r="I435" s="204" t="str">
        <f t="shared" ca="1" si="53"/>
        <v/>
      </c>
      <c r="J435" s="247" t="str">
        <f ca="1">IF(I435="","",IF(COUNTIF($D$12:D435,D435)=1,IF(H435=1,I435*H435,IF(H435="X","X",0)),0))</f>
        <v/>
      </c>
      <c r="K435" s="248" t="str">
        <f t="shared" ca="1" si="54"/>
        <v/>
      </c>
      <c r="L435" s="239"/>
      <c r="M435" s="215"/>
      <c r="N435" s="215"/>
      <c r="O435" s="216"/>
      <c r="P435" s="215"/>
      <c r="Q435" s="217"/>
      <c r="R435" s="215"/>
      <c r="S435" s="215"/>
      <c r="T435" s="215"/>
      <c r="U435" s="215"/>
      <c r="V435" s="217"/>
      <c r="W435" s="217"/>
      <c r="X435" s="217"/>
      <c r="Y435" s="217"/>
      <c r="Z435" s="217"/>
      <c r="AA435" s="215"/>
      <c r="AB435" s="215"/>
      <c r="AC435" s="215"/>
      <c r="AD435" s="217">
        <v>1.434064</v>
      </c>
      <c r="AE435" s="217">
        <v>592</v>
      </c>
      <c r="AF435" s="217">
        <v>4.444</v>
      </c>
      <c r="AG435" s="217">
        <v>-99</v>
      </c>
      <c r="AH435" s="215" t="s">
        <v>224</v>
      </c>
      <c r="AI435" s="215" t="s">
        <v>449</v>
      </c>
      <c r="AJ435" s="215" t="s">
        <v>273</v>
      </c>
      <c r="AK435" s="215" t="s">
        <v>531</v>
      </c>
      <c r="AL435" s="215" t="s">
        <v>377</v>
      </c>
      <c r="AM435" s="217" t="b">
        <v>1</v>
      </c>
      <c r="AN435" s="217" t="b">
        <v>0</v>
      </c>
      <c r="AO435" s="215" t="s">
        <v>274</v>
      </c>
      <c r="AP435" s="215" t="s">
        <v>275</v>
      </c>
      <c r="AQ435" s="217">
        <v>58.122199999999992</v>
      </c>
      <c r="AR435" s="217" t="b">
        <v>0</v>
      </c>
      <c r="AS435" s="215" t="s">
        <v>534</v>
      </c>
    </row>
    <row r="436" spans="1:45" s="219" customFormat="1" x14ac:dyDescent="0.25">
      <c r="A436" s="245" t="str">
        <f t="shared" si="55"/>
        <v/>
      </c>
      <c r="B436" s="246" t="str">
        <f t="shared" si="48"/>
        <v/>
      </c>
      <c r="C436" s="246" t="str">
        <f>IF(B436="","",VLOOKUP(D436,'Species Data'!B:E,4,FALSE))</f>
        <v/>
      </c>
      <c r="D436" s="246" t="str">
        <f t="shared" ca="1" si="49"/>
        <v/>
      </c>
      <c r="E436" s="246" t="str">
        <f t="shared" ca="1" si="50"/>
        <v/>
      </c>
      <c r="F436" s="246" t="str">
        <f t="shared" ca="1" si="51"/>
        <v/>
      </c>
      <c r="G436" s="246" t="str">
        <f t="shared" ca="1" si="52"/>
        <v/>
      </c>
      <c r="H436" s="204" t="str">
        <f ca="1">IF(G436="","",IF(VLOOKUP(Separator!F436,'Species Data'!D:F,3,FALSE)=0,"X",IF(G436&lt;44.1,2,1)))</f>
        <v/>
      </c>
      <c r="I436" s="204" t="str">
        <f t="shared" ca="1" si="53"/>
        <v/>
      </c>
      <c r="J436" s="247" t="str">
        <f ca="1">IF(I436="","",IF(COUNTIF($D$12:D436,D436)=1,IF(H436=1,I436*H436,IF(H436="X","X",0)),0))</f>
        <v/>
      </c>
      <c r="K436" s="248" t="str">
        <f t="shared" ca="1" si="54"/>
        <v/>
      </c>
      <c r="L436" s="239"/>
      <c r="M436" s="215"/>
      <c r="N436" s="215"/>
      <c r="O436" s="216"/>
      <c r="P436" s="215"/>
      <c r="Q436" s="217"/>
      <c r="R436" s="215"/>
      <c r="S436" s="215"/>
      <c r="T436" s="215"/>
      <c r="U436" s="215"/>
      <c r="V436" s="217"/>
      <c r="W436" s="217"/>
      <c r="X436" s="217"/>
      <c r="Y436" s="217"/>
      <c r="Z436" s="217"/>
      <c r="AA436" s="215"/>
      <c r="AB436" s="215"/>
      <c r="AC436" s="215"/>
      <c r="AD436" s="217">
        <v>1.434064</v>
      </c>
      <c r="AE436" s="217">
        <v>598</v>
      </c>
      <c r="AF436" s="217">
        <v>6.9400000000000003E-2</v>
      </c>
      <c r="AG436" s="217">
        <v>-99</v>
      </c>
      <c r="AH436" s="215" t="s">
        <v>224</v>
      </c>
      <c r="AI436" s="215" t="s">
        <v>449</v>
      </c>
      <c r="AJ436" s="215" t="s">
        <v>414</v>
      </c>
      <c r="AK436" s="215" t="s">
        <v>531</v>
      </c>
      <c r="AL436" s="215" t="s">
        <v>452</v>
      </c>
      <c r="AM436" s="217" t="b">
        <v>1</v>
      </c>
      <c r="AN436" s="217" t="b">
        <v>0</v>
      </c>
      <c r="AO436" s="215" t="s">
        <v>415</v>
      </c>
      <c r="AP436" s="215" t="s">
        <v>416</v>
      </c>
      <c r="AQ436" s="217">
        <v>142.28167999999999</v>
      </c>
      <c r="AR436" s="217" t="b">
        <v>0</v>
      </c>
      <c r="AS436" s="215" t="s">
        <v>534</v>
      </c>
    </row>
    <row r="437" spans="1:45" s="219" customFormat="1" x14ac:dyDescent="0.25">
      <c r="A437" s="245" t="str">
        <f t="shared" si="55"/>
        <v/>
      </c>
      <c r="B437" s="246" t="str">
        <f t="shared" si="48"/>
        <v/>
      </c>
      <c r="C437" s="246" t="str">
        <f>IF(B437="","",VLOOKUP(D437,'Species Data'!B:E,4,FALSE))</f>
        <v/>
      </c>
      <c r="D437" s="246" t="str">
        <f t="shared" ca="1" si="49"/>
        <v/>
      </c>
      <c r="E437" s="246" t="str">
        <f t="shared" ca="1" si="50"/>
        <v/>
      </c>
      <c r="F437" s="246" t="str">
        <f t="shared" ca="1" si="51"/>
        <v/>
      </c>
      <c r="G437" s="246" t="str">
        <f t="shared" ca="1" si="52"/>
        <v/>
      </c>
      <c r="H437" s="204" t="str">
        <f ca="1">IF(G437="","",IF(VLOOKUP(Separator!F437,'Species Data'!D:F,3,FALSE)=0,"X",IF(G437&lt;44.1,2,1)))</f>
        <v/>
      </c>
      <c r="I437" s="204" t="str">
        <f t="shared" ca="1" si="53"/>
        <v/>
      </c>
      <c r="J437" s="247" t="str">
        <f ca="1">IF(I437="","",IF(COUNTIF($D$12:D437,D437)=1,IF(H437=1,I437*H437,IF(H437="X","X",0)),0))</f>
        <v/>
      </c>
      <c r="K437" s="248" t="str">
        <f t="shared" ca="1" si="54"/>
        <v/>
      </c>
      <c r="L437" s="239"/>
      <c r="M437" s="215"/>
      <c r="N437" s="215"/>
      <c r="O437" s="216"/>
      <c r="P437" s="215"/>
      <c r="Q437" s="217"/>
      <c r="R437" s="215"/>
      <c r="S437" s="215"/>
      <c r="T437" s="215"/>
      <c r="U437" s="215"/>
      <c r="V437" s="217"/>
      <c r="W437" s="217"/>
      <c r="X437" s="217"/>
      <c r="Y437" s="217"/>
      <c r="Z437" s="217"/>
      <c r="AA437" s="215"/>
      <c r="AB437" s="215"/>
      <c r="AC437" s="215"/>
      <c r="AD437" s="217">
        <v>1.434064</v>
      </c>
      <c r="AE437" s="217">
        <v>600</v>
      </c>
      <c r="AF437" s="217">
        <v>0.92400000000000004</v>
      </c>
      <c r="AG437" s="217">
        <v>-99</v>
      </c>
      <c r="AH437" s="215" t="s">
        <v>224</v>
      </c>
      <c r="AI437" s="215" t="s">
        <v>449</v>
      </c>
      <c r="AJ437" s="215" t="s">
        <v>276</v>
      </c>
      <c r="AK437" s="215" t="s">
        <v>531</v>
      </c>
      <c r="AL437" s="215" t="s">
        <v>378</v>
      </c>
      <c r="AM437" s="217" t="b">
        <v>1</v>
      </c>
      <c r="AN437" s="217" t="b">
        <v>0</v>
      </c>
      <c r="AO437" s="215" t="s">
        <v>277</v>
      </c>
      <c r="AP437" s="215" t="s">
        <v>278</v>
      </c>
      <c r="AQ437" s="217">
        <v>100.20194000000001</v>
      </c>
      <c r="AR437" s="217" t="b">
        <v>0</v>
      </c>
      <c r="AS437" s="215" t="s">
        <v>534</v>
      </c>
    </row>
    <row r="438" spans="1:45" s="219" customFormat="1" x14ac:dyDescent="0.25">
      <c r="A438" s="245" t="str">
        <f t="shared" si="55"/>
        <v/>
      </c>
      <c r="B438" s="246" t="str">
        <f t="shared" si="48"/>
        <v/>
      </c>
      <c r="C438" s="246" t="str">
        <f>IF(B438="","",VLOOKUP(D438,'Species Data'!B:E,4,FALSE))</f>
        <v/>
      </c>
      <c r="D438" s="246" t="str">
        <f t="shared" ca="1" si="49"/>
        <v/>
      </c>
      <c r="E438" s="246" t="str">
        <f t="shared" ca="1" si="50"/>
        <v/>
      </c>
      <c r="F438" s="246" t="str">
        <f t="shared" ca="1" si="51"/>
        <v/>
      </c>
      <c r="G438" s="246" t="str">
        <f t="shared" ca="1" si="52"/>
        <v/>
      </c>
      <c r="H438" s="204" t="str">
        <f ca="1">IF(G438="","",IF(VLOOKUP(Separator!F438,'Species Data'!D:F,3,FALSE)=0,"X",IF(G438&lt;44.1,2,1)))</f>
        <v/>
      </c>
      <c r="I438" s="204" t="str">
        <f t="shared" ca="1" si="53"/>
        <v/>
      </c>
      <c r="J438" s="247" t="str">
        <f ca="1">IF(I438="","",IF(COUNTIF($D$12:D438,D438)=1,IF(H438=1,I438*H438,IF(H438="X","X",0)),0))</f>
        <v/>
      </c>
      <c r="K438" s="248" t="str">
        <f t="shared" ca="1" si="54"/>
        <v/>
      </c>
      <c r="L438" s="239"/>
      <c r="M438" s="215"/>
      <c r="N438" s="215"/>
      <c r="O438" s="216"/>
      <c r="P438" s="215"/>
      <c r="Q438" s="217"/>
      <c r="R438" s="215"/>
      <c r="S438" s="215"/>
      <c r="T438" s="215"/>
      <c r="U438" s="215"/>
      <c r="V438" s="217"/>
      <c r="W438" s="217"/>
      <c r="X438" s="217"/>
      <c r="Y438" s="217"/>
      <c r="Z438" s="217"/>
      <c r="AA438" s="215"/>
      <c r="AB438" s="215"/>
      <c r="AC438" s="215"/>
      <c r="AD438" s="217">
        <v>1.434064</v>
      </c>
      <c r="AE438" s="217">
        <v>601</v>
      </c>
      <c r="AF438" s="217">
        <v>0.90600000000000003</v>
      </c>
      <c r="AG438" s="217">
        <v>-99</v>
      </c>
      <c r="AH438" s="215" t="s">
        <v>224</v>
      </c>
      <c r="AI438" s="215" t="s">
        <v>449</v>
      </c>
      <c r="AJ438" s="215" t="s">
        <v>279</v>
      </c>
      <c r="AK438" s="215" t="s">
        <v>531</v>
      </c>
      <c r="AL438" s="215" t="s">
        <v>379</v>
      </c>
      <c r="AM438" s="217" t="b">
        <v>1</v>
      </c>
      <c r="AN438" s="217" t="b">
        <v>1</v>
      </c>
      <c r="AO438" s="215" t="s">
        <v>280</v>
      </c>
      <c r="AP438" s="215" t="s">
        <v>281</v>
      </c>
      <c r="AQ438" s="217">
        <v>86.175359999999998</v>
      </c>
      <c r="AR438" s="217" t="b">
        <v>0</v>
      </c>
      <c r="AS438" s="215" t="s">
        <v>534</v>
      </c>
    </row>
    <row r="439" spans="1:45" s="219" customFormat="1" x14ac:dyDescent="0.25">
      <c r="A439" s="245" t="str">
        <f t="shared" si="55"/>
        <v/>
      </c>
      <c r="B439" s="246" t="str">
        <f t="shared" si="48"/>
        <v/>
      </c>
      <c r="C439" s="246" t="str">
        <f>IF(B439="","",VLOOKUP(D439,'Species Data'!B:E,4,FALSE))</f>
        <v/>
      </c>
      <c r="D439" s="246" t="str">
        <f t="shared" ca="1" si="49"/>
        <v/>
      </c>
      <c r="E439" s="246" t="str">
        <f t="shared" ca="1" si="50"/>
        <v/>
      </c>
      <c r="F439" s="246" t="str">
        <f t="shared" ca="1" si="51"/>
        <v/>
      </c>
      <c r="G439" s="246" t="str">
        <f t="shared" ca="1" si="52"/>
        <v/>
      </c>
      <c r="H439" s="204" t="str">
        <f ca="1">IF(G439="","",IF(VLOOKUP(Separator!F439,'Species Data'!D:F,3,FALSE)=0,"X",IF(G439&lt;44.1,2,1)))</f>
        <v/>
      </c>
      <c r="I439" s="204" t="str">
        <f t="shared" ca="1" si="53"/>
        <v/>
      </c>
      <c r="J439" s="247" t="str">
        <f ca="1">IF(I439="","",IF(COUNTIF($D$12:D439,D439)=1,IF(H439=1,I439*H439,IF(H439="X","X",0)),0))</f>
        <v/>
      </c>
      <c r="K439" s="248" t="str">
        <f t="shared" ca="1" si="54"/>
        <v/>
      </c>
      <c r="L439" s="239"/>
      <c r="M439" s="215"/>
      <c r="N439" s="215"/>
      <c r="O439" s="216"/>
      <c r="P439" s="215"/>
      <c r="Q439" s="217"/>
      <c r="R439" s="215"/>
      <c r="S439" s="215"/>
      <c r="T439" s="215"/>
      <c r="U439" s="215"/>
      <c r="V439" s="217"/>
      <c r="W439" s="217"/>
      <c r="X439" s="217"/>
      <c r="Y439" s="217"/>
      <c r="Z439" s="217"/>
      <c r="AA439" s="215"/>
      <c r="AB439" s="215"/>
      <c r="AC439" s="215"/>
      <c r="AD439" s="217">
        <v>1.434064</v>
      </c>
      <c r="AE439" s="217">
        <v>603</v>
      </c>
      <c r="AF439" s="217">
        <v>1.5824</v>
      </c>
      <c r="AG439" s="217">
        <v>-99</v>
      </c>
      <c r="AH439" s="215" t="s">
        <v>224</v>
      </c>
      <c r="AI439" s="215" t="s">
        <v>449</v>
      </c>
      <c r="AJ439" s="215" t="s">
        <v>417</v>
      </c>
      <c r="AK439" s="215" t="s">
        <v>531</v>
      </c>
      <c r="AL439" s="215" t="s">
        <v>453</v>
      </c>
      <c r="AM439" s="217" t="b">
        <v>1</v>
      </c>
      <c r="AN439" s="217" t="b">
        <v>0</v>
      </c>
      <c r="AO439" s="215" t="s">
        <v>418</v>
      </c>
      <c r="AP439" s="215" t="s">
        <v>419</v>
      </c>
      <c r="AQ439" s="217">
        <v>128.2551</v>
      </c>
      <c r="AR439" s="217" t="b">
        <v>0</v>
      </c>
      <c r="AS439" s="215" t="s">
        <v>534</v>
      </c>
    </row>
    <row r="440" spans="1:45" s="219" customFormat="1" x14ac:dyDescent="0.25">
      <c r="A440" s="245" t="str">
        <f t="shared" si="55"/>
        <v/>
      </c>
      <c r="B440" s="246" t="str">
        <f t="shared" si="48"/>
        <v/>
      </c>
      <c r="C440" s="246" t="str">
        <f>IF(B440="","",VLOOKUP(D440,'Species Data'!B:E,4,FALSE))</f>
        <v/>
      </c>
      <c r="D440" s="246" t="str">
        <f t="shared" ca="1" si="49"/>
        <v/>
      </c>
      <c r="E440" s="246" t="str">
        <f t="shared" ca="1" si="50"/>
        <v/>
      </c>
      <c r="F440" s="246" t="str">
        <f t="shared" ca="1" si="51"/>
        <v/>
      </c>
      <c r="G440" s="246" t="str">
        <f t="shared" ca="1" si="52"/>
        <v/>
      </c>
      <c r="H440" s="204" t="str">
        <f ca="1">IF(G440="","",IF(VLOOKUP(Separator!F440,'Species Data'!D:F,3,FALSE)=0,"X",IF(G440&lt;44.1,2,1)))</f>
        <v/>
      </c>
      <c r="I440" s="204" t="str">
        <f t="shared" ca="1" si="53"/>
        <v/>
      </c>
      <c r="J440" s="247" t="str">
        <f ca="1">IF(I440="","",IF(COUNTIF($D$12:D440,D440)=1,IF(H440=1,I440*H440,IF(H440="X","X",0)),0))</f>
        <v/>
      </c>
      <c r="K440" s="248" t="str">
        <f t="shared" ca="1" si="54"/>
        <v/>
      </c>
      <c r="L440" s="239"/>
      <c r="M440" s="215"/>
      <c r="N440" s="215"/>
      <c r="O440" s="216"/>
      <c r="P440" s="215"/>
      <c r="Q440" s="217"/>
      <c r="R440" s="215"/>
      <c r="S440" s="215"/>
      <c r="T440" s="215"/>
      <c r="U440" s="215"/>
      <c r="V440" s="217"/>
      <c r="W440" s="217"/>
      <c r="X440" s="217"/>
      <c r="Y440" s="217"/>
      <c r="Z440" s="217"/>
      <c r="AA440" s="215"/>
      <c r="AB440" s="215"/>
      <c r="AC440" s="215"/>
      <c r="AD440" s="217">
        <v>1.434064</v>
      </c>
      <c r="AE440" s="217">
        <v>604</v>
      </c>
      <c r="AF440" s="217">
        <v>1.1482000000000001</v>
      </c>
      <c r="AG440" s="217">
        <v>-99</v>
      </c>
      <c r="AH440" s="215" t="s">
        <v>224</v>
      </c>
      <c r="AI440" s="215" t="s">
        <v>449</v>
      </c>
      <c r="AJ440" s="215" t="s">
        <v>282</v>
      </c>
      <c r="AK440" s="215" t="s">
        <v>531</v>
      </c>
      <c r="AL440" s="215" t="s">
        <v>380</v>
      </c>
      <c r="AM440" s="217" t="b">
        <v>1</v>
      </c>
      <c r="AN440" s="217" t="b">
        <v>0</v>
      </c>
      <c r="AO440" s="215" t="s">
        <v>283</v>
      </c>
      <c r="AP440" s="215" t="s">
        <v>284</v>
      </c>
      <c r="AQ440" s="217">
        <v>114.22852</v>
      </c>
      <c r="AR440" s="217" t="b">
        <v>0</v>
      </c>
      <c r="AS440" s="215" t="s">
        <v>534</v>
      </c>
    </row>
    <row r="441" spans="1:45" s="219" customFormat="1" x14ac:dyDescent="0.25">
      <c r="A441" s="245" t="str">
        <f t="shared" si="55"/>
        <v/>
      </c>
      <c r="B441" s="246" t="str">
        <f t="shared" si="48"/>
        <v/>
      </c>
      <c r="C441" s="246" t="str">
        <f>IF(B441="","",VLOOKUP(D441,'Species Data'!B:E,4,FALSE))</f>
        <v/>
      </c>
      <c r="D441" s="246" t="str">
        <f t="shared" ca="1" si="49"/>
        <v/>
      </c>
      <c r="E441" s="246" t="str">
        <f t="shared" ca="1" si="50"/>
        <v/>
      </c>
      <c r="F441" s="246" t="str">
        <f t="shared" ca="1" si="51"/>
        <v/>
      </c>
      <c r="G441" s="246" t="str">
        <f t="shared" ca="1" si="52"/>
        <v/>
      </c>
      <c r="H441" s="204" t="str">
        <f ca="1">IF(G441="","",IF(VLOOKUP(Separator!F441,'Species Data'!D:F,3,FALSE)=0,"X",IF(G441&lt;44.1,2,1)))</f>
        <v/>
      </c>
      <c r="I441" s="204" t="str">
        <f t="shared" ca="1" si="53"/>
        <v/>
      </c>
      <c r="J441" s="247" t="str">
        <f ca="1">IF(I441="","",IF(COUNTIF($D$12:D441,D441)=1,IF(H441=1,I441*H441,IF(H441="X","X",0)),0))</f>
        <v/>
      </c>
      <c r="K441" s="248" t="str">
        <f t="shared" ca="1" si="54"/>
        <v/>
      </c>
      <c r="L441" s="239"/>
      <c r="M441" s="215"/>
      <c r="N441" s="215"/>
      <c r="O441" s="216"/>
      <c r="P441" s="215"/>
      <c r="Q441" s="217"/>
      <c r="R441" s="215"/>
      <c r="S441" s="215"/>
      <c r="T441" s="215"/>
      <c r="U441" s="215"/>
      <c r="V441" s="217"/>
      <c r="W441" s="217"/>
      <c r="X441" s="217"/>
      <c r="Y441" s="217"/>
      <c r="Z441" s="217"/>
      <c r="AA441" s="215"/>
      <c r="AB441" s="215"/>
      <c r="AC441" s="215"/>
      <c r="AD441" s="217">
        <v>1.434064</v>
      </c>
      <c r="AE441" s="217">
        <v>605</v>
      </c>
      <c r="AF441" s="217">
        <v>1.6241000000000001</v>
      </c>
      <c r="AG441" s="217">
        <v>-99</v>
      </c>
      <c r="AH441" s="215" t="s">
        <v>224</v>
      </c>
      <c r="AI441" s="215" t="s">
        <v>449</v>
      </c>
      <c r="AJ441" s="215" t="s">
        <v>285</v>
      </c>
      <c r="AK441" s="215" t="s">
        <v>531</v>
      </c>
      <c r="AL441" s="215" t="s">
        <v>381</v>
      </c>
      <c r="AM441" s="217" t="b">
        <v>1</v>
      </c>
      <c r="AN441" s="217" t="b">
        <v>0</v>
      </c>
      <c r="AO441" s="215" t="s">
        <v>286</v>
      </c>
      <c r="AP441" s="215" t="s">
        <v>287</v>
      </c>
      <c r="AQ441" s="217">
        <v>72.148780000000002</v>
      </c>
      <c r="AR441" s="217" t="b">
        <v>0</v>
      </c>
      <c r="AS441" s="215" t="s">
        <v>534</v>
      </c>
    </row>
    <row r="442" spans="1:45" s="219" customFormat="1" x14ac:dyDescent="0.25">
      <c r="A442" s="245" t="str">
        <f t="shared" si="55"/>
        <v/>
      </c>
      <c r="B442" s="246" t="str">
        <f t="shared" si="48"/>
        <v/>
      </c>
      <c r="C442" s="246" t="str">
        <f>IF(B442="","",VLOOKUP(D442,'Species Data'!B:E,4,FALSE))</f>
        <v/>
      </c>
      <c r="D442" s="246" t="str">
        <f t="shared" ca="1" si="49"/>
        <v/>
      </c>
      <c r="E442" s="246" t="str">
        <f t="shared" ca="1" si="50"/>
        <v/>
      </c>
      <c r="F442" s="246" t="str">
        <f t="shared" ca="1" si="51"/>
        <v/>
      </c>
      <c r="G442" s="246" t="str">
        <f t="shared" ca="1" si="52"/>
        <v/>
      </c>
      <c r="H442" s="204" t="str">
        <f ca="1">IF(G442="","",IF(VLOOKUP(Separator!F442,'Species Data'!D:F,3,FALSE)=0,"X",IF(G442&lt;44.1,2,1)))</f>
        <v/>
      </c>
      <c r="I442" s="204" t="str">
        <f t="shared" ca="1" si="53"/>
        <v/>
      </c>
      <c r="J442" s="247" t="str">
        <f ca="1">IF(I442="","",IF(COUNTIF($D$12:D442,D442)=1,IF(H442=1,I442*H442,IF(H442="X","X",0)),0))</f>
        <v/>
      </c>
      <c r="K442" s="248" t="str">
        <f t="shared" ca="1" si="54"/>
        <v/>
      </c>
      <c r="L442" s="239"/>
      <c r="M442" s="215"/>
      <c r="N442" s="215"/>
      <c r="O442" s="216"/>
      <c r="P442" s="215"/>
      <c r="Q442" s="217"/>
      <c r="R442" s="215"/>
      <c r="S442" s="215"/>
      <c r="T442" s="215"/>
      <c r="U442" s="215"/>
      <c r="V442" s="217"/>
      <c r="W442" s="217"/>
      <c r="X442" s="217"/>
      <c r="Y442" s="217"/>
      <c r="Z442" s="217"/>
      <c r="AA442" s="215"/>
      <c r="AB442" s="215"/>
      <c r="AC442" s="215"/>
      <c r="AD442" s="217">
        <v>1.434064</v>
      </c>
      <c r="AE442" s="217">
        <v>608</v>
      </c>
      <c r="AF442" s="217">
        <v>0.50080000000000002</v>
      </c>
      <c r="AG442" s="217">
        <v>-99</v>
      </c>
      <c r="AH442" s="215" t="s">
        <v>224</v>
      </c>
      <c r="AI442" s="215" t="s">
        <v>449</v>
      </c>
      <c r="AJ442" s="215" t="s">
        <v>420</v>
      </c>
      <c r="AK442" s="215" t="s">
        <v>531</v>
      </c>
      <c r="AL442" s="215" t="s">
        <v>454</v>
      </c>
      <c r="AM442" s="217" t="b">
        <v>1</v>
      </c>
      <c r="AN442" s="217" t="b">
        <v>0</v>
      </c>
      <c r="AO442" s="215" t="s">
        <v>421</v>
      </c>
      <c r="AP442" s="215" t="s">
        <v>422</v>
      </c>
      <c r="AQ442" s="217">
        <v>120.19158</v>
      </c>
      <c r="AR442" s="217" t="b">
        <v>0</v>
      </c>
      <c r="AS442" s="215" t="s">
        <v>534</v>
      </c>
    </row>
    <row r="443" spans="1:45" s="219" customFormat="1" x14ac:dyDescent="0.25">
      <c r="A443" s="245" t="str">
        <f t="shared" si="55"/>
        <v/>
      </c>
      <c r="B443" s="246" t="str">
        <f t="shared" si="48"/>
        <v/>
      </c>
      <c r="C443" s="246" t="str">
        <f>IF(B443="","",VLOOKUP(D443,'Species Data'!B:E,4,FALSE))</f>
        <v/>
      </c>
      <c r="D443" s="246" t="str">
        <f t="shared" ca="1" si="49"/>
        <v/>
      </c>
      <c r="E443" s="246" t="str">
        <f t="shared" ca="1" si="50"/>
        <v/>
      </c>
      <c r="F443" s="246" t="str">
        <f t="shared" ca="1" si="51"/>
        <v/>
      </c>
      <c r="G443" s="246" t="str">
        <f t="shared" ca="1" si="52"/>
        <v/>
      </c>
      <c r="H443" s="204" t="str">
        <f ca="1">IF(G443="","",IF(VLOOKUP(Separator!F443,'Species Data'!D:F,3,FALSE)=0,"X",IF(G443&lt;44.1,2,1)))</f>
        <v/>
      </c>
      <c r="I443" s="204" t="str">
        <f t="shared" ca="1" si="53"/>
        <v/>
      </c>
      <c r="J443" s="247" t="str">
        <f ca="1">IF(I443="","",IF(COUNTIF($D$12:D443,D443)=1,IF(H443=1,I443*H443,IF(H443="X","X",0)),0))</f>
        <v/>
      </c>
      <c r="K443" s="248" t="str">
        <f t="shared" ca="1" si="54"/>
        <v/>
      </c>
      <c r="L443" s="239"/>
      <c r="M443" s="215"/>
      <c r="N443" s="215"/>
      <c r="O443" s="216"/>
      <c r="P443" s="215"/>
      <c r="Q443" s="217"/>
      <c r="R443" s="215"/>
      <c r="S443" s="215"/>
      <c r="T443" s="215"/>
      <c r="U443" s="215"/>
      <c r="V443" s="217"/>
      <c r="W443" s="217"/>
      <c r="X443" s="217"/>
      <c r="Y443" s="217"/>
      <c r="Z443" s="217"/>
      <c r="AA443" s="215"/>
      <c r="AB443" s="215"/>
      <c r="AC443" s="215"/>
      <c r="AD443" s="217">
        <v>1.434064</v>
      </c>
      <c r="AE443" s="217">
        <v>610</v>
      </c>
      <c r="AF443" s="217">
        <v>1.2176</v>
      </c>
      <c r="AG443" s="217">
        <v>-99</v>
      </c>
      <c r="AH443" s="215" t="s">
        <v>224</v>
      </c>
      <c r="AI443" s="215" t="s">
        <v>449</v>
      </c>
      <c r="AJ443" s="215" t="s">
        <v>430</v>
      </c>
      <c r="AK443" s="215" t="s">
        <v>531</v>
      </c>
      <c r="AL443" s="215" t="s">
        <v>458</v>
      </c>
      <c r="AM443" s="217" t="b">
        <v>1</v>
      </c>
      <c r="AN443" s="217" t="b">
        <v>0</v>
      </c>
      <c r="AO443" s="215" t="s">
        <v>431</v>
      </c>
      <c r="AP443" s="215" t="s">
        <v>432</v>
      </c>
      <c r="AQ443" s="217">
        <v>156.30826000000002</v>
      </c>
      <c r="AR443" s="217" t="b">
        <v>0</v>
      </c>
      <c r="AS443" s="215" t="s">
        <v>534</v>
      </c>
    </row>
    <row r="444" spans="1:45" s="219" customFormat="1" x14ac:dyDescent="0.25">
      <c r="A444" s="245" t="str">
        <f t="shared" si="55"/>
        <v/>
      </c>
      <c r="B444" s="246" t="str">
        <f t="shared" si="48"/>
        <v/>
      </c>
      <c r="C444" s="246" t="str">
        <f>IF(B444="","",VLOOKUP(D444,'Species Data'!B:E,4,FALSE))</f>
        <v/>
      </c>
      <c r="D444" s="246" t="str">
        <f t="shared" ca="1" si="49"/>
        <v/>
      </c>
      <c r="E444" s="246" t="str">
        <f t="shared" ca="1" si="50"/>
        <v/>
      </c>
      <c r="F444" s="246" t="str">
        <f t="shared" ca="1" si="51"/>
        <v/>
      </c>
      <c r="G444" s="246" t="str">
        <f t="shared" ca="1" si="52"/>
        <v/>
      </c>
      <c r="H444" s="204" t="str">
        <f ca="1">IF(G444="","",IF(VLOOKUP(Separator!F444,'Species Data'!D:F,3,FALSE)=0,"X",IF(G444&lt;44.1,2,1)))</f>
        <v/>
      </c>
      <c r="I444" s="204" t="str">
        <f t="shared" ca="1" si="53"/>
        <v/>
      </c>
      <c r="J444" s="247" t="str">
        <f ca="1">IF(I444="","",IF(COUNTIF($D$12:D444,D444)=1,IF(H444=1,I444*H444,IF(H444="X","X",0)),0))</f>
        <v/>
      </c>
      <c r="K444" s="248" t="str">
        <f t="shared" ca="1" si="54"/>
        <v/>
      </c>
      <c r="L444" s="239"/>
      <c r="M444" s="215"/>
      <c r="N444" s="215"/>
      <c r="O444" s="216"/>
      <c r="P444" s="215"/>
      <c r="Q444" s="217"/>
      <c r="R444" s="215"/>
      <c r="S444" s="215"/>
      <c r="T444" s="215"/>
      <c r="U444" s="215"/>
      <c r="V444" s="217"/>
      <c r="W444" s="217"/>
      <c r="X444" s="217"/>
      <c r="Y444" s="217"/>
      <c r="Z444" s="217"/>
      <c r="AA444" s="215"/>
      <c r="AB444" s="215"/>
      <c r="AC444" s="215"/>
      <c r="AD444" s="217">
        <v>1.434064</v>
      </c>
      <c r="AE444" s="217">
        <v>620</v>
      </c>
      <c r="AF444" s="217">
        <v>0.70889999999999997</v>
      </c>
      <c r="AG444" s="217">
        <v>-99</v>
      </c>
      <c r="AH444" s="215" t="s">
        <v>224</v>
      </c>
      <c r="AI444" s="215" t="s">
        <v>449</v>
      </c>
      <c r="AJ444" s="215" t="s">
        <v>354</v>
      </c>
      <c r="AK444" s="215" t="s">
        <v>531</v>
      </c>
      <c r="AL444" s="215" t="s">
        <v>398</v>
      </c>
      <c r="AM444" s="217" t="b">
        <v>1</v>
      </c>
      <c r="AN444" s="217" t="b">
        <v>1</v>
      </c>
      <c r="AO444" s="215" t="s">
        <v>355</v>
      </c>
      <c r="AP444" s="215" t="s">
        <v>356</v>
      </c>
      <c r="AQ444" s="217">
        <v>106.16500000000001</v>
      </c>
      <c r="AR444" s="217" t="b">
        <v>0</v>
      </c>
      <c r="AS444" s="215" t="s">
        <v>534</v>
      </c>
    </row>
    <row r="445" spans="1:45" s="219" customFormat="1" x14ac:dyDescent="0.25">
      <c r="A445" s="245" t="str">
        <f t="shared" si="55"/>
        <v/>
      </c>
      <c r="B445" s="246" t="str">
        <f t="shared" si="48"/>
        <v/>
      </c>
      <c r="C445" s="246" t="str">
        <f>IF(B445="","",VLOOKUP(D445,'Species Data'!B:E,4,FALSE))</f>
        <v/>
      </c>
      <c r="D445" s="246" t="str">
        <f t="shared" ca="1" si="49"/>
        <v/>
      </c>
      <c r="E445" s="246" t="str">
        <f t="shared" ca="1" si="50"/>
        <v/>
      </c>
      <c r="F445" s="246" t="str">
        <f t="shared" ca="1" si="51"/>
        <v/>
      </c>
      <c r="G445" s="246" t="str">
        <f t="shared" ca="1" si="52"/>
        <v/>
      </c>
      <c r="H445" s="204" t="str">
        <f ca="1">IF(G445="","",IF(VLOOKUP(Separator!F445,'Species Data'!D:F,3,FALSE)=0,"X",IF(G445&lt;44.1,2,1)))</f>
        <v/>
      </c>
      <c r="I445" s="204" t="str">
        <f t="shared" ca="1" si="53"/>
        <v/>
      </c>
      <c r="J445" s="247" t="str">
        <f ca="1">IF(I445="","",IF(COUNTIF($D$12:D445,D445)=1,IF(H445=1,I445*H445,IF(H445="X","X",0)),0))</f>
        <v/>
      </c>
      <c r="K445" s="248" t="str">
        <f t="shared" ca="1" si="54"/>
        <v/>
      </c>
      <c r="L445" s="239"/>
      <c r="M445" s="215"/>
      <c r="N445" s="215"/>
      <c r="O445" s="216"/>
      <c r="P445" s="215"/>
      <c r="Q445" s="217"/>
      <c r="R445" s="215"/>
      <c r="S445" s="215"/>
      <c r="T445" s="215"/>
      <c r="U445" s="215"/>
      <c r="V445" s="217"/>
      <c r="W445" s="217"/>
      <c r="X445" s="217"/>
      <c r="Y445" s="217"/>
      <c r="Z445" s="217"/>
      <c r="AA445" s="215"/>
      <c r="AB445" s="215"/>
      <c r="AC445" s="215"/>
      <c r="AD445" s="217">
        <v>1.434064</v>
      </c>
      <c r="AE445" s="217">
        <v>648</v>
      </c>
      <c r="AF445" s="217">
        <v>0.35620000000000002</v>
      </c>
      <c r="AG445" s="217">
        <v>-99</v>
      </c>
      <c r="AH445" s="215" t="s">
        <v>224</v>
      </c>
      <c r="AI445" s="215" t="s">
        <v>449</v>
      </c>
      <c r="AJ445" s="215" t="s">
        <v>433</v>
      </c>
      <c r="AK445" s="215" t="s">
        <v>531</v>
      </c>
      <c r="AL445" s="215" t="s">
        <v>459</v>
      </c>
      <c r="AM445" s="217" t="b">
        <v>0</v>
      </c>
      <c r="AN445" s="217" t="b">
        <v>1</v>
      </c>
      <c r="AO445" s="215" t="s">
        <v>434</v>
      </c>
      <c r="AP445" s="215" t="s">
        <v>435</v>
      </c>
      <c r="AQ445" s="217">
        <v>106.16500000000001</v>
      </c>
      <c r="AR445" s="217" t="b">
        <v>0</v>
      </c>
      <c r="AS445" s="215" t="s">
        <v>534</v>
      </c>
    </row>
    <row r="446" spans="1:45" s="219" customFormat="1" x14ac:dyDescent="0.25">
      <c r="A446" s="245" t="str">
        <f t="shared" si="55"/>
        <v/>
      </c>
      <c r="B446" s="246" t="str">
        <f t="shared" si="48"/>
        <v/>
      </c>
      <c r="C446" s="246" t="str">
        <f>IF(B446="","",VLOOKUP(D446,'Species Data'!B:E,4,FALSE))</f>
        <v/>
      </c>
      <c r="D446" s="246" t="str">
        <f t="shared" ca="1" si="49"/>
        <v/>
      </c>
      <c r="E446" s="246" t="str">
        <f t="shared" ca="1" si="50"/>
        <v/>
      </c>
      <c r="F446" s="246" t="str">
        <f t="shared" ca="1" si="51"/>
        <v/>
      </c>
      <c r="G446" s="246" t="str">
        <f t="shared" ca="1" si="52"/>
        <v/>
      </c>
      <c r="H446" s="204" t="str">
        <f ca="1">IF(G446="","",IF(VLOOKUP(Separator!F446,'Species Data'!D:F,3,FALSE)=0,"X",IF(G446&lt;44.1,2,1)))</f>
        <v/>
      </c>
      <c r="I446" s="204" t="str">
        <f t="shared" ca="1" si="53"/>
        <v/>
      </c>
      <c r="J446" s="247" t="str">
        <f ca="1">IF(I446="","",IF(COUNTIF($D$12:D446,D446)=1,IF(H446=1,I446*H446,IF(H446="X","X",0)),0))</f>
        <v/>
      </c>
      <c r="K446" s="248" t="str">
        <f t="shared" ca="1" si="54"/>
        <v/>
      </c>
      <c r="L446" s="239"/>
      <c r="M446" s="215"/>
      <c r="N446" s="215"/>
      <c r="O446" s="216"/>
      <c r="P446" s="215"/>
      <c r="Q446" s="217"/>
      <c r="R446" s="215"/>
      <c r="S446" s="215"/>
      <c r="T446" s="215"/>
      <c r="U446" s="215"/>
      <c r="V446" s="217"/>
      <c r="W446" s="217"/>
      <c r="X446" s="217"/>
      <c r="Y446" s="217"/>
      <c r="Z446" s="217"/>
      <c r="AA446" s="215"/>
      <c r="AB446" s="215"/>
      <c r="AC446" s="215"/>
      <c r="AD446" s="217">
        <v>1.434064</v>
      </c>
      <c r="AE446" s="217">
        <v>671</v>
      </c>
      <c r="AF446" s="217">
        <v>11.3004</v>
      </c>
      <c r="AG446" s="217">
        <v>-99</v>
      </c>
      <c r="AH446" s="215" t="s">
        <v>224</v>
      </c>
      <c r="AI446" s="215" t="s">
        <v>449</v>
      </c>
      <c r="AJ446" s="215" t="s">
        <v>288</v>
      </c>
      <c r="AK446" s="215" t="s">
        <v>531</v>
      </c>
      <c r="AL446" s="215" t="s">
        <v>382</v>
      </c>
      <c r="AM446" s="217" t="b">
        <v>1</v>
      </c>
      <c r="AN446" s="217" t="b">
        <v>0</v>
      </c>
      <c r="AO446" s="215" t="s">
        <v>289</v>
      </c>
      <c r="AP446" s="215" t="s">
        <v>290</v>
      </c>
      <c r="AQ446" s="217">
        <v>44.095619999999997</v>
      </c>
      <c r="AR446" s="217" t="b">
        <v>0</v>
      </c>
      <c r="AS446" s="215" t="s">
        <v>534</v>
      </c>
    </row>
    <row r="447" spans="1:45" s="219" customFormat="1" x14ac:dyDescent="0.25">
      <c r="A447" s="245" t="str">
        <f t="shared" si="55"/>
        <v/>
      </c>
      <c r="B447" s="246" t="str">
        <f t="shared" si="48"/>
        <v/>
      </c>
      <c r="C447" s="246" t="str">
        <f>IF(B447="","",VLOOKUP(D447,'Species Data'!B:E,4,FALSE))</f>
        <v/>
      </c>
      <c r="D447" s="246" t="str">
        <f t="shared" ca="1" si="49"/>
        <v/>
      </c>
      <c r="E447" s="246" t="str">
        <f t="shared" ca="1" si="50"/>
        <v/>
      </c>
      <c r="F447" s="246" t="str">
        <f t="shared" ca="1" si="51"/>
        <v/>
      </c>
      <c r="G447" s="246" t="str">
        <f t="shared" ca="1" si="52"/>
        <v/>
      </c>
      <c r="H447" s="204" t="str">
        <f ca="1">IF(G447="","",IF(VLOOKUP(Separator!F447,'Species Data'!D:F,3,FALSE)=0,"X",IF(G447&lt;44.1,2,1)))</f>
        <v/>
      </c>
      <c r="I447" s="204" t="str">
        <f t="shared" ca="1" si="53"/>
        <v/>
      </c>
      <c r="J447" s="247" t="str">
        <f ca="1">IF(I447="","",IF(COUNTIF($D$12:D447,D447)=1,IF(H447=1,I447*H447,IF(H447="X","X",0)),0))</f>
        <v/>
      </c>
      <c r="K447" s="248" t="str">
        <f t="shared" ca="1" si="54"/>
        <v/>
      </c>
      <c r="L447" s="239"/>
      <c r="M447" s="215"/>
      <c r="N447" s="215"/>
      <c r="O447" s="216"/>
      <c r="P447" s="215"/>
      <c r="Q447" s="217"/>
      <c r="R447" s="215"/>
      <c r="S447" s="215"/>
      <c r="T447" s="215"/>
      <c r="U447" s="215"/>
      <c r="V447" s="217"/>
      <c r="W447" s="217"/>
      <c r="X447" s="217"/>
      <c r="Y447" s="217"/>
      <c r="Z447" s="217"/>
      <c r="AA447" s="215"/>
      <c r="AB447" s="215"/>
      <c r="AC447" s="215"/>
      <c r="AD447" s="217">
        <v>1.434064</v>
      </c>
      <c r="AE447" s="217">
        <v>703</v>
      </c>
      <c r="AF447" s="217">
        <v>0.25219999999999998</v>
      </c>
      <c r="AG447" s="217">
        <v>-99</v>
      </c>
      <c r="AH447" s="215" t="s">
        <v>224</v>
      </c>
      <c r="AI447" s="215" t="s">
        <v>449</v>
      </c>
      <c r="AJ447" s="215" t="s">
        <v>423</v>
      </c>
      <c r="AK447" s="215" t="s">
        <v>531</v>
      </c>
      <c r="AL447" s="215" t="s">
        <v>455</v>
      </c>
      <c r="AM447" s="217" t="b">
        <v>0</v>
      </c>
      <c r="AN447" s="217" t="b">
        <v>0</v>
      </c>
      <c r="AO447" s="215" t="s">
        <v>424</v>
      </c>
      <c r="AP447" s="215" t="s">
        <v>531</v>
      </c>
      <c r="AQ447" s="217">
        <v>134.21816000000001</v>
      </c>
      <c r="AR447" s="217" t="b">
        <v>0</v>
      </c>
      <c r="AS447" s="215" t="s">
        <v>534</v>
      </c>
    </row>
    <row r="448" spans="1:45" s="219" customFormat="1" x14ac:dyDescent="0.25">
      <c r="A448" s="245" t="str">
        <f t="shared" si="55"/>
        <v/>
      </c>
      <c r="B448" s="246" t="str">
        <f t="shared" si="48"/>
        <v/>
      </c>
      <c r="C448" s="246" t="str">
        <f>IF(B448="","",VLOOKUP(D448,'Species Data'!B:E,4,FALSE))</f>
        <v/>
      </c>
      <c r="D448" s="246" t="str">
        <f t="shared" ca="1" si="49"/>
        <v/>
      </c>
      <c r="E448" s="246" t="str">
        <f t="shared" ca="1" si="50"/>
        <v/>
      </c>
      <c r="F448" s="246" t="str">
        <f t="shared" ca="1" si="51"/>
        <v/>
      </c>
      <c r="G448" s="246" t="str">
        <f t="shared" ca="1" si="52"/>
        <v/>
      </c>
      <c r="H448" s="204" t="str">
        <f ca="1">IF(G448="","",IF(VLOOKUP(Separator!F448,'Species Data'!D:F,3,FALSE)=0,"X",IF(G448&lt;44.1,2,1)))</f>
        <v/>
      </c>
      <c r="I448" s="204" t="str">
        <f t="shared" ca="1" si="53"/>
        <v/>
      </c>
      <c r="J448" s="247" t="str">
        <f ca="1">IF(I448="","",IF(COUNTIF($D$12:D448,D448)=1,IF(H448=1,I448*H448,IF(H448="X","X",0)),0))</f>
        <v/>
      </c>
      <c r="K448" s="248" t="str">
        <f t="shared" ca="1" si="54"/>
        <v/>
      </c>
      <c r="L448" s="239"/>
      <c r="M448" s="215"/>
      <c r="N448" s="215"/>
      <c r="O448" s="216"/>
      <c r="P448" s="215"/>
      <c r="Q448" s="217"/>
      <c r="R448" s="215"/>
      <c r="S448" s="215"/>
      <c r="T448" s="215"/>
      <c r="U448" s="215"/>
      <c r="V448" s="217"/>
      <c r="W448" s="217"/>
      <c r="X448" s="217"/>
      <c r="Y448" s="217"/>
      <c r="Z448" s="217"/>
      <c r="AA448" s="215"/>
      <c r="AB448" s="215"/>
      <c r="AC448" s="215"/>
      <c r="AD448" s="217">
        <v>1.434064</v>
      </c>
      <c r="AE448" s="217">
        <v>717</v>
      </c>
      <c r="AF448" s="217">
        <v>2.8142999999999998</v>
      </c>
      <c r="AG448" s="217">
        <v>-99</v>
      </c>
      <c r="AH448" s="215" t="s">
        <v>224</v>
      </c>
      <c r="AI448" s="215" t="s">
        <v>449</v>
      </c>
      <c r="AJ448" s="215" t="s">
        <v>294</v>
      </c>
      <c r="AK448" s="215" t="s">
        <v>531</v>
      </c>
      <c r="AL448" s="215" t="s">
        <v>383</v>
      </c>
      <c r="AM448" s="217" t="b">
        <v>1</v>
      </c>
      <c r="AN448" s="217" t="b">
        <v>1</v>
      </c>
      <c r="AO448" s="215" t="s">
        <v>295</v>
      </c>
      <c r="AP448" s="215" t="s">
        <v>296</v>
      </c>
      <c r="AQ448" s="217">
        <v>92.138419999999996</v>
      </c>
      <c r="AR448" s="217" t="b">
        <v>0</v>
      </c>
      <c r="AS448" s="215" t="s">
        <v>534</v>
      </c>
    </row>
    <row r="449" spans="1:45" s="219" customFormat="1" x14ac:dyDescent="0.25">
      <c r="A449" s="245" t="str">
        <f t="shared" si="55"/>
        <v/>
      </c>
      <c r="B449" s="246" t="str">
        <f t="shared" si="48"/>
        <v/>
      </c>
      <c r="C449" s="246" t="str">
        <f>IF(B449="","",VLOOKUP(D449,'Species Data'!B:E,4,FALSE))</f>
        <v/>
      </c>
      <c r="D449" s="246" t="str">
        <f t="shared" ca="1" si="49"/>
        <v/>
      </c>
      <c r="E449" s="246" t="str">
        <f t="shared" ca="1" si="50"/>
        <v/>
      </c>
      <c r="F449" s="246" t="str">
        <f t="shared" ca="1" si="51"/>
        <v/>
      </c>
      <c r="G449" s="246" t="str">
        <f t="shared" ca="1" si="52"/>
        <v/>
      </c>
      <c r="H449" s="204" t="str">
        <f ca="1">IF(G449="","",IF(VLOOKUP(Separator!F449,'Species Data'!D:F,3,FALSE)=0,"X",IF(G449&lt;44.1,2,1)))</f>
        <v/>
      </c>
      <c r="I449" s="204" t="str">
        <f t="shared" ca="1" si="53"/>
        <v/>
      </c>
      <c r="J449" s="247" t="str">
        <f ca="1">IF(I449="","",IF(COUNTIF($D$12:D449,D449)=1,IF(H449=1,I449*H449,IF(H449="X","X",0)),0))</f>
        <v/>
      </c>
      <c r="K449" s="248" t="str">
        <f t="shared" ca="1" si="54"/>
        <v/>
      </c>
      <c r="L449" s="239"/>
      <c r="M449" s="215"/>
      <c r="N449" s="215"/>
      <c r="O449" s="216"/>
      <c r="P449" s="215"/>
      <c r="Q449" s="217"/>
      <c r="R449" s="215"/>
      <c r="S449" s="215"/>
      <c r="T449" s="215"/>
      <c r="U449" s="215"/>
      <c r="V449" s="217"/>
      <c r="W449" s="217"/>
      <c r="X449" s="217"/>
      <c r="Y449" s="217"/>
      <c r="Z449" s="217"/>
      <c r="AA449" s="215"/>
      <c r="AB449" s="215"/>
      <c r="AC449" s="215"/>
      <c r="AD449" s="217">
        <v>1.434064</v>
      </c>
      <c r="AE449" s="217">
        <v>981</v>
      </c>
      <c r="AF449" s="217">
        <v>0.17519999999999999</v>
      </c>
      <c r="AG449" s="217">
        <v>-99</v>
      </c>
      <c r="AH449" s="215" t="s">
        <v>224</v>
      </c>
      <c r="AI449" s="215" t="s">
        <v>449</v>
      </c>
      <c r="AJ449" s="215" t="s">
        <v>645</v>
      </c>
      <c r="AK449" s="215" t="s">
        <v>531</v>
      </c>
      <c r="AL449" s="215" t="s">
        <v>531</v>
      </c>
      <c r="AM449" s="217" t="b">
        <v>0</v>
      </c>
      <c r="AN449" s="217" t="b">
        <v>0</v>
      </c>
      <c r="AO449" s="215" t="s">
        <v>646</v>
      </c>
      <c r="AP449" s="215" t="s">
        <v>647</v>
      </c>
      <c r="AQ449" s="217">
        <v>134.21816000000001</v>
      </c>
      <c r="AR449" s="217" t="b">
        <v>0</v>
      </c>
      <c r="AS449" s="215" t="s">
        <v>534</v>
      </c>
    </row>
    <row r="450" spans="1:45" s="219" customFormat="1" ht="15.75" thickBot="1" x14ac:dyDescent="0.3">
      <c r="A450" s="249" t="str">
        <f t="shared" si="55"/>
        <v/>
      </c>
      <c r="B450" s="250" t="str">
        <f t="shared" si="48"/>
        <v/>
      </c>
      <c r="C450" s="250" t="str">
        <f>IF(B450="","",VLOOKUP(D450,'Species Data'!B:E,4,FALSE))</f>
        <v/>
      </c>
      <c r="D450" s="250" t="str">
        <f t="shared" ca="1" si="49"/>
        <v/>
      </c>
      <c r="E450" s="250" t="str">
        <f t="shared" ca="1" si="50"/>
        <v/>
      </c>
      <c r="F450" s="250" t="str">
        <f t="shared" ca="1" si="51"/>
        <v/>
      </c>
      <c r="G450" s="250" t="str">
        <f t="shared" ca="1" si="52"/>
        <v/>
      </c>
      <c r="H450" s="251" t="str">
        <f ca="1">IF(G450="","",IF(VLOOKUP(Separator!F450,'Species Data'!D:F,3,FALSE)=0,"X",IF(G450&lt;44.1,2,1)))</f>
        <v/>
      </c>
      <c r="I450" s="251" t="str">
        <f t="shared" ca="1" si="53"/>
        <v/>
      </c>
      <c r="J450" s="252" t="str">
        <f ca="1">IF(I450="","",IF(COUNTIF($D$12:D450,D450)=1,IF(H450=1,I450*H450,IF(H450="X","X",0)),0))</f>
        <v/>
      </c>
      <c r="K450" s="253" t="str">
        <f t="shared" ca="1" si="54"/>
        <v/>
      </c>
      <c r="L450" s="239"/>
      <c r="M450" s="215"/>
      <c r="N450" s="215"/>
      <c r="O450" s="216"/>
      <c r="P450" s="215"/>
      <c r="Q450" s="217"/>
      <c r="R450" s="215"/>
      <c r="S450" s="215"/>
      <c r="T450" s="215"/>
      <c r="U450" s="215"/>
      <c r="V450" s="217"/>
      <c r="W450" s="217"/>
      <c r="X450" s="217"/>
      <c r="Y450" s="217"/>
      <c r="Z450" s="217"/>
      <c r="AA450" s="215"/>
      <c r="AB450" s="215"/>
      <c r="AC450" s="215"/>
      <c r="AD450" s="217">
        <v>1.434064</v>
      </c>
      <c r="AE450" s="217">
        <v>1924</v>
      </c>
      <c r="AF450" s="217">
        <v>5.1143999999999998</v>
      </c>
      <c r="AG450" s="217">
        <v>-99</v>
      </c>
      <c r="AH450" s="215" t="s">
        <v>224</v>
      </c>
      <c r="AI450" s="215" t="s">
        <v>449</v>
      </c>
      <c r="AJ450" s="215" t="s">
        <v>224</v>
      </c>
      <c r="AK450" s="215" t="s">
        <v>531</v>
      </c>
      <c r="AL450" s="215" t="s">
        <v>466</v>
      </c>
      <c r="AM450" s="217" t="b">
        <v>0</v>
      </c>
      <c r="AN450" s="217" t="b">
        <v>0</v>
      </c>
      <c r="AO450" s="215" t="s">
        <v>535</v>
      </c>
      <c r="AP450" s="215" t="s">
        <v>536</v>
      </c>
      <c r="AQ450" s="217">
        <v>142.28167999999999</v>
      </c>
      <c r="AR450" s="217" t="b">
        <v>0</v>
      </c>
      <c r="AS450" s="215" t="s">
        <v>534</v>
      </c>
    </row>
    <row r="451" spans="1:45" s="219" customFormat="1" x14ac:dyDescent="0.25">
      <c r="B451" s="218"/>
      <c r="C451" s="218"/>
      <c r="D451" s="218"/>
      <c r="E451" s="218"/>
      <c r="F451" s="218"/>
      <c r="G451" s="218"/>
      <c r="H451" s="218"/>
      <c r="I451" s="218"/>
      <c r="J451" s="223" t="str">
        <f>IF(I451="","",IF(COUNTIF($D$5:D451,D451)=1,IF(H451=2,0,I451*H451),0))</f>
        <v/>
      </c>
      <c r="K451" s="221"/>
      <c r="L451" s="215"/>
      <c r="M451" s="215"/>
      <c r="N451" s="215"/>
      <c r="O451" s="216"/>
      <c r="P451" s="215"/>
      <c r="Q451" s="217"/>
      <c r="R451" s="215"/>
      <c r="S451" s="215"/>
      <c r="T451" s="215"/>
      <c r="U451" s="215"/>
      <c r="V451" s="217"/>
      <c r="W451" s="217"/>
      <c r="X451" s="217"/>
      <c r="Y451" s="217"/>
      <c r="Z451" s="217"/>
      <c r="AA451" s="215"/>
      <c r="AB451" s="215"/>
      <c r="AC451" s="215"/>
      <c r="AD451" s="217">
        <v>1.434064</v>
      </c>
      <c r="AE451" s="217">
        <v>1929</v>
      </c>
      <c r="AF451" s="217">
        <v>1.7402</v>
      </c>
      <c r="AG451" s="217">
        <v>-99</v>
      </c>
      <c r="AH451" s="215" t="s">
        <v>224</v>
      </c>
      <c r="AI451" s="215" t="s">
        <v>449</v>
      </c>
      <c r="AJ451" s="215" t="s">
        <v>224</v>
      </c>
      <c r="AK451" s="215" t="s">
        <v>531</v>
      </c>
      <c r="AL451" s="215" t="s">
        <v>467</v>
      </c>
      <c r="AM451" s="217" t="b">
        <v>0</v>
      </c>
      <c r="AN451" s="217" t="b">
        <v>0</v>
      </c>
      <c r="AO451" s="215" t="s">
        <v>468</v>
      </c>
      <c r="AP451" s="215" t="s">
        <v>469</v>
      </c>
      <c r="AQ451" s="217">
        <v>156.30826000000002</v>
      </c>
      <c r="AR451" s="217" t="b">
        <v>0</v>
      </c>
      <c r="AS451" s="215" t="s">
        <v>534</v>
      </c>
    </row>
    <row r="452" spans="1:45" s="219" customFormat="1" x14ac:dyDescent="0.25">
      <c r="B452" s="218"/>
      <c r="C452" s="218"/>
      <c r="D452" s="218"/>
      <c r="E452" s="218"/>
      <c r="F452" s="218"/>
      <c r="G452" s="218"/>
      <c r="H452" s="218"/>
      <c r="I452" s="218"/>
      <c r="J452" s="218"/>
      <c r="K452" s="221"/>
      <c r="L452" s="215"/>
      <c r="M452" s="215"/>
      <c r="N452" s="215"/>
      <c r="O452" s="216"/>
      <c r="P452" s="215"/>
      <c r="Q452" s="217"/>
      <c r="R452" s="215"/>
      <c r="S452" s="215"/>
      <c r="T452" s="215"/>
      <c r="U452" s="215"/>
      <c r="V452" s="217"/>
      <c r="W452" s="217"/>
      <c r="X452" s="217"/>
      <c r="Y452" s="217"/>
      <c r="Z452" s="217"/>
      <c r="AA452" s="215"/>
      <c r="AB452" s="215"/>
      <c r="AC452" s="215"/>
      <c r="AD452" s="217">
        <v>1.434064</v>
      </c>
      <c r="AE452" s="217">
        <v>1986</v>
      </c>
      <c r="AF452" s="217">
        <v>0.60619999999999996</v>
      </c>
      <c r="AG452" s="217">
        <v>-99</v>
      </c>
      <c r="AH452" s="215" t="s">
        <v>224</v>
      </c>
      <c r="AI452" s="215" t="s">
        <v>449</v>
      </c>
      <c r="AJ452" s="215" t="s">
        <v>224</v>
      </c>
      <c r="AK452" s="215" t="s">
        <v>531</v>
      </c>
      <c r="AL452" s="215" t="s">
        <v>537</v>
      </c>
      <c r="AM452" s="217" t="b">
        <v>0</v>
      </c>
      <c r="AN452" s="217" t="b">
        <v>0</v>
      </c>
      <c r="AO452" s="215" t="s">
        <v>538</v>
      </c>
      <c r="AP452" s="215" t="s">
        <v>539</v>
      </c>
      <c r="AQ452" s="217">
        <v>72.148780000000002</v>
      </c>
      <c r="AR452" s="217" t="b">
        <v>0</v>
      </c>
      <c r="AS452" s="215" t="s">
        <v>534</v>
      </c>
    </row>
    <row r="453" spans="1:45" s="219" customFormat="1" x14ac:dyDescent="0.25">
      <c r="B453" s="218"/>
      <c r="C453" s="218"/>
      <c r="D453" s="218"/>
      <c r="E453" s="218"/>
      <c r="F453" s="218"/>
      <c r="G453" s="218"/>
      <c r="H453" s="218"/>
      <c r="I453" s="218"/>
      <c r="J453" s="218"/>
      <c r="K453" s="221"/>
      <c r="L453" s="215"/>
      <c r="M453" s="215"/>
      <c r="N453" s="215"/>
      <c r="O453" s="216"/>
      <c r="P453" s="215"/>
      <c r="Q453" s="217"/>
      <c r="R453" s="215"/>
      <c r="S453" s="215"/>
      <c r="T453" s="215"/>
      <c r="U453" s="215"/>
      <c r="V453" s="217"/>
      <c r="W453" s="217"/>
      <c r="X453" s="217"/>
      <c r="Y453" s="217"/>
      <c r="Z453" s="217"/>
      <c r="AA453" s="215"/>
      <c r="AB453" s="215"/>
      <c r="AC453" s="215"/>
      <c r="AD453" s="217">
        <v>1.434064</v>
      </c>
      <c r="AE453" s="217">
        <v>1999</v>
      </c>
      <c r="AF453" s="217">
        <v>2.0726</v>
      </c>
      <c r="AG453" s="217">
        <v>-99</v>
      </c>
      <c r="AH453" s="215" t="s">
        <v>224</v>
      </c>
      <c r="AI453" s="215" t="s">
        <v>449</v>
      </c>
      <c r="AJ453" s="215" t="s">
        <v>224</v>
      </c>
      <c r="AK453" s="215" t="s">
        <v>531</v>
      </c>
      <c r="AL453" s="215" t="s">
        <v>540</v>
      </c>
      <c r="AM453" s="217" t="b">
        <v>0</v>
      </c>
      <c r="AN453" s="217" t="b">
        <v>0</v>
      </c>
      <c r="AO453" s="215" t="s">
        <v>541</v>
      </c>
      <c r="AP453" s="215" t="s">
        <v>542</v>
      </c>
      <c r="AQ453" s="217">
        <v>86.175359999999998</v>
      </c>
      <c r="AR453" s="217" t="b">
        <v>0</v>
      </c>
      <c r="AS453" s="215" t="s">
        <v>534</v>
      </c>
    </row>
    <row r="454" spans="1:45" s="219" customFormat="1" x14ac:dyDescent="0.25">
      <c r="B454" s="218"/>
      <c r="C454" s="218"/>
      <c r="D454" s="218"/>
      <c r="E454" s="218"/>
      <c r="F454" s="218"/>
      <c r="G454" s="218"/>
      <c r="H454" s="218"/>
      <c r="I454" s="218"/>
      <c r="J454" s="218"/>
      <c r="K454" s="221"/>
      <c r="L454" s="215"/>
      <c r="M454" s="215"/>
      <c r="N454" s="215"/>
      <c r="O454" s="216"/>
      <c r="P454" s="215"/>
      <c r="Q454" s="217"/>
      <c r="R454" s="215"/>
      <c r="S454" s="215"/>
      <c r="T454" s="215"/>
      <c r="U454" s="215"/>
      <c r="V454" s="217"/>
      <c r="W454" s="217"/>
      <c r="X454" s="217"/>
      <c r="Y454" s="217"/>
      <c r="Z454" s="217"/>
      <c r="AA454" s="215"/>
      <c r="AB454" s="215"/>
      <c r="AC454" s="215"/>
      <c r="AD454" s="217">
        <v>1.434064</v>
      </c>
      <c r="AE454" s="217">
        <v>2005</v>
      </c>
      <c r="AF454" s="217">
        <v>2.4994999999999998</v>
      </c>
      <c r="AG454" s="217">
        <v>-99</v>
      </c>
      <c r="AH454" s="215" t="s">
        <v>224</v>
      </c>
      <c r="AI454" s="215" t="s">
        <v>449</v>
      </c>
      <c r="AJ454" s="215" t="s">
        <v>224</v>
      </c>
      <c r="AK454" s="215" t="s">
        <v>531</v>
      </c>
      <c r="AL454" s="215" t="s">
        <v>543</v>
      </c>
      <c r="AM454" s="217" t="b">
        <v>0</v>
      </c>
      <c r="AN454" s="217" t="b">
        <v>0</v>
      </c>
      <c r="AO454" s="215" t="s">
        <v>544</v>
      </c>
      <c r="AP454" s="215" t="s">
        <v>545</v>
      </c>
      <c r="AQ454" s="217">
        <v>100.20194000000001</v>
      </c>
      <c r="AR454" s="217" t="b">
        <v>0</v>
      </c>
      <c r="AS454" s="215" t="s">
        <v>534</v>
      </c>
    </row>
    <row r="455" spans="1:45" s="219" customFormat="1" x14ac:dyDescent="0.25">
      <c r="B455" s="218"/>
      <c r="C455" s="218"/>
      <c r="D455" s="218"/>
      <c r="E455" s="218"/>
      <c r="F455" s="218"/>
      <c r="G455" s="218"/>
      <c r="H455" s="218"/>
      <c r="I455" s="218"/>
      <c r="J455" s="218"/>
      <c r="K455" s="221"/>
      <c r="L455" s="215"/>
      <c r="M455" s="215"/>
      <c r="N455" s="215"/>
      <c r="O455" s="216"/>
      <c r="P455" s="215"/>
      <c r="Q455" s="217"/>
      <c r="R455" s="215"/>
      <c r="S455" s="215"/>
      <c r="T455" s="215"/>
      <c r="U455" s="215"/>
      <c r="V455" s="217"/>
      <c r="W455" s="217"/>
      <c r="X455" s="217"/>
      <c r="Y455" s="217"/>
      <c r="Z455" s="217"/>
      <c r="AA455" s="215"/>
      <c r="AB455" s="215"/>
      <c r="AC455" s="215"/>
      <c r="AD455" s="217">
        <v>1.434064</v>
      </c>
      <c r="AE455" s="217">
        <v>2011</v>
      </c>
      <c r="AF455" s="217">
        <v>5.4748000000000001</v>
      </c>
      <c r="AG455" s="217">
        <v>-99</v>
      </c>
      <c r="AH455" s="215" t="s">
        <v>224</v>
      </c>
      <c r="AI455" s="215" t="s">
        <v>449</v>
      </c>
      <c r="AJ455" s="215" t="s">
        <v>224</v>
      </c>
      <c r="AK455" s="215" t="s">
        <v>531</v>
      </c>
      <c r="AL455" s="215" t="s">
        <v>546</v>
      </c>
      <c r="AM455" s="217" t="b">
        <v>0</v>
      </c>
      <c r="AN455" s="217" t="b">
        <v>0</v>
      </c>
      <c r="AO455" s="215" t="s">
        <v>547</v>
      </c>
      <c r="AP455" s="215" t="s">
        <v>548</v>
      </c>
      <c r="AQ455" s="217">
        <v>113.21160686946486</v>
      </c>
      <c r="AR455" s="217" t="b">
        <v>0</v>
      </c>
      <c r="AS455" s="215" t="s">
        <v>534</v>
      </c>
    </row>
    <row r="456" spans="1:45" s="219" customFormat="1" x14ac:dyDescent="0.25">
      <c r="B456" s="218"/>
      <c r="C456" s="218"/>
      <c r="D456" s="218"/>
      <c r="E456" s="218"/>
      <c r="F456" s="218"/>
      <c r="G456" s="218"/>
      <c r="H456" s="218"/>
      <c r="I456" s="218"/>
      <c r="J456" s="218"/>
      <c r="K456" s="221"/>
      <c r="L456" s="215"/>
      <c r="M456" s="215"/>
      <c r="N456" s="215"/>
      <c r="O456" s="216"/>
      <c r="P456" s="215"/>
      <c r="Q456" s="217"/>
      <c r="R456" s="215"/>
      <c r="S456" s="215"/>
      <c r="T456" s="215"/>
      <c r="U456" s="215"/>
      <c r="V456" s="217"/>
      <c r="W456" s="217"/>
      <c r="X456" s="217"/>
      <c r="Y456" s="217"/>
      <c r="Z456" s="217"/>
      <c r="AA456" s="215"/>
      <c r="AB456" s="215"/>
      <c r="AC456" s="215"/>
      <c r="AD456" s="217">
        <v>1.434064</v>
      </c>
      <c r="AE456" s="217">
        <v>2018</v>
      </c>
      <c r="AF456" s="217">
        <v>8.4376999999999995</v>
      </c>
      <c r="AG456" s="217">
        <v>-99</v>
      </c>
      <c r="AH456" s="215" t="s">
        <v>224</v>
      </c>
      <c r="AI456" s="215" t="s">
        <v>449</v>
      </c>
      <c r="AJ456" s="215" t="s">
        <v>224</v>
      </c>
      <c r="AK456" s="215" t="s">
        <v>531</v>
      </c>
      <c r="AL456" s="215" t="s">
        <v>464</v>
      </c>
      <c r="AM456" s="217" t="b">
        <v>0</v>
      </c>
      <c r="AN456" s="217" t="b">
        <v>0</v>
      </c>
      <c r="AO456" s="215" t="s">
        <v>549</v>
      </c>
      <c r="AP456" s="215" t="s">
        <v>550</v>
      </c>
      <c r="AQ456" s="217">
        <v>127.23917598649743</v>
      </c>
      <c r="AR456" s="217" t="b">
        <v>0</v>
      </c>
      <c r="AS456" s="215" t="s">
        <v>534</v>
      </c>
    </row>
    <row r="457" spans="1:45" s="219" customFormat="1" x14ac:dyDescent="0.25">
      <c r="B457" s="218"/>
      <c r="C457" s="218"/>
      <c r="D457" s="218"/>
      <c r="E457" s="218"/>
      <c r="F457" s="218"/>
      <c r="G457" s="218"/>
      <c r="H457" s="218"/>
      <c r="I457" s="218"/>
      <c r="J457" s="218"/>
      <c r="K457" s="221"/>
      <c r="L457" s="215"/>
      <c r="M457" s="215"/>
      <c r="N457" s="215"/>
      <c r="O457" s="216"/>
      <c r="P457" s="215"/>
      <c r="Q457" s="217"/>
      <c r="R457" s="215"/>
      <c r="S457" s="215"/>
      <c r="T457" s="215"/>
      <c r="U457" s="215"/>
      <c r="V457" s="217"/>
      <c r="W457" s="217"/>
      <c r="X457" s="217"/>
      <c r="Y457" s="217"/>
      <c r="Z457" s="217"/>
      <c r="AA457" s="215"/>
      <c r="AB457" s="215"/>
      <c r="AC457" s="215"/>
      <c r="AD457" s="217">
        <v>1.476477</v>
      </c>
      <c r="AE457" s="217">
        <v>122</v>
      </c>
      <c r="AF457" s="217">
        <v>5.1999999999999998E-2</v>
      </c>
      <c r="AG457" s="217">
        <v>-99</v>
      </c>
      <c r="AH457" s="215" t="s">
        <v>224</v>
      </c>
      <c r="AI457" s="215" t="s">
        <v>449</v>
      </c>
      <c r="AJ457" s="215" t="s">
        <v>301</v>
      </c>
      <c r="AK457" s="215" t="s">
        <v>531</v>
      </c>
      <c r="AL457" s="215" t="s">
        <v>384</v>
      </c>
      <c r="AM457" s="217" t="b">
        <v>1</v>
      </c>
      <c r="AN457" s="217" t="b">
        <v>0</v>
      </c>
      <c r="AO457" s="215" t="s">
        <v>302</v>
      </c>
      <c r="AP457" s="215" t="s">
        <v>303</v>
      </c>
      <c r="AQ457" s="217">
        <v>86.175359999999998</v>
      </c>
      <c r="AR457" s="217" t="b">
        <v>0</v>
      </c>
      <c r="AS457" s="215" t="s">
        <v>534</v>
      </c>
    </row>
    <row r="458" spans="1:45" s="219" customFormat="1" x14ac:dyDescent="0.25">
      <c r="B458" s="218"/>
      <c r="C458" s="218"/>
      <c r="D458" s="218"/>
      <c r="E458" s="218"/>
      <c r="F458" s="218"/>
      <c r="G458" s="218"/>
      <c r="H458" s="218"/>
      <c r="I458" s="218"/>
      <c r="J458" s="218"/>
      <c r="K458" s="221"/>
      <c r="L458" s="215"/>
      <c r="M458" s="215"/>
      <c r="N458" s="215"/>
      <c r="O458" s="216"/>
      <c r="P458" s="215"/>
      <c r="Q458" s="217"/>
      <c r="R458" s="215"/>
      <c r="S458" s="215"/>
      <c r="T458" s="215"/>
      <c r="U458" s="215"/>
      <c r="V458" s="217"/>
      <c r="W458" s="217"/>
      <c r="X458" s="217"/>
      <c r="Y458" s="217"/>
      <c r="Z458" s="217"/>
      <c r="AA458" s="215"/>
      <c r="AB458" s="215"/>
      <c r="AC458" s="215"/>
      <c r="AD458" s="217">
        <v>1.476477</v>
      </c>
      <c r="AE458" s="217">
        <v>127</v>
      </c>
      <c r="AF458" s="217">
        <v>1.6199999999999999E-2</v>
      </c>
      <c r="AG458" s="217">
        <v>-99</v>
      </c>
      <c r="AH458" s="215" t="s">
        <v>224</v>
      </c>
      <c r="AI458" s="215" t="s">
        <v>449</v>
      </c>
      <c r="AJ458" s="215" t="s">
        <v>441</v>
      </c>
      <c r="AK458" s="215" t="s">
        <v>531</v>
      </c>
      <c r="AL458" s="215" t="s">
        <v>462</v>
      </c>
      <c r="AM458" s="217" t="b">
        <v>0</v>
      </c>
      <c r="AN458" s="217" t="b">
        <v>0</v>
      </c>
      <c r="AO458" s="215" t="s">
        <v>442</v>
      </c>
      <c r="AP458" s="215" t="s">
        <v>531</v>
      </c>
      <c r="AQ458" s="217">
        <v>72.148780000000002</v>
      </c>
      <c r="AR458" s="217" t="b">
        <v>0</v>
      </c>
      <c r="AS458" s="215" t="s">
        <v>534</v>
      </c>
    </row>
    <row r="459" spans="1:45" s="219" customFormat="1" x14ac:dyDescent="0.25">
      <c r="B459" s="218"/>
      <c r="C459" s="218"/>
      <c r="D459" s="218"/>
      <c r="E459" s="218"/>
      <c r="F459" s="218"/>
      <c r="G459" s="218"/>
      <c r="H459" s="218"/>
      <c r="I459" s="218"/>
      <c r="J459" s="218"/>
      <c r="K459" s="221"/>
      <c r="L459" s="215"/>
      <c r="M459" s="215"/>
      <c r="N459" s="215"/>
      <c r="O459" s="216"/>
      <c r="P459" s="215"/>
      <c r="Q459" s="217"/>
      <c r="R459" s="215"/>
      <c r="S459" s="215"/>
      <c r="T459" s="215"/>
      <c r="U459" s="215"/>
      <c r="V459" s="217"/>
      <c r="W459" s="217"/>
      <c r="X459" s="217"/>
      <c r="Y459" s="217"/>
      <c r="Z459" s="217"/>
      <c r="AA459" s="215"/>
      <c r="AB459" s="215"/>
      <c r="AC459" s="215"/>
      <c r="AD459" s="217">
        <v>1.476477</v>
      </c>
      <c r="AE459" s="217">
        <v>136</v>
      </c>
      <c r="AF459" s="217">
        <v>1.1875</v>
      </c>
      <c r="AG459" s="217">
        <v>-99</v>
      </c>
      <c r="AH459" s="215" t="s">
        <v>224</v>
      </c>
      <c r="AI459" s="215" t="s">
        <v>449</v>
      </c>
      <c r="AJ459" s="215" t="s">
        <v>304</v>
      </c>
      <c r="AK459" s="215" t="s">
        <v>531</v>
      </c>
      <c r="AL459" s="215" t="s">
        <v>620</v>
      </c>
      <c r="AM459" s="217" t="b">
        <v>1</v>
      </c>
      <c r="AN459" s="217" t="b">
        <v>0</v>
      </c>
      <c r="AO459" s="215" t="s">
        <v>305</v>
      </c>
      <c r="AP459" s="215" t="s">
        <v>306</v>
      </c>
      <c r="AQ459" s="217">
        <v>86.175359999999998</v>
      </c>
      <c r="AR459" s="217" t="b">
        <v>0</v>
      </c>
      <c r="AS459" s="215" t="s">
        <v>534</v>
      </c>
    </row>
    <row r="460" spans="1:45" s="219" customFormat="1" x14ac:dyDescent="0.25">
      <c r="B460" s="218"/>
      <c r="C460" s="218"/>
      <c r="D460" s="218"/>
      <c r="E460" s="218"/>
      <c r="F460" s="218"/>
      <c r="G460" s="218"/>
      <c r="H460" s="218"/>
      <c r="I460" s="218"/>
      <c r="J460" s="218"/>
      <c r="K460" s="221"/>
      <c r="L460" s="215"/>
      <c r="M460" s="215"/>
      <c r="N460" s="215"/>
      <c r="O460" s="216"/>
      <c r="P460" s="215"/>
      <c r="Q460" s="217"/>
      <c r="R460" s="215"/>
      <c r="S460" s="215"/>
      <c r="T460" s="215"/>
      <c r="U460" s="215"/>
      <c r="V460" s="217"/>
      <c r="W460" s="217"/>
      <c r="X460" s="217"/>
      <c r="Y460" s="217"/>
      <c r="Z460" s="217"/>
      <c r="AA460" s="215"/>
      <c r="AB460" s="215"/>
      <c r="AC460" s="215"/>
      <c r="AD460" s="217">
        <v>1.476477</v>
      </c>
      <c r="AE460" s="217">
        <v>138</v>
      </c>
      <c r="AF460" s="217">
        <v>7.1000000000000004E-3</v>
      </c>
      <c r="AG460" s="217">
        <v>-99</v>
      </c>
      <c r="AH460" s="215" t="s">
        <v>224</v>
      </c>
      <c r="AI460" s="215" t="s">
        <v>449</v>
      </c>
      <c r="AJ460" s="215" t="s">
        <v>443</v>
      </c>
      <c r="AK460" s="215" t="s">
        <v>531</v>
      </c>
      <c r="AL460" s="215" t="s">
        <v>463</v>
      </c>
      <c r="AM460" s="217" t="b">
        <v>0</v>
      </c>
      <c r="AN460" s="217" t="b">
        <v>0</v>
      </c>
      <c r="AO460" s="215" t="s">
        <v>444</v>
      </c>
      <c r="AP460" s="215" t="s">
        <v>531</v>
      </c>
      <c r="AQ460" s="217">
        <v>114.22852</v>
      </c>
      <c r="AR460" s="217" t="b">
        <v>0</v>
      </c>
      <c r="AS460" s="215" t="s">
        <v>534</v>
      </c>
    </row>
    <row r="461" spans="1:45" s="219" customFormat="1" x14ac:dyDescent="0.25">
      <c r="B461" s="218"/>
      <c r="C461" s="218"/>
      <c r="D461" s="218"/>
      <c r="E461" s="218"/>
      <c r="F461" s="218"/>
      <c r="G461" s="218"/>
      <c r="H461" s="218"/>
      <c r="I461" s="218"/>
      <c r="J461" s="218"/>
      <c r="K461" s="221"/>
      <c r="L461" s="215"/>
      <c r="M461" s="215"/>
      <c r="N461" s="215"/>
      <c r="O461" s="216"/>
      <c r="P461" s="215"/>
      <c r="Q461" s="217"/>
      <c r="R461" s="215"/>
      <c r="S461" s="215"/>
      <c r="T461" s="215"/>
      <c r="U461" s="215"/>
      <c r="V461" s="217"/>
      <c r="W461" s="217"/>
      <c r="X461" s="217"/>
      <c r="Y461" s="217"/>
      <c r="Z461" s="217"/>
      <c r="AA461" s="215"/>
      <c r="AB461" s="215"/>
      <c r="AC461" s="215"/>
      <c r="AD461" s="217">
        <v>1.476477</v>
      </c>
      <c r="AE461" s="217">
        <v>140</v>
      </c>
      <c r="AF461" s="217">
        <v>8.43E-2</v>
      </c>
      <c r="AG461" s="217">
        <v>-99</v>
      </c>
      <c r="AH461" s="215" t="s">
        <v>224</v>
      </c>
      <c r="AI461" s="215" t="s">
        <v>449</v>
      </c>
      <c r="AJ461" s="215" t="s">
        <v>307</v>
      </c>
      <c r="AK461" s="215" t="s">
        <v>531</v>
      </c>
      <c r="AL461" s="215" t="s">
        <v>385</v>
      </c>
      <c r="AM461" s="217" t="b">
        <v>1</v>
      </c>
      <c r="AN461" s="217" t="b">
        <v>0</v>
      </c>
      <c r="AO461" s="215" t="s">
        <v>308</v>
      </c>
      <c r="AP461" s="215" t="s">
        <v>309</v>
      </c>
      <c r="AQ461" s="217">
        <v>100.20194000000001</v>
      </c>
      <c r="AR461" s="217" t="b">
        <v>0</v>
      </c>
      <c r="AS461" s="215" t="s">
        <v>534</v>
      </c>
    </row>
    <row r="462" spans="1:45" s="219" customFormat="1" x14ac:dyDescent="0.25">
      <c r="B462" s="218"/>
      <c r="C462" s="218"/>
      <c r="D462" s="218"/>
      <c r="E462" s="218"/>
      <c r="F462" s="218"/>
      <c r="G462" s="218"/>
      <c r="H462" s="218"/>
      <c r="I462" s="218"/>
      <c r="J462" s="218"/>
      <c r="K462" s="221"/>
      <c r="L462" s="215"/>
      <c r="M462" s="215"/>
      <c r="N462" s="215"/>
      <c r="O462" s="216"/>
      <c r="P462" s="215"/>
      <c r="Q462" s="217"/>
      <c r="R462" s="215"/>
      <c r="S462" s="215"/>
      <c r="T462" s="215"/>
      <c r="U462" s="215"/>
      <c r="V462" s="217"/>
      <c r="W462" s="217"/>
      <c r="X462" s="217"/>
      <c r="Y462" s="217"/>
      <c r="Z462" s="217"/>
      <c r="AA462" s="215"/>
      <c r="AB462" s="215"/>
      <c r="AC462" s="215"/>
      <c r="AD462" s="217">
        <v>1.476477</v>
      </c>
      <c r="AE462" s="217">
        <v>149</v>
      </c>
      <c r="AF462" s="217">
        <v>8.6999999999999994E-3</v>
      </c>
      <c r="AG462" s="217">
        <v>-99</v>
      </c>
      <c r="AH462" s="215" t="s">
        <v>224</v>
      </c>
      <c r="AI462" s="215" t="s">
        <v>449</v>
      </c>
      <c r="AJ462" s="215" t="s">
        <v>427</v>
      </c>
      <c r="AK462" s="215" t="s">
        <v>531</v>
      </c>
      <c r="AL462" s="215" t="s">
        <v>457</v>
      </c>
      <c r="AM462" s="217" t="b">
        <v>0</v>
      </c>
      <c r="AN462" s="217" t="b">
        <v>0</v>
      </c>
      <c r="AO462" s="215" t="s">
        <v>428</v>
      </c>
      <c r="AP462" s="215" t="s">
        <v>429</v>
      </c>
      <c r="AQ462" s="217">
        <v>114.22852</v>
      </c>
      <c r="AR462" s="217" t="b">
        <v>0</v>
      </c>
      <c r="AS462" s="215" t="s">
        <v>534</v>
      </c>
    </row>
    <row r="463" spans="1:45" s="219" customFormat="1" x14ac:dyDescent="0.25">
      <c r="B463" s="218"/>
      <c r="C463" s="218"/>
      <c r="D463" s="218"/>
      <c r="E463" s="218"/>
      <c r="F463" s="218"/>
      <c r="G463" s="218"/>
      <c r="H463" s="218"/>
      <c r="I463" s="218"/>
      <c r="J463" s="218"/>
      <c r="K463" s="221"/>
      <c r="L463" s="215"/>
      <c r="M463" s="215"/>
      <c r="N463" s="215"/>
      <c r="O463" s="216"/>
      <c r="P463" s="215"/>
      <c r="Q463" s="217"/>
      <c r="R463" s="215"/>
      <c r="S463" s="215"/>
      <c r="T463" s="215"/>
      <c r="U463" s="215"/>
      <c r="V463" s="217"/>
      <c r="W463" s="217"/>
      <c r="X463" s="217"/>
      <c r="Y463" s="217"/>
      <c r="Z463" s="217"/>
      <c r="AA463" s="215"/>
      <c r="AB463" s="215"/>
      <c r="AC463" s="215"/>
      <c r="AD463" s="217">
        <v>1.476477</v>
      </c>
      <c r="AE463" s="217">
        <v>152</v>
      </c>
      <c r="AF463" s="217">
        <v>3.2500000000000001E-2</v>
      </c>
      <c r="AG463" s="217">
        <v>-99</v>
      </c>
      <c r="AH463" s="215" t="s">
        <v>224</v>
      </c>
      <c r="AI463" s="215" t="s">
        <v>449</v>
      </c>
      <c r="AJ463" s="215" t="s">
        <v>310</v>
      </c>
      <c r="AK463" s="215" t="s">
        <v>531</v>
      </c>
      <c r="AL463" s="215" t="s">
        <v>386</v>
      </c>
      <c r="AM463" s="217" t="b">
        <v>1</v>
      </c>
      <c r="AN463" s="217" t="b">
        <v>0</v>
      </c>
      <c r="AO463" s="215" t="s">
        <v>311</v>
      </c>
      <c r="AP463" s="215" t="s">
        <v>312</v>
      </c>
      <c r="AQ463" s="217">
        <v>100.20194000000001</v>
      </c>
      <c r="AR463" s="217" t="b">
        <v>0</v>
      </c>
      <c r="AS463" s="215" t="s">
        <v>534</v>
      </c>
    </row>
    <row r="464" spans="1:45" s="219" customFormat="1" x14ac:dyDescent="0.25">
      <c r="B464" s="218"/>
      <c r="C464" s="218"/>
      <c r="D464" s="218"/>
      <c r="E464" s="218"/>
      <c r="F464" s="218"/>
      <c r="G464" s="218"/>
      <c r="H464" s="218"/>
      <c r="I464" s="218"/>
      <c r="J464" s="218"/>
      <c r="K464" s="221"/>
      <c r="L464" s="215"/>
      <c r="M464" s="215"/>
      <c r="N464" s="215"/>
      <c r="O464" s="216"/>
      <c r="P464" s="215"/>
      <c r="Q464" s="217"/>
      <c r="R464" s="215"/>
      <c r="S464" s="215"/>
      <c r="T464" s="215"/>
      <c r="U464" s="215"/>
      <c r="V464" s="217"/>
      <c r="W464" s="217"/>
      <c r="X464" s="217"/>
      <c r="Y464" s="217"/>
      <c r="Z464" s="217"/>
      <c r="AA464" s="215"/>
      <c r="AB464" s="215"/>
      <c r="AC464" s="215"/>
      <c r="AD464" s="217">
        <v>1.476477</v>
      </c>
      <c r="AE464" s="217">
        <v>194</v>
      </c>
      <c r="AF464" s="217">
        <v>0.15989999999999999</v>
      </c>
      <c r="AG464" s="217">
        <v>-99</v>
      </c>
      <c r="AH464" s="215" t="s">
        <v>224</v>
      </c>
      <c r="AI464" s="215" t="s">
        <v>449</v>
      </c>
      <c r="AJ464" s="215" t="s">
        <v>316</v>
      </c>
      <c r="AK464" s="215" t="s">
        <v>531</v>
      </c>
      <c r="AL464" s="215" t="s">
        <v>388</v>
      </c>
      <c r="AM464" s="217" t="b">
        <v>1</v>
      </c>
      <c r="AN464" s="217" t="b">
        <v>0</v>
      </c>
      <c r="AO464" s="215" t="s">
        <v>317</v>
      </c>
      <c r="AP464" s="215" t="s">
        <v>318</v>
      </c>
      <c r="AQ464" s="217">
        <v>100.20194000000001</v>
      </c>
      <c r="AR464" s="217" t="b">
        <v>0</v>
      </c>
      <c r="AS464" s="215" t="s">
        <v>534</v>
      </c>
    </row>
    <row r="465" spans="2:45" s="219" customFormat="1" x14ac:dyDescent="0.25">
      <c r="B465" s="218"/>
      <c r="C465" s="218"/>
      <c r="D465" s="218"/>
      <c r="E465" s="218"/>
      <c r="F465" s="218"/>
      <c r="G465" s="218"/>
      <c r="H465" s="218"/>
      <c r="I465" s="218"/>
      <c r="J465" s="218"/>
      <c r="K465" s="221"/>
      <c r="L465" s="215"/>
      <c r="M465" s="215"/>
      <c r="N465" s="215"/>
      <c r="O465" s="216"/>
      <c r="P465" s="215"/>
      <c r="Q465" s="217"/>
      <c r="R465" s="215"/>
      <c r="S465" s="215"/>
      <c r="T465" s="215"/>
      <c r="U465" s="215"/>
      <c r="V465" s="217"/>
      <c r="W465" s="217"/>
      <c r="X465" s="217"/>
      <c r="Y465" s="217"/>
      <c r="Z465" s="217"/>
      <c r="AA465" s="215"/>
      <c r="AB465" s="215"/>
      <c r="AC465" s="215"/>
      <c r="AD465" s="217">
        <v>1.476477</v>
      </c>
      <c r="AE465" s="217">
        <v>199</v>
      </c>
      <c r="AF465" s="217">
        <v>7.1000000000000004E-3</v>
      </c>
      <c r="AG465" s="217">
        <v>-99</v>
      </c>
      <c r="AH465" s="215" t="s">
        <v>224</v>
      </c>
      <c r="AI465" s="215" t="s">
        <v>449</v>
      </c>
      <c r="AJ465" s="215" t="s">
        <v>319</v>
      </c>
      <c r="AK465" s="215" t="s">
        <v>531</v>
      </c>
      <c r="AL465" s="215" t="s">
        <v>389</v>
      </c>
      <c r="AM465" s="217" t="b">
        <v>1</v>
      </c>
      <c r="AN465" s="217" t="b">
        <v>0</v>
      </c>
      <c r="AO465" s="215" t="s">
        <v>320</v>
      </c>
      <c r="AP465" s="215" t="s">
        <v>321</v>
      </c>
      <c r="AQ465" s="217">
        <v>86.175359999999998</v>
      </c>
      <c r="AR465" s="217" t="b">
        <v>0</v>
      </c>
      <c r="AS465" s="215" t="s">
        <v>534</v>
      </c>
    </row>
    <row r="466" spans="2:45" s="219" customFormat="1" x14ac:dyDescent="0.25">
      <c r="B466" s="218"/>
      <c r="C466" s="218"/>
      <c r="D466" s="218"/>
      <c r="E466" s="218"/>
      <c r="F466" s="218"/>
      <c r="G466" s="218"/>
      <c r="H466" s="218"/>
      <c r="I466" s="218"/>
      <c r="J466" s="218"/>
      <c r="K466" s="221"/>
      <c r="L466" s="215"/>
      <c r="M466" s="215"/>
      <c r="N466" s="215"/>
      <c r="O466" s="216"/>
      <c r="P466" s="215"/>
      <c r="Q466" s="217"/>
      <c r="R466" s="215"/>
      <c r="S466" s="215"/>
      <c r="T466" s="215"/>
      <c r="U466" s="215"/>
      <c r="V466" s="217"/>
      <c r="W466" s="217"/>
      <c r="X466" s="217"/>
      <c r="Y466" s="217"/>
      <c r="Z466" s="217"/>
      <c r="AA466" s="215"/>
      <c r="AB466" s="215"/>
      <c r="AC466" s="215"/>
      <c r="AD466" s="217">
        <v>1.476477</v>
      </c>
      <c r="AE466" s="217">
        <v>245</v>
      </c>
      <c r="AF466" s="217">
        <v>0.23710000000000001</v>
      </c>
      <c r="AG466" s="217">
        <v>-99</v>
      </c>
      <c r="AH466" s="215" t="s">
        <v>224</v>
      </c>
      <c r="AI466" s="215" t="s">
        <v>449</v>
      </c>
      <c r="AJ466" s="215" t="s">
        <v>325</v>
      </c>
      <c r="AK466" s="215" t="s">
        <v>531</v>
      </c>
      <c r="AL466" s="215" t="s">
        <v>390</v>
      </c>
      <c r="AM466" s="217" t="b">
        <v>1</v>
      </c>
      <c r="AN466" s="217" t="b">
        <v>0</v>
      </c>
      <c r="AO466" s="215" t="s">
        <v>326</v>
      </c>
      <c r="AP466" s="215" t="s">
        <v>327</v>
      </c>
      <c r="AQ466" s="217">
        <v>100.20194000000001</v>
      </c>
      <c r="AR466" s="217" t="b">
        <v>0</v>
      </c>
      <c r="AS466" s="215" t="s">
        <v>534</v>
      </c>
    </row>
    <row r="467" spans="2:45" s="219" customFormat="1" x14ac:dyDescent="0.25">
      <c r="B467" s="218"/>
      <c r="C467" s="218"/>
      <c r="D467" s="218"/>
      <c r="E467" s="218"/>
      <c r="F467" s="218"/>
      <c r="G467" s="218"/>
      <c r="H467" s="218"/>
      <c r="I467" s="218"/>
      <c r="J467" s="218"/>
      <c r="K467" s="221"/>
      <c r="L467" s="215"/>
      <c r="M467" s="215"/>
      <c r="N467" s="215"/>
      <c r="O467" s="216"/>
      <c r="P467" s="215"/>
      <c r="Q467" s="217"/>
      <c r="R467" s="215"/>
      <c r="S467" s="215"/>
      <c r="T467" s="215"/>
      <c r="U467" s="215"/>
      <c r="V467" s="217"/>
      <c r="W467" s="217"/>
      <c r="X467" s="217"/>
      <c r="Y467" s="217"/>
      <c r="Z467" s="217"/>
      <c r="AA467" s="215"/>
      <c r="AB467" s="215"/>
      <c r="AC467" s="215"/>
      <c r="AD467" s="217">
        <v>1.476477</v>
      </c>
      <c r="AE467" s="217">
        <v>248</v>
      </c>
      <c r="AF467" s="217">
        <v>0.8659</v>
      </c>
      <c r="AG467" s="217">
        <v>-99</v>
      </c>
      <c r="AH467" s="215" t="s">
        <v>224</v>
      </c>
      <c r="AI467" s="215" t="s">
        <v>449</v>
      </c>
      <c r="AJ467" s="215" t="s">
        <v>328</v>
      </c>
      <c r="AK467" s="215" t="s">
        <v>531</v>
      </c>
      <c r="AL467" s="215" t="s">
        <v>391</v>
      </c>
      <c r="AM467" s="217" t="b">
        <v>1</v>
      </c>
      <c r="AN467" s="217" t="b">
        <v>0</v>
      </c>
      <c r="AO467" s="215" t="s">
        <v>329</v>
      </c>
      <c r="AP467" s="215" t="s">
        <v>330</v>
      </c>
      <c r="AQ467" s="217">
        <v>86.175359999999998</v>
      </c>
      <c r="AR467" s="217" t="b">
        <v>0</v>
      </c>
      <c r="AS467" s="215" t="s">
        <v>534</v>
      </c>
    </row>
    <row r="468" spans="2:45" s="219" customFormat="1" x14ac:dyDescent="0.25">
      <c r="B468" s="218"/>
      <c r="C468" s="218"/>
      <c r="D468" s="218"/>
      <c r="E468" s="218"/>
      <c r="F468" s="218"/>
      <c r="G468" s="218"/>
      <c r="H468" s="218"/>
      <c r="I468" s="218"/>
      <c r="J468" s="218"/>
      <c r="K468" s="221"/>
      <c r="L468" s="215"/>
      <c r="M468" s="215"/>
      <c r="N468" s="215"/>
      <c r="O468" s="216"/>
      <c r="P468" s="215"/>
      <c r="Q468" s="217"/>
      <c r="R468" s="215"/>
      <c r="S468" s="215"/>
      <c r="T468" s="215"/>
      <c r="U468" s="215"/>
      <c r="V468" s="217"/>
      <c r="W468" s="217"/>
      <c r="X468" s="217"/>
      <c r="Y468" s="217"/>
      <c r="Z468" s="217"/>
      <c r="AA468" s="215"/>
      <c r="AB468" s="215"/>
      <c r="AC468" s="215"/>
      <c r="AD468" s="217">
        <v>1.476477</v>
      </c>
      <c r="AE468" s="217">
        <v>302</v>
      </c>
      <c r="AF468" s="217">
        <v>0.31280000000000002</v>
      </c>
      <c r="AG468" s="217">
        <v>-99</v>
      </c>
      <c r="AH468" s="215" t="s">
        <v>224</v>
      </c>
      <c r="AI468" s="215" t="s">
        <v>449</v>
      </c>
      <c r="AJ468" s="215" t="s">
        <v>262</v>
      </c>
      <c r="AK468" s="215" t="s">
        <v>531</v>
      </c>
      <c r="AL468" s="215" t="s">
        <v>373</v>
      </c>
      <c r="AM468" s="217" t="b">
        <v>1</v>
      </c>
      <c r="AN468" s="217" t="b">
        <v>1</v>
      </c>
      <c r="AO468" s="215" t="s">
        <v>263</v>
      </c>
      <c r="AP468" s="215" t="s">
        <v>264</v>
      </c>
      <c r="AQ468" s="217">
        <v>78.111840000000001</v>
      </c>
      <c r="AR468" s="217" t="b">
        <v>0</v>
      </c>
      <c r="AS468" s="215" t="s">
        <v>534</v>
      </c>
    </row>
    <row r="469" spans="2:45" s="219" customFormat="1" x14ac:dyDescent="0.25">
      <c r="B469" s="218"/>
      <c r="C469" s="218"/>
      <c r="D469" s="218"/>
      <c r="E469" s="218"/>
      <c r="F469" s="218"/>
      <c r="G469" s="218"/>
      <c r="H469" s="218"/>
      <c r="I469" s="218"/>
      <c r="J469" s="218"/>
      <c r="K469" s="221"/>
      <c r="L469" s="215"/>
      <c r="M469" s="215"/>
      <c r="N469" s="215"/>
      <c r="O469" s="216"/>
      <c r="P469" s="215"/>
      <c r="Q469" s="217"/>
      <c r="R469" s="215"/>
      <c r="S469" s="215"/>
      <c r="T469" s="215"/>
      <c r="U469" s="215"/>
      <c r="V469" s="217"/>
      <c r="W469" s="217"/>
      <c r="X469" s="217"/>
      <c r="Y469" s="217"/>
      <c r="Z469" s="217"/>
      <c r="AA469" s="215"/>
      <c r="AB469" s="215"/>
      <c r="AC469" s="215"/>
      <c r="AD469" s="217">
        <v>1.476477</v>
      </c>
      <c r="AE469" s="217">
        <v>438</v>
      </c>
      <c r="AF469" s="217">
        <v>7.5007999999999999</v>
      </c>
      <c r="AG469" s="217">
        <v>-99</v>
      </c>
      <c r="AH469" s="215" t="s">
        <v>224</v>
      </c>
      <c r="AI469" s="215" t="s">
        <v>449</v>
      </c>
      <c r="AJ469" s="215" t="s">
        <v>265</v>
      </c>
      <c r="AK469" s="215" t="s">
        <v>531</v>
      </c>
      <c r="AL469" s="215" t="s">
        <v>374</v>
      </c>
      <c r="AM469" s="217" t="b">
        <v>1</v>
      </c>
      <c r="AN469" s="217" t="b">
        <v>0</v>
      </c>
      <c r="AO469" s="215" t="s">
        <v>266</v>
      </c>
      <c r="AP469" s="215" t="s">
        <v>267</v>
      </c>
      <c r="AQ469" s="217">
        <v>30.069040000000005</v>
      </c>
      <c r="AR469" s="217" t="b">
        <v>1</v>
      </c>
      <c r="AS469" s="215" t="s">
        <v>534</v>
      </c>
    </row>
    <row r="470" spans="2:45" s="219" customFormat="1" x14ac:dyDescent="0.25">
      <c r="J470" s="223"/>
      <c r="K470" s="222"/>
      <c r="L470" s="215"/>
      <c r="M470" s="215"/>
      <c r="N470" s="215"/>
      <c r="O470" s="216"/>
      <c r="P470" s="215"/>
      <c r="Q470" s="217"/>
      <c r="R470" s="215"/>
      <c r="S470" s="215"/>
      <c r="T470" s="215"/>
      <c r="U470" s="215"/>
      <c r="V470" s="217"/>
      <c r="W470" s="217"/>
      <c r="X470" s="217"/>
      <c r="Y470" s="217"/>
      <c r="Z470" s="217"/>
      <c r="AA470" s="215"/>
      <c r="AB470" s="215"/>
      <c r="AC470" s="215"/>
      <c r="AD470" s="217">
        <v>1.476477</v>
      </c>
      <c r="AE470" s="217">
        <v>449</v>
      </c>
      <c r="AF470" s="217">
        <v>9.7600000000000006E-2</v>
      </c>
      <c r="AG470" s="217">
        <v>-99</v>
      </c>
      <c r="AH470" s="215" t="s">
        <v>224</v>
      </c>
      <c r="AI470" s="215" t="s">
        <v>449</v>
      </c>
      <c r="AJ470" s="215" t="s">
        <v>337</v>
      </c>
      <c r="AK470" s="215" t="s">
        <v>531</v>
      </c>
      <c r="AL470" s="215" t="s">
        <v>394</v>
      </c>
      <c r="AM470" s="217" t="b">
        <v>1</v>
      </c>
      <c r="AN470" s="217" t="b">
        <v>1</v>
      </c>
      <c r="AO470" s="215" t="s">
        <v>338</v>
      </c>
      <c r="AP470" s="215" t="s">
        <v>339</v>
      </c>
      <c r="AQ470" s="217">
        <v>106.16500000000001</v>
      </c>
      <c r="AR470" s="217" t="b">
        <v>0</v>
      </c>
      <c r="AS470" s="215" t="s">
        <v>534</v>
      </c>
    </row>
    <row r="471" spans="2:45" s="219" customFormat="1" x14ac:dyDescent="0.25">
      <c r="J471" s="223"/>
      <c r="K471" s="222"/>
      <c r="L471" s="215"/>
      <c r="M471" s="215"/>
      <c r="N471" s="215"/>
      <c r="O471" s="216"/>
      <c r="P471" s="215"/>
      <c r="Q471" s="217"/>
      <c r="R471" s="215"/>
      <c r="S471" s="215"/>
      <c r="T471" s="215"/>
      <c r="U471" s="215"/>
      <c r="V471" s="217"/>
      <c r="W471" s="217"/>
      <c r="X471" s="217"/>
      <c r="Y471" s="217"/>
      <c r="Z471" s="217"/>
      <c r="AA471" s="215"/>
      <c r="AB471" s="215"/>
      <c r="AC471" s="215"/>
      <c r="AD471" s="217">
        <v>1.476477</v>
      </c>
      <c r="AE471" s="217">
        <v>491</v>
      </c>
      <c r="AF471" s="217">
        <v>7.6460999999999997</v>
      </c>
      <c r="AG471" s="217">
        <v>-99</v>
      </c>
      <c r="AH471" s="215" t="s">
        <v>224</v>
      </c>
      <c r="AI471" s="215" t="s">
        <v>449</v>
      </c>
      <c r="AJ471" s="215" t="s">
        <v>268</v>
      </c>
      <c r="AK471" s="215" t="s">
        <v>531</v>
      </c>
      <c r="AL471" s="215" t="s">
        <v>375</v>
      </c>
      <c r="AM471" s="217" t="b">
        <v>1</v>
      </c>
      <c r="AN471" s="217" t="b">
        <v>0</v>
      </c>
      <c r="AO471" s="215" t="s">
        <v>269</v>
      </c>
      <c r="AP471" s="215" t="s">
        <v>270</v>
      </c>
      <c r="AQ471" s="217">
        <v>58.122199999999992</v>
      </c>
      <c r="AR471" s="217" t="b">
        <v>0</v>
      </c>
      <c r="AS471" s="215" t="s">
        <v>534</v>
      </c>
    </row>
    <row r="472" spans="2:45" s="219" customFormat="1" x14ac:dyDescent="0.25">
      <c r="J472" s="223"/>
      <c r="K472" s="222"/>
      <c r="L472" s="215"/>
      <c r="M472" s="215"/>
      <c r="N472" s="215"/>
      <c r="O472" s="216"/>
      <c r="P472" s="215"/>
      <c r="Q472" s="217"/>
      <c r="R472" s="215"/>
      <c r="S472" s="215"/>
      <c r="T472" s="215"/>
      <c r="U472" s="215"/>
      <c r="V472" s="217"/>
      <c r="W472" s="217"/>
      <c r="X472" s="217"/>
      <c r="Y472" s="217"/>
      <c r="Z472" s="217"/>
      <c r="AA472" s="215"/>
      <c r="AB472" s="215"/>
      <c r="AC472" s="215"/>
      <c r="AD472" s="217">
        <v>1.476477</v>
      </c>
      <c r="AE472" s="217">
        <v>508</v>
      </c>
      <c r="AF472" s="217">
        <v>5.7925000000000004</v>
      </c>
      <c r="AG472" s="217">
        <v>-99</v>
      </c>
      <c r="AH472" s="215" t="s">
        <v>224</v>
      </c>
      <c r="AI472" s="215" t="s">
        <v>449</v>
      </c>
      <c r="AJ472" s="215" t="s">
        <v>342</v>
      </c>
      <c r="AK472" s="215" t="s">
        <v>531</v>
      </c>
      <c r="AL472" s="215" t="s">
        <v>395</v>
      </c>
      <c r="AM472" s="217" t="b">
        <v>1</v>
      </c>
      <c r="AN472" s="217" t="b">
        <v>0</v>
      </c>
      <c r="AO472" s="215" t="s">
        <v>343</v>
      </c>
      <c r="AP472" s="215" t="s">
        <v>344</v>
      </c>
      <c r="AQ472" s="217">
        <v>72.148780000000002</v>
      </c>
      <c r="AR472" s="217" t="b">
        <v>0</v>
      </c>
      <c r="AS472" s="215" t="s">
        <v>534</v>
      </c>
    </row>
    <row r="473" spans="2:45" s="219" customFormat="1" x14ac:dyDescent="0.25">
      <c r="J473" s="223"/>
      <c r="K473" s="222"/>
      <c r="L473" s="215"/>
      <c r="M473" s="215"/>
      <c r="N473" s="215"/>
      <c r="O473" s="216"/>
      <c r="P473" s="215"/>
      <c r="Q473" s="217"/>
      <c r="R473" s="215"/>
      <c r="S473" s="215"/>
      <c r="T473" s="215"/>
      <c r="U473" s="215"/>
      <c r="V473" s="217"/>
      <c r="W473" s="217"/>
      <c r="X473" s="217"/>
      <c r="Y473" s="217"/>
      <c r="Z473" s="217"/>
      <c r="AA473" s="215"/>
      <c r="AB473" s="215"/>
      <c r="AC473" s="215"/>
      <c r="AD473" s="217">
        <v>1.476477</v>
      </c>
      <c r="AE473" s="217">
        <v>529</v>
      </c>
      <c r="AF473" s="217">
        <v>24.770399999999999</v>
      </c>
      <c r="AG473" s="217">
        <v>-99</v>
      </c>
      <c r="AH473" s="215" t="s">
        <v>224</v>
      </c>
      <c r="AI473" s="215" t="s">
        <v>449</v>
      </c>
      <c r="AJ473" s="215" t="s">
        <v>271</v>
      </c>
      <c r="AK473" s="215" t="s">
        <v>531</v>
      </c>
      <c r="AL473" s="215" t="s">
        <v>376</v>
      </c>
      <c r="AM473" s="217" t="b">
        <v>0</v>
      </c>
      <c r="AN473" s="217" t="b">
        <v>0</v>
      </c>
      <c r="AO473" s="215" t="s">
        <v>272</v>
      </c>
      <c r="AP473" s="215" t="s">
        <v>531</v>
      </c>
      <c r="AQ473" s="217">
        <v>16.042459999999998</v>
      </c>
      <c r="AR473" s="217" t="b">
        <v>1</v>
      </c>
      <c r="AS473" s="215" t="s">
        <v>534</v>
      </c>
    </row>
    <row r="474" spans="2:45" s="219" customFormat="1" x14ac:dyDescent="0.25">
      <c r="J474" s="223"/>
      <c r="K474" s="222"/>
      <c r="L474" s="215"/>
      <c r="M474" s="215"/>
      <c r="N474" s="215"/>
      <c r="O474" s="216"/>
      <c r="P474" s="215"/>
      <c r="Q474" s="217"/>
      <c r="R474" s="215"/>
      <c r="S474" s="215"/>
      <c r="T474" s="215"/>
      <c r="U474" s="215"/>
      <c r="V474" s="217"/>
      <c r="W474" s="217"/>
      <c r="X474" s="217"/>
      <c r="Y474" s="217"/>
      <c r="Z474" s="217"/>
      <c r="AA474" s="215"/>
      <c r="AB474" s="215"/>
      <c r="AC474" s="215"/>
      <c r="AD474" s="217">
        <v>1.476477</v>
      </c>
      <c r="AE474" s="217">
        <v>550</v>
      </c>
      <c r="AF474" s="217">
        <v>0.22700000000000001</v>
      </c>
      <c r="AG474" s="217">
        <v>-99</v>
      </c>
      <c r="AH474" s="215" t="s">
        <v>224</v>
      </c>
      <c r="AI474" s="215" t="s">
        <v>449</v>
      </c>
      <c r="AJ474" s="215" t="s">
        <v>348</v>
      </c>
      <c r="AK474" s="215" t="s">
        <v>531</v>
      </c>
      <c r="AL474" s="215" t="s">
        <v>396</v>
      </c>
      <c r="AM474" s="217" t="b">
        <v>1</v>
      </c>
      <c r="AN474" s="217" t="b">
        <v>0</v>
      </c>
      <c r="AO474" s="215" t="s">
        <v>349</v>
      </c>
      <c r="AP474" s="215" t="s">
        <v>350</v>
      </c>
      <c r="AQ474" s="217">
        <v>98.186059999999998</v>
      </c>
      <c r="AR474" s="217" t="b">
        <v>0</v>
      </c>
      <c r="AS474" s="215" t="s">
        <v>534</v>
      </c>
    </row>
    <row r="475" spans="2:45" s="219" customFormat="1" x14ac:dyDescent="0.25">
      <c r="J475" s="223"/>
      <c r="K475" s="222"/>
      <c r="L475" s="215"/>
      <c r="M475" s="215"/>
      <c r="N475" s="215"/>
      <c r="O475" s="216"/>
      <c r="P475" s="215"/>
      <c r="Q475" s="217"/>
      <c r="R475" s="215"/>
      <c r="S475" s="215"/>
      <c r="T475" s="215"/>
      <c r="U475" s="215"/>
      <c r="V475" s="217"/>
      <c r="W475" s="217"/>
      <c r="X475" s="217"/>
      <c r="Y475" s="217"/>
      <c r="Z475" s="217"/>
      <c r="AA475" s="215"/>
      <c r="AB475" s="215"/>
      <c r="AC475" s="215"/>
      <c r="AD475" s="217">
        <v>1.476477</v>
      </c>
      <c r="AE475" s="217">
        <v>551</v>
      </c>
      <c r="AF475" s="217">
        <v>1.2884</v>
      </c>
      <c r="AG475" s="217">
        <v>-99</v>
      </c>
      <c r="AH475" s="215" t="s">
        <v>224</v>
      </c>
      <c r="AI475" s="215" t="s">
        <v>449</v>
      </c>
      <c r="AJ475" s="215" t="s">
        <v>351</v>
      </c>
      <c r="AK475" s="215" t="s">
        <v>531</v>
      </c>
      <c r="AL475" s="215" t="s">
        <v>397</v>
      </c>
      <c r="AM475" s="217" t="b">
        <v>1</v>
      </c>
      <c r="AN475" s="217" t="b">
        <v>0</v>
      </c>
      <c r="AO475" s="215" t="s">
        <v>352</v>
      </c>
      <c r="AP475" s="215" t="s">
        <v>353</v>
      </c>
      <c r="AQ475" s="217">
        <v>84.159480000000002</v>
      </c>
      <c r="AR475" s="217" t="b">
        <v>0</v>
      </c>
      <c r="AS475" s="215" t="s">
        <v>534</v>
      </c>
    </row>
    <row r="476" spans="2:45" s="219" customFormat="1" x14ac:dyDescent="0.25">
      <c r="J476" s="223"/>
      <c r="K476" s="222"/>
      <c r="L476" s="215"/>
      <c r="M476" s="215"/>
      <c r="N476" s="215"/>
      <c r="O476" s="216"/>
      <c r="P476" s="215"/>
      <c r="Q476" s="217"/>
      <c r="R476" s="215"/>
      <c r="S476" s="215"/>
      <c r="T476" s="215"/>
      <c r="U476" s="215"/>
      <c r="V476" s="217"/>
      <c r="W476" s="217"/>
      <c r="X476" s="217"/>
      <c r="Y476" s="217"/>
      <c r="Z476" s="217"/>
      <c r="AA476" s="215"/>
      <c r="AB476" s="215"/>
      <c r="AC476" s="215"/>
      <c r="AD476" s="217">
        <v>1.476477</v>
      </c>
      <c r="AE476" s="217">
        <v>592</v>
      </c>
      <c r="AF476" s="217">
        <v>16.189499999999999</v>
      </c>
      <c r="AG476" s="217">
        <v>-99</v>
      </c>
      <c r="AH476" s="215" t="s">
        <v>224</v>
      </c>
      <c r="AI476" s="215" t="s">
        <v>449</v>
      </c>
      <c r="AJ476" s="215" t="s">
        <v>273</v>
      </c>
      <c r="AK476" s="215" t="s">
        <v>531</v>
      </c>
      <c r="AL476" s="215" t="s">
        <v>377</v>
      </c>
      <c r="AM476" s="217" t="b">
        <v>1</v>
      </c>
      <c r="AN476" s="217" t="b">
        <v>0</v>
      </c>
      <c r="AO476" s="215" t="s">
        <v>274</v>
      </c>
      <c r="AP476" s="215" t="s">
        <v>275</v>
      </c>
      <c r="AQ476" s="217">
        <v>58.122199999999992</v>
      </c>
      <c r="AR476" s="217" t="b">
        <v>0</v>
      </c>
      <c r="AS476" s="215" t="s">
        <v>534</v>
      </c>
    </row>
    <row r="477" spans="2:45" s="219" customFormat="1" x14ac:dyDescent="0.25">
      <c r="J477" s="223"/>
      <c r="K477" s="222"/>
      <c r="L477" s="215"/>
      <c r="M477" s="215"/>
      <c r="N477" s="215"/>
      <c r="O477" s="216"/>
      <c r="P477" s="215"/>
      <c r="Q477" s="217"/>
      <c r="R477" s="215"/>
      <c r="S477" s="215"/>
      <c r="T477" s="215"/>
      <c r="U477" s="215"/>
      <c r="V477" s="217"/>
      <c r="W477" s="217"/>
      <c r="X477" s="217"/>
      <c r="Y477" s="217"/>
      <c r="Z477" s="217"/>
      <c r="AA477" s="215"/>
      <c r="AB477" s="215"/>
      <c r="AC477" s="215"/>
      <c r="AD477" s="217">
        <v>1.476477</v>
      </c>
      <c r="AE477" s="217">
        <v>600</v>
      </c>
      <c r="AF477" s="217">
        <v>0.2606</v>
      </c>
      <c r="AG477" s="217">
        <v>-99</v>
      </c>
      <c r="AH477" s="215" t="s">
        <v>224</v>
      </c>
      <c r="AI477" s="215" t="s">
        <v>449</v>
      </c>
      <c r="AJ477" s="215" t="s">
        <v>276</v>
      </c>
      <c r="AK477" s="215" t="s">
        <v>531</v>
      </c>
      <c r="AL477" s="215" t="s">
        <v>378</v>
      </c>
      <c r="AM477" s="217" t="b">
        <v>1</v>
      </c>
      <c r="AN477" s="217" t="b">
        <v>0</v>
      </c>
      <c r="AO477" s="215" t="s">
        <v>277</v>
      </c>
      <c r="AP477" s="215" t="s">
        <v>278</v>
      </c>
      <c r="AQ477" s="217">
        <v>100.20194000000001</v>
      </c>
      <c r="AR477" s="217" t="b">
        <v>0</v>
      </c>
      <c r="AS477" s="215" t="s">
        <v>534</v>
      </c>
    </row>
    <row r="478" spans="2:45" s="219" customFormat="1" x14ac:dyDescent="0.25">
      <c r="J478" s="223"/>
      <c r="K478" s="222"/>
      <c r="L478" s="215"/>
      <c r="M478" s="215"/>
      <c r="N478" s="215"/>
      <c r="O478" s="216"/>
      <c r="P478" s="215"/>
      <c r="Q478" s="217"/>
      <c r="R478" s="215"/>
      <c r="S478" s="215"/>
      <c r="T478" s="215"/>
      <c r="U478" s="215"/>
      <c r="V478" s="217"/>
      <c r="W478" s="217"/>
      <c r="X478" s="217"/>
      <c r="Y478" s="217"/>
      <c r="Z478" s="217"/>
      <c r="AA478" s="215"/>
      <c r="AB478" s="215"/>
      <c r="AC478" s="215"/>
      <c r="AD478" s="217">
        <v>1.476477</v>
      </c>
      <c r="AE478" s="217">
        <v>601</v>
      </c>
      <c r="AF478" s="217">
        <v>1.1171</v>
      </c>
      <c r="AG478" s="217">
        <v>-99</v>
      </c>
      <c r="AH478" s="215" t="s">
        <v>224</v>
      </c>
      <c r="AI478" s="215" t="s">
        <v>449</v>
      </c>
      <c r="AJ478" s="215" t="s">
        <v>279</v>
      </c>
      <c r="AK478" s="215" t="s">
        <v>531</v>
      </c>
      <c r="AL478" s="215" t="s">
        <v>379</v>
      </c>
      <c r="AM478" s="217" t="b">
        <v>1</v>
      </c>
      <c r="AN478" s="217" t="b">
        <v>1</v>
      </c>
      <c r="AO478" s="215" t="s">
        <v>280</v>
      </c>
      <c r="AP478" s="215" t="s">
        <v>281</v>
      </c>
      <c r="AQ478" s="217">
        <v>86.175359999999998</v>
      </c>
      <c r="AR478" s="217" t="b">
        <v>0</v>
      </c>
      <c r="AS478" s="215" t="s">
        <v>534</v>
      </c>
    </row>
    <row r="479" spans="2:45" s="219" customFormat="1" x14ac:dyDescent="0.25">
      <c r="J479" s="223"/>
      <c r="K479" s="222"/>
      <c r="L479" s="215"/>
      <c r="M479" s="215"/>
      <c r="N479" s="215"/>
      <c r="O479" s="216"/>
      <c r="P479" s="215"/>
      <c r="Q479" s="217"/>
      <c r="R479" s="215"/>
      <c r="S479" s="215"/>
      <c r="T479" s="215"/>
      <c r="U479" s="215"/>
      <c r="V479" s="217"/>
      <c r="W479" s="217"/>
      <c r="X479" s="217"/>
      <c r="Y479" s="217"/>
      <c r="Z479" s="217"/>
      <c r="AA479" s="215"/>
      <c r="AB479" s="215"/>
      <c r="AC479" s="215"/>
      <c r="AD479" s="217">
        <v>1.476477</v>
      </c>
      <c r="AE479" s="217">
        <v>603</v>
      </c>
      <c r="AF479" s="217">
        <v>3.8300000000000001E-2</v>
      </c>
      <c r="AG479" s="217">
        <v>-99</v>
      </c>
      <c r="AH479" s="215" t="s">
        <v>224</v>
      </c>
      <c r="AI479" s="215" t="s">
        <v>449</v>
      </c>
      <c r="AJ479" s="215" t="s">
        <v>417</v>
      </c>
      <c r="AK479" s="215" t="s">
        <v>531</v>
      </c>
      <c r="AL479" s="215" t="s">
        <v>453</v>
      </c>
      <c r="AM479" s="217" t="b">
        <v>1</v>
      </c>
      <c r="AN479" s="217" t="b">
        <v>0</v>
      </c>
      <c r="AO479" s="215" t="s">
        <v>418</v>
      </c>
      <c r="AP479" s="215" t="s">
        <v>419</v>
      </c>
      <c r="AQ479" s="217">
        <v>128.2551</v>
      </c>
      <c r="AR479" s="217" t="b">
        <v>0</v>
      </c>
      <c r="AS479" s="215" t="s">
        <v>534</v>
      </c>
    </row>
    <row r="480" spans="2:45" s="219" customFormat="1" x14ac:dyDescent="0.25">
      <c r="J480" s="223"/>
      <c r="K480" s="222"/>
      <c r="L480" s="215"/>
      <c r="M480" s="215"/>
      <c r="N480" s="215"/>
      <c r="O480" s="216"/>
      <c r="P480" s="215"/>
      <c r="Q480" s="217"/>
      <c r="R480" s="215"/>
      <c r="S480" s="215"/>
      <c r="T480" s="215"/>
      <c r="U480" s="215"/>
      <c r="V480" s="217"/>
      <c r="W480" s="217"/>
      <c r="X480" s="217"/>
      <c r="Y480" s="217"/>
      <c r="Z480" s="217"/>
      <c r="AA480" s="215"/>
      <c r="AB480" s="215"/>
      <c r="AC480" s="215"/>
      <c r="AD480" s="217">
        <v>1.476477</v>
      </c>
      <c r="AE480" s="217">
        <v>604</v>
      </c>
      <c r="AF480" s="217">
        <v>7.9699999999999993E-2</v>
      </c>
      <c r="AG480" s="217">
        <v>-99</v>
      </c>
      <c r="AH480" s="215" t="s">
        <v>224</v>
      </c>
      <c r="AI480" s="215" t="s">
        <v>449</v>
      </c>
      <c r="AJ480" s="215" t="s">
        <v>282</v>
      </c>
      <c r="AK480" s="215" t="s">
        <v>531</v>
      </c>
      <c r="AL480" s="215" t="s">
        <v>380</v>
      </c>
      <c r="AM480" s="217" t="b">
        <v>1</v>
      </c>
      <c r="AN480" s="217" t="b">
        <v>0</v>
      </c>
      <c r="AO480" s="215" t="s">
        <v>283</v>
      </c>
      <c r="AP480" s="215" t="s">
        <v>284</v>
      </c>
      <c r="AQ480" s="217">
        <v>114.22852</v>
      </c>
      <c r="AR480" s="217" t="b">
        <v>0</v>
      </c>
      <c r="AS480" s="215" t="s">
        <v>534</v>
      </c>
    </row>
    <row r="481" spans="10:45" s="219" customFormat="1" x14ac:dyDescent="0.25">
      <c r="J481" s="223"/>
      <c r="K481" s="222"/>
      <c r="L481" s="215"/>
      <c r="M481" s="215"/>
      <c r="N481" s="215"/>
      <c r="O481" s="216"/>
      <c r="P481" s="215"/>
      <c r="Q481" s="217"/>
      <c r="R481" s="215"/>
      <c r="S481" s="215"/>
      <c r="T481" s="215"/>
      <c r="U481" s="215"/>
      <c r="V481" s="217"/>
      <c r="W481" s="217"/>
      <c r="X481" s="217"/>
      <c r="Y481" s="217"/>
      <c r="Z481" s="217"/>
      <c r="AA481" s="215"/>
      <c r="AB481" s="215"/>
      <c r="AC481" s="215"/>
      <c r="AD481" s="217">
        <v>1.476477</v>
      </c>
      <c r="AE481" s="217">
        <v>605</v>
      </c>
      <c r="AF481" s="217">
        <v>4.6707999999999998</v>
      </c>
      <c r="AG481" s="217">
        <v>-99</v>
      </c>
      <c r="AH481" s="215" t="s">
        <v>224</v>
      </c>
      <c r="AI481" s="215" t="s">
        <v>449</v>
      </c>
      <c r="AJ481" s="215" t="s">
        <v>285</v>
      </c>
      <c r="AK481" s="215" t="s">
        <v>531</v>
      </c>
      <c r="AL481" s="215" t="s">
        <v>381</v>
      </c>
      <c r="AM481" s="217" t="b">
        <v>1</v>
      </c>
      <c r="AN481" s="217" t="b">
        <v>0</v>
      </c>
      <c r="AO481" s="215" t="s">
        <v>286</v>
      </c>
      <c r="AP481" s="215" t="s">
        <v>287</v>
      </c>
      <c r="AQ481" s="217">
        <v>72.148780000000002</v>
      </c>
      <c r="AR481" s="217" t="b">
        <v>0</v>
      </c>
      <c r="AS481" s="215" t="s">
        <v>534</v>
      </c>
    </row>
    <row r="482" spans="10:45" s="219" customFormat="1" x14ac:dyDescent="0.25">
      <c r="J482" s="223"/>
      <c r="K482" s="222"/>
      <c r="L482" s="215"/>
      <c r="M482" s="215"/>
      <c r="N482" s="215"/>
      <c r="O482" s="216"/>
      <c r="P482" s="215"/>
      <c r="Q482" s="217"/>
      <c r="R482" s="215"/>
      <c r="S482" s="215"/>
      <c r="T482" s="215"/>
      <c r="U482" s="215"/>
      <c r="V482" s="217"/>
      <c r="W482" s="217"/>
      <c r="X482" s="217"/>
      <c r="Y482" s="217"/>
      <c r="Z482" s="217"/>
      <c r="AA482" s="215"/>
      <c r="AB482" s="215"/>
      <c r="AC482" s="215"/>
      <c r="AD482" s="217">
        <v>1.476477</v>
      </c>
      <c r="AE482" s="217">
        <v>608</v>
      </c>
      <c r="AF482" s="217">
        <v>1.7399999999999999E-2</v>
      </c>
      <c r="AG482" s="217">
        <v>-99</v>
      </c>
      <c r="AH482" s="215" t="s">
        <v>224</v>
      </c>
      <c r="AI482" s="215" t="s">
        <v>449</v>
      </c>
      <c r="AJ482" s="215" t="s">
        <v>420</v>
      </c>
      <c r="AK482" s="215" t="s">
        <v>531</v>
      </c>
      <c r="AL482" s="215" t="s">
        <v>454</v>
      </c>
      <c r="AM482" s="217" t="b">
        <v>1</v>
      </c>
      <c r="AN482" s="217" t="b">
        <v>0</v>
      </c>
      <c r="AO482" s="215" t="s">
        <v>421</v>
      </c>
      <c r="AP482" s="215" t="s">
        <v>422</v>
      </c>
      <c r="AQ482" s="217">
        <v>120.19158</v>
      </c>
      <c r="AR482" s="217" t="b">
        <v>0</v>
      </c>
      <c r="AS482" s="215" t="s">
        <v>534</v>
      </c>
    </row>
    <row r="483" spans="10:45" s="219" customFormat="1" x14ac:dyDescent="0.25">
      <c r="J483" s="223"/>
      <c r="K483" s="222"/>
      <c r="L483" s="215"/>
      <c r="M483" s="215"/>
      <c r="N483" s="215"/>
      <c r="O483" s="216"/>
      <c r="P483" s="215"/>
      <c r="Q483" s="217"/>
      <c r="R483" s="215"/>
      <c r="S483" s="215"/>
      <c r="T483" s="215"/>
      <c r="U483" s="215"/>
      <c r="V483" s="217"/>
      <c r="W483" s="217"/>
      <c r="X483" s="217"/>
      <c r="Y483" s="217"/>
      <c r="Z483" s="217"/>
      <c r="AA483" s="215"/>
      <c r="AB483" s="215"/>
      <c r="AC483" s="215"/>
      <c r="AD483" s="217">
        <v>1.476477</v>
      </c>
      <c r="AE483" s="217">
        <v>620</v>
      </c>
      <c r="AF483" s="217">
        <v>4.6100000000000002E-2</v>
      </c>
      <c r="AG483" s="217">
        <v>-99</v>
      </c>
      <c r="AH483" s="215" t="s">
        <v>224</v>
      </c>
      <c r="AI483" s="215" t="s">
        <v>449</v>
      </c>
      <c r="AJ483" s="215" t="s">
        <v>354</v>
      </c>
      <c r="AK483" s="215" t="s">
        <v>531</v>
      </c>
      <c r="AL483" s="215" t="s">
        <v>398</v>
      </c>
      <c r="AM483" s="217" t="b">
        <v>1</v>
      </c>
      <c r="AN483" s="217" t="b">
        <v>1</v>
      </c>
      <c r="AO483" s="215" t="s">
        <v>355</v>
      </c>
      <c r="AP483" s="215" t="s">
        <v>356</v>
      </c>
      <c r="AQ483" s="217">
        <v>106.16500000000001</v>
      </c>
      <c r="AR483" s="217" t="b">
        <v>0</v>
      </c>
      <c r="AS483" s="215" t="s">
        <v>534</v>
      </c>
    </row>
    <row r="484" spans="10:45" s="219" customFormat="1" x14ac:dyDescent="0.25">
      <c r="J484" s="223"/>
      <c r="K484" s="222"/>
      <c r="L484" s="215"/>
      <c r="M484" s="215"/>
      <c r="N484" s="215"/>
      <c r="O484" s="216"/>
      <c r="P484" s="215"/>
      <c r="Q484" s="217"/>
      <c r="R484" s="215"/>
      <c r="S484" s="215"/>
      <c r="T484" s="215"/>
      <c r="U484" s="215"/>
      <c r="V484" s="217"/>
      <c r="W484" s="217"/>
      <c r="X484" s="217"/>
      <c r="Y484" s="217"/>
      <c r="Z484" s="217"/>
      <c r="AA484" s="215"/>
      <c r="AB484" s="215"/>
      <c r="AC484" s="215"/>
      <c r="AD484" s="217">
        <v>1.476477</v>
      </c>
      <c r="AE484" s="217">
        <v>648</v>
      </c>
      <c r="AF484" s="217">
        <v>7.8700000000000006E-2</v>
      </c>
      <c r="AG484" s="217">
        <v>-99</v>
      </c>
      <c r="AH484" s="215" t="s">
        <v>224</v>
      </c>
      <c r="AI484" s="215" t="s">
        <v>449</v>
      </c>
      <c r="AJ484" s="215" t="s">
        <v>433</v>
      </c>
      <c r="AK484" s="215" t="s">
        <v>531</v>
      </c>
      <c r="AL484" s="215" t="s">
        <v>459</v>
      </c>
      <c r="AM484" s="217" t="b">
        <v>0</v>
      </c>
      <c r="AN484" s="217" t="b">
        <v>1</v>
      </c>
      <c r="AO484" s="215" t="s">
        <v>434</v>
      </c>
      <c r="AP484" s="215" t="s">
        <v>435</v>
      </c>
      <c r="AQ484" s="217">
        <v>106.16500000000001</v>
      </c>
      <c r="AR484" s="217" t="b">
        <v>0</v>
      </c>
      <c r="AS484" s="215" t="s">
        <v>534</v>
      </c>
    </row>
    <row r="485" spans="10:45" s="219" customFormat="1" x14ac:dyDescent="0.25">
      <c r="J485" s="223"/>
      <c r="K485" s="222"/>
      <c r="L485" s="215"/>
      <c r="M485" s="215"/>
      <c r="N485" s="215"/>
      <c r="O485" s="216"/>
      <c r="P485" s="215"/>
      <c r="Q485" s="217"/>
      <c r="R485" s="215"/>
      <c r="S485" s="215"/>
      <c r="T485" s="215"/>
      <c r="U485" s="215"/>
      <c r="V485" s="217"/>
      <c r="W485" s="217"/>
      <c r="X485" s="217"/>
      <c r="Y485" s="217"/>
      <c r="Z485" s="217"/>
      <c r="AA485" s="215"/>
      <c r="AB485" s="215"/>
      <c r="AC485" s="215"/>
      <c r="AD485" s="217">
        <v>1.476477</v>
      </c>
      <c r="AE485" s="217">
        <v>671</v>
      </c>
      <c r="AF485" s="217">
        <v>23.1831</v>
      </c>
      <c r="AG485" s="217">
        <v>-99</v>
      </c>
      <c r="AH485" s="215" t="s">
        <v>224</v>
      </c>
      <c r="AI485" s="215" t="s">
        <v>449</v>
      </c>
      <c r="AJ485" s="215" t="s">
        <v>288</v>
      </c>
      <c r="AK485" s="215" t="s">
        <v>531</v>
      </c>
      <c r="AL485" s="215" t="s">
        <v>382</v>
      </c>
      <c r="AM485" s="217" t="b">
        <v>1</v>
      </c>
      <c r="AN485" s="217" t="b">
        <v>0</v>
      </c>
      <c r="AO485" s="215" t="s">
        <v>289</v>
      </c>
      <c r="AP485" s="215" t="s">
        <v>290</v>
      </c>
      <c r="AQ485" s="217">
        <v>44.095619999999997</v>
      </c>
      <c r="AR485" s="217" t="b">
        <v>0</v>
      </c>
      <c r="AS485" s="215" t="s">
        <v>534</v>
      </c>
    </row>
    <row r="486" spans="10:45" s="219" customFormat="1" x14ac:dyDescent="0.25">
      <c r="J486" s="223"/>
      <c r="K486" s="222"/>
      <c r="L486" s="215"/>
      <c r="M486" s="215"/>
      <c r="N486" s="215"/>
      <c r="O486" s="216"/>
      <c r="P486" s="215"/>
      <c r="Q486" s="217"/>
      <c r="R486" s="215"/>
      <c r="S486" s="215"/>
      <c r="T486" s="215"/>
      <c r="U486" s="215"/>
      <c r="V486" s="217"/>
      <c r="W486" s="217"/>
      <c r="X486" s="217"/>
      <c r="Y486" s="217"/>
      <c r="Z486" s="217"/>
      <c r="AA486" s="215"/>
      <c r="AB486" s="215"/>
      <c r="AC486" s="215"/>
      <c r="AD486" s="217">
        <v>1.476477</v>
      </c>
      <c r="AE486" s="217">
        <v>717</v>
      </c>
      <c r="AF486" s="217">
        <v>0.2009</v>
      </c>
      <c r="AG486" s="217">
        <v>-99</v>
      </c>
      <c r="AH486" s="215" t="s">
        <v>224</v>
      </c>
      <c r="AI486" s="215" t="s">
        <v>449</v>
      </c>
      <c r="AJ486" s="215" t="s">
        <v>294</v>
      </c>
      <c r="AK486" s="215" t="s">
        <v>531</v>
      </c>
      <c r="AL486" s="215" t="s">
        <v>383</v>
      </c>
      <c r="AM486" s="217" t="b">
        <v>1</v>
      </c>
      <c r="AN486" s="217" t="b">
        <v>1</v>
      </c>
      <c r="AO486" s="215" t="s">
        <v>295</v>
      </c>
      <c r="AP486" s="215" t="s">
        <v>296</v>
      </c>
      <c r="AQ486" s="217">
        <v>92.138419999999996</v>
      </c>
      <c r="AR486" s="217" t="b">
        <v>0</v>
      </c>
      <c r="AS486" s="215" t="s">
        <v>534</v>
      </c>
    </row>
    <row r="487" spans="10:45" s="219" customFormat="1" x14ac:dyDescent="0.25">
      <c r="J487" s="223"/>
      <c r="K487" s="222"/>
      <c r="L487" s="215"/>
      <c r="M487" s="215"/>
      <c r="N487" s="215"/>
      <c r="O487" s="216"/>
      <c r="P487" s="215"/>
      <c r="Q487" s="217"/>
      <c r="R487" s="215"/>
      <c r="S487" s="215"/>
      <c r="T487" s="215"/>
      <c r="U487" s="215"/>
      <c r="V487" s="217"/>
      <c r="W487" s="217"/>
      <c r="X487" s="217"/>
      <c r="Y487" s="217"/>
      <c r="Z487" s="217"/>
      <c r="AA487" s="215"/>
      <c r="AB487" s="215"/>
      <c r="AC487" s="215"/>
      <c r="AD487" s="217">
        <v>1.476477</v>
      </c>
      <c r="AE487" s="217">
        <v>1924</v>
      </c>
      <c r="AF487" s="217">
        <v>5.6800000000000003E-2</v>
      </c>
      <c r="AG487" s="217">
        <v>-99</v>
      </c>
      <c r="AH487" s="215" t="s">
        <v>224</v>
      </c>
      <c r="AI487" s="215" t="s">
        <v>449</v>
      </c>
      <c r="AJ487" s="215" t="s">
        <v>224</v>
      </c>
      <c r="AK487" s="215" t="s">
        <v>531</v>
      </c>
      <c r="AL487" s="215" t="s">
        <v>466</v>
      </c>
      <c r="AM487" s="217" t="b">
        <v>0</v>
      </c>
      <c r="AN487" s="217" t="b">
        <v>0</v>
      </c>
      <c r="AO487" s="215" t="s">
        <v>535</v>
      </c>
      <c r="AP487" s="215" t="s">
        <v>536</v>
      </c>
      <c r="AQ487" s="217">
        <v>142.28167999999999</v>
      </c>
      <c r="AR487" s="217" t="b">
        <v>0</v>
      </c>
      <c r="AS487" s="215" t="s">
        <v>534</v>
      </c>
    </row>
    <row r="488" spans="10:45" s="219" customFormat="1" x14ac:dyDescent="0.25">
      <c r="J488" s="223"/>
      <c r="K488" s="222"/>
      <c r="L488" s="215"/>
      <c r="M488" s="215"/>
      <c r="N488" s="215"/>
      <c r="O488" s="216"/>
      <c r="P488" s="215"/>
      <c r="Q488" s="217"/>
      <c r="R488" s="215"/>
      <c r="S488" s="215"/>
      <c r="T488" s="215"/>
      <c r="U488" s="215"/>
      <c r="V488" s="217"/>
      <c r="W488" s="217"/>
      <c r="X488" s="217"/>
      <c r="Y488" s="217"/>
      <c r="Z488" s="217"/>
      <c r="AA488" s="215"/>
      <c r="AB488" s="215"/>
      <c r="AC488" s="215"/>
      <c r="AD488" s="217">
        <v>1.476477</v>
      </c>
      <c r="AE488" s="217">
        <v>1976</v>
      </c>
      <c r="AF488" s="217">
        <v>2.46E-2</v>
      </c>
      <c r="AG488" s="217">
        <v>-99</v>
      </c>
      <c r="AH488" s="215" t="s">
        <v>224</v>
      </c>
      <c r="AI488" s="215" t="s">
        <v>449</v>
      </c>
      <c r="AJ488" s="215" t="s">
        <v>224</v>
      </c>
      <c r="AK488" s="215" t="s">
        <v>531</v>
      </c>
      <c r="AL488" s="215" t="s">
        <v>465</v>
      </c>
      <c r="AM488" s="217" t="b">
        <v>0</v>
      </c>
      <c r="AN488" s="217" t="b">
        <v>0</v>
      </c>
      <c r="AO488" s="215" t="s">
        <v>551</v>
      </c>
      <c r="AP488" s="215" t="s">
        <v>552</v>
      </c>
      <c r="AQ488" s="217">
        <v>56.106319999999997</v>
      </c>
      <c r="AR488" s="217" t="b">
        <v>0</v>
      </c>
      <c r="AS488" s="215" t="s">
        <v>534</v>
      </c>
    </row>
    <row r="489" spans="10:45" s="219" customFormat="1" x14ac:dyDescent="0.25">
      <c r="J489" s="223"/>
      <c r="K489" s="222"/>
      <c r="L489" s="215"/>
      <c r="M489" s="215"/>
      <c r="N489" s="215"/>
      <c r="O489" s="216"/>
      <c r="P489" s="215"/>
      <c r="Q489" s="217"/>
      <c r="R489" s="215"/>
      <c r="S489" s="215"/>
      <c r="T489" s="215"/>
      <c r="U489" s="215"/>
      <c r="V489" s="217"/>
      <c r="W489" s="217"/>
      <c r="X489" s="217"/>
      <c r="Y489" s="217"/>
      <c r="Z489" s="217"/>
      <c r="AA489" s="215"/>
      <c r="AB489" s="215"/>
      <c r="AC489" s="215"/>
      <c r="AD489" s="217">
        <v>1.476477</v>
      </c>
      <c r="AE489" s="217">
        <v>1986</v>
      </c>
      <c r="AF489" s="217">
        <v>1.44</v>
      </c>
      <c r="AG489" s="217">
        <v>-99</v>
      </c>
      <c r="AH489" s="215" t="s">
        <v>224</v>
      </c>
      <c r="AI489" s="215" t="s">
        <v>449</v>
      </c>
      <c r="AJ489" s="215" t="s">
        <v>224</v>
      </c>
      <c r="AK489" s="215" t="s">
        <v>531</v>
      </c>
      <c r="AL489" s="215" t="s">
        <v>537</v>
      </c>
      <c r="AM489" s="217" t="b">
        <v>0</v>
      </c>
      <c r="AN489" s="217" t="b">
        <v>0</v>
      </c>
      <c r="AO489" s="215" t="s">
        <v>538</v>
      </c>
      <c r="AP489" s="215" t="s">
        <v>539</v>
      </c>
      <c r="AQ489" s="217">
        <v>72.148780000000002</v>
      </c>
      <c r="AR489" s="217" t="b">
        <v>0</v>
      </c>
      <c r="AS489" s="215" t="s">
        <v>534</v>
      </c>
    </row>
    <row r="490" spans="10:45" s="219" customFormat="1" x14ac:dyDescent="0.25">
      <c r="J490" s="223"/>
      <c r="K490" s="222"/>
      <c r="L490" s="215"/>
      <c r="M490" s="215"/>
      <c r="N490" s="215"/>
      <c r="O490" s="216"/>
      <c r="P490" s="215"/>
      <c r="Q490" s="217"/>
      <c r="R490" s="215"/>
      <c r="S490" s="215"/>
      <c r="T490" s="215"/>
      <c r="U490" s="215"/>
      <c r="V490" s="217"/>
      <c r="W490" s="217"/>
      <c r="X490" s="217"/>
      <c r="Y490" s="217"/>
      <c r="Z490" s="217"/>
      <c r="AA490" s="215"/>
      <c r="AB490" s="215"/>
      <c r="AC490" s="215"/>
      <c r="AD490" s="217">
        <v>1.476477</v>
      </c>
      <c r="AE490" s="217">
        <v>1999</v>
      </c>
      <c r="AF490" s="217">
        <v>1.2185999999999999</v>
      </c>
      <c r="AG490" s="217">
        <v>-99</v>
      </c>
      <c r="AH490" s="215" t="s">
        <v>224</v>
      </c>
      <c r="AI490" s="215" t="s">
        <v>449</v>
      </c>
      <c r="AJ490" s="215" t="s">
        <v>224</v>
      </c>
      <c r="AK490" s="215" t="s">
        <v>531</v>
      </c>
      <c r="AL490" s="215" t="s">
        <v>540</v>
      </c>
      <c r="AM490" s="217" t="b">
        <v>0</v>
      </c>
      <c r="AN490" s="217" t="b">
        <v>0</v>
      </c>
      <c r="AO490" s="215" t="s">
        <v>541</v>
      </c>
      <c r="AP490" s="215" t="s">
        <v>542</v>
      </c>
      <c r="AQ490" s="217">
        <v>86.175359999999998</v>
      </c>
      <c r="AR490" s="217" t="b">
        <v>0</v>
      </c>
      <c r="AS490" s="215" t="s">
        <v>534</v>
      </c>
    </row>
    <row r="491" spans="10:45" s="219" customFormat="1" x14ac:dyDescent="0.25">
      <c r="J491" s="223"/>
      <c r="K491" s="222"/>
      <c r="L491" s="215"/>
      <c r="M491" s="215"/>
      <c r="N491" s="215"/>
      <c r="O491" s="216"/>
      <c r="P491" s="215"/>
      <c r="Q491" s="217"/>
      <c r="R491" s="215"/>
      <c r="S491" s="215"/>
      <c r="T491" s="215"/>
      <c r="U491" s="215"/>
      <c r="V491" s="217"/>
      <c r="W491" s="217"/>
      <c r="X491" s="217"/>
      <c r="Y491" s="217"/>
      <c r="Z491" s="217"/>
      <c r="AA491" s="215"/>
      <c r="AB491" s="215"/>
      <c r="AC491" s="215"/>
      <c r="AD491" s="217">
        <v>1.476477</v>
      </c>
      <c r="AE491" s="217">
        <v>2005</v>
      </c>
      <c r="AF491" s="217">
        <v>0.56689999999999996</v>
      </c>
      <c r="AG491" s="217">
        <v>-99</v>
      </c>
      <c r="AH491" s="215" t="s">
        <v>224</v>
      </c>
      <c r="AI491" s="215" t="s">
        <v>449</v>
      </c>
      <c r="AJ491" s="215" t="s">
        <v>224</v>
      </c>
      <c r="AK491" s="215" t="s">
        <v>531</v>
      </c>
      <c r="AL491" s="215" t="s">
        <v>543</v>
      </c>
      <c r="AM491" s="217" t="b">
        <v>0</v>
      </c>
      <c r="AN491" s="217" t="b">
        <v>0</v>
      </c>
      <c r="AO491" s="215" t="s">
        <v>544</v>
      </c>
      <c r="AP491" s="215" t="s">
        <v>545</v>
      </c>
      <c r="AQ491" s="217">
        <v>100.20194000000001</v>
      </c>
      <c r="AR491" s="217" t="b">
        <v>0</v>
      </c>
      <c r="AS491" s="215" t="s">
        <v>534</v>
      </c>
    </row>
    <row r="492" spans="10:45" s="219" customFormat="1" x14ac:dyDescent="0.25">
      <c r="J492" s="223"/>
      <c r="K492" s="222"/>
      <c r="L492" s="215"/>
      <c r="M492" s="215"/>
      <c r="N492" s="215"/>
      <c r="O492" s="216"/>
      <c r="P492" s="215"/>
      <c r="Q492" s="217"/>
      <c r="R492" s="215"/>
      <c r="S492" s="215"/>
      <c r="T492" s="215"/>
      <c r="U492" s="215"/>
      <c r="V492" s="217"/>
      <c r="W492" s="217"/>
      <c r="X492" s="217"/>
      <c r="Y492" s="217"/>
      <c r="Z492" s="217"/>
      <c r="AA492" s="215"/>
      <c r="AB492" s="215"/>
      <c r="AC492" s="215"/>
      <c r="AD492" s="217">
        <v>1.476477</v>
      </c>
      <c r="AE492" s="217">
        <v>2011</v>
      </c>
      <c r="AF492" s="217">
        <v>0.30690000000000001</v>
      </c>
      <c r="AG492" s="217">
        <v>-99</v>
      </c>
      <c r="AH492" s="215" t="s">
        <v>224</v>
      </c>
      <c r="AI492" s="215" t="s">
        <v>449</v>
      </c>
      <c r="AJ492" s="215" t="s">
        <v>224</v>
      </c>
      <c r="AK492" s="215" t="s">
        <v>531</v>
      </c>
      <c r="AL492" s="215" t="s">
        <v>546</v>
      </c>
      <c r="AM492" s="217" t="b">
        <v>0</v>
      </c>
      <c r="AN492" s="217" t="b">
        <v>0</v>
      </c>
      <c r="AO492" s="215" t="s">
        <v>547</v>
      </c>
      <c r="AP492" s="215" t="s">
        <v>548</v>
      </c>
      <c r="AQ492" s="217">
        <v>113.21160686946486</v>
      </c>
      <c r="AR492" s="217" t="b">
        <v>0</v>
      </c>
      <c r="AS492" s="215" t="s">
        <v>534</v>
      </c>
    </row>
    <row r="493" spans="10:45" s="219" customFormat="1" x14ac:dyDescent="0.25">
      <c r="J493" s="223"/>
      <c r="K493" s="222"/>
      <c r="L493" s="215"/>
      <c r="M493" s="215"/>
      <c r="N493" s="215"/>
      <c r="O493" s="216"/>
      <c r="P493" s="215"/>
      <c r="Q493" s="217"/>
      <c r="R493" s="215"/>
      <c r="S493" s="215"/>
      <c r="T493" s="215"/>
      <c r="U493" s="215"/>
      <c r="V493" s="217"/>
      <c r="W493" s="217"/>
      <c r="X493" s="217"/>
      <c r="Y493" s="217"/>
      <c r="Z493" s="217"/>
      <c r="AA493" s="215"/>
      <c r="AB493" s="215"/>
      <c r="AC493" s="215"/>
      <c r="AD493" s="217">
        <v>1.476477</v>
      </c>
      <c r="AE493" s="217">
        <v>2018</v>
      </c>
      <c r="AF493" s="217">
        <v>0.21</v>
      </c>
      <c r="AG493" s="217">
        <v>-99</v>
      </c>
      <c r="AH493" s="215" t="s">
        <v>224</v>
      </c>
      <c r="AI493" s="215" t="s">
        <v>449</v>
      </c>
      <c r="AJ493" s="215" t="s">
        <v>224</v>
      </c>
      <c r="AK493" s="215" t="s">
        <v>531</v>
      </c>
      <c r="AL493" s="215" t="s">
        <v>464</v>
      </c>
      <c r="AM493" s="217" t="b">
        <v>0</v>
      </c>
      <c r="AN493" s="217" t="b">
        <v>0</v>
      </c>
      <c r="AO493" s="215" t="s">
        <v>549</v>
      </c>
      <c r="AP493" s="215" t="s">
        <v>550</v>
      </c>
      <c r="AQ493" s="217">
        <v>127.23917598649743</v>
      </c>
      <c r="AR493" s="217" t="b">
        <v>0</v>
      </c>
      <c r="AS493" s="215" t="s">
        <v>534</v>
      </c>
    </row>
    <row r="494" spans="10:45" s="219" customFormat="1" x14ac:dyDescent="0.25">
      <c r="J494" s="223"/>
      <c r="K494" s="222"/>
      <c r="L494" s="215"/>
      <c r="M494" s="215"/>
      <c r="N494" s="215"/>
      <c r="O494" s="216"/>
      <c r="P494" s="215"/>
      <c r="Q494" s="217"/>
      <c r="R494" s="215"/>
      <c r="S494" s="215"/>
      <c r="T494" s="215"/>
      <c r="U494" s="215"/>
      <c r="V494" s="217"/>
      <c r="W494" s="217"/>
      <c r="X494" s="217"/>
      <c r="Y494" s="217"/>
      <c r="Z494" s="217"/>
      <c r="AA494" s="215"/>
      <c r="AB494" s="215"/>
      <c r="AC494" s="215"/>
      <c r="AD494" s="217">
        <v>1.2195149999999999</v>
      </c>
      <c r="AE494" s="217">
        <v>3</v>
      </c>
      <c r="AF494" s="217">
        <v>0.05</v>
      </c>
      <c r="AG494" s="217">
        <v>-99</v>
      </c>
      <c r="AH494" s="215" t="s">
        <v>224</v>
      </c>
      <c r="AI494" s="215" t="s">
        <v>449</v>
      </c>
      <c r="AJ494" s="215" t="s">
        <v>425</v>
      </c>
      <c r="AK494" s="215" t="s">
        <v>531</v>
      </c>
      <c r="AL494" s="215" t="s">
        <v>456</v>
      </c>
      <c r="AM494" s="217" t="b">
        <v>0</v>
      </c>
      <c r="AN494" s="217" t="b">
        <v>0</v>
      </c>
      <c r="AO494" s="215" t="s">
        <v>426</v>
      </c>
      <c r="AP494" s="215" t="s">
        <v>531</v>
      </c>
      <c r="AQ494" s="217">
        <v>134.21816000000001</v>
      </c>
      <c r="AR494" s="217" t="b">
        <v>0</v>
      </c>
      <c r="AS494" s="215" t="s">
        <v>534</v>
      </c>
    </row>
    <row r="495" spans="10:45" s="219" customFormat="1" x14ac:dyDescent="0.25">
      <c r="J495" s="223"/>
      <c r="K495" s="222"/>
      <c r="L495" s="215"/>
      <c r="M495" s="215"/>
      <c r="N495" s="215"/>
      <c r="O495" s="216"/>
      <c r="P495" s="215"/>
      <c r="Q495" s="217"/>
      <c r="R495" s="215"/>
      <c r="S495" s="215"/>
      <c r="T495" s="215"/>
      <c r="U495" s="215"/>
      <c r="V495" s="217"/>
      <c r="W495" s="217"/>
      <c r="X495" s="217"/>
      <c r="Y495" s="217"/>
      <c r="Z495" s="217"/>
      <c r="AA495" s="215"/>
      <c r="AB495" s="215"/>
      <c r="AC495" s="215"/>
      <c r="AD495" s="217">
        <v>1.2195149999999999</v>
      </c>
      <c r="AE495" s="217">
        <v>25</v>
      </c>
      <c r="AF495" s="217">
        <v>0.13930000000000001</v>
      </c>
      <c r="AG495" s="217">
        <v>-99</v>
      </c>
      <c r="AH495" s="215" t="s">
        <v>224</v>
      </c>
      <c r="AI495" s="215" t="s">
        <v>449</v>
      </c>
      <c r="AJ495" s="215" t="s">
        <v>627</v>
      </c>
      <c r="AK495" s="215" t="s">
        <v>531</v>
      </c>
      <c r="AL495" s="215" t="s">
        <v>628</v>
      </c>
      <c r="AM495" s="217" t="b">
        <v>1</v>
      </c>
      <c r="AN495" s="217" t="b">
        <v>0</v>
      </c>
      <c r="AO495" s="215" t="s">
        <v>629</v>
      </c>
      <c r="AP495" s="215" t="s">
        <v>630</v>
      </c>
      <c r="AQ495" s="217">
        <v>120.19158</v>
      </c>
      <c r="AR495" s="217" t="b">
        <v>0</v>
      </c>
      <c r="AS495" s="215" t="s">
        <v>534</v>
      </c>
    </row>
    <row r="496" spans="10:45" s="219" customFormat="1" x14ac:dyDescent="0.25">
      <c r="J496" s="223"/>
      <c r="K496" s="222"/>
      <c r="L496" s="215"/>
      <c r="M496" s="215"/>
      <c r="N496" s="215"/>
      <c r="O496" s="216"/>
      <c r="P496" s="215"/>
      <c r="Q496" s="217"/>
      <c r="R496" s="215"/>
      <c r="S496" s="215"/>
      <c r="T496" s="215"/>
      <c r="U496" s="215"/>
      <c r="V496" s="217"/>
      <c r="W496" s="217"/>
      <c r="X496" s="217"/>
      <c r="Y496" s="217"/>
      <c r="Z496" s="217"/>
      <c r="AA496" s="215"/>
      <c r="AB496" s="215"/>
      <c r="AC496" s="215"/>
      <c r="AD496" s="217">
        <v>1.2195149999999999</v>
      </c>
      <c r="AE496" s="217">
        <v>30</v>
      </c>
      <c r="AF496" s="217">
        <v>0.22170000000000001</v>
      </c>
      <c r="AG496" s="217">
        <v>-99</v>
      </c>
      <c r="AH496" s="215" t="s">
        <v>224</v>
      </c>
      <c r="AI496" s="215" t="s">
        <v>449</v>
      </c>
      <c r="AJ496" s="215" t="s">
        <v>359</v>
      </c>
      <c r="AK496" s="215" t="s">
        <v>531</v>
      </c>
      <c r="AL496" s="215" t="s">
        <v>531</v>
      </c>
      <c r="AM496" s="217" t="b">
        <v>1</v>
      </c>
      <c r="AN496" s="217" t="b">
        <v>0</v>
      </c>
      <c r="AO496" s="215" t="s">
        <v>360</v>
      </c>
      <c r="AP496" s="215" t="s">
        <v>361</v>
      </c>
      <c r="AQ496" s="217">
        <v>120.19158</v>
      </c>
      <c r="AR496" s="217" t="b">
        <v>0</v>
      </c>
      <c r="AS496" s="215" t="s">
        <v>534</v>
      </c>
    </row>
    <row r="497" spans="10:45" s="219" customFormat="1" x14ac:dyDescent="0.25">
      <c r="J497" s="223"/>
      <c r="K497" s="222"/>
      <c r="L497" s="215"/>
      <c r="M497" s="215"/>
      <c r="N497" s="215"/>
      <c r="O497" s="216"/>
      <c r="P497" s="215"/>
      <c r="Q497" s="217"/>
      <c r="R497" s="215"/>
      <c r="S497" s="215"/>
      <c r="T497" s="215"/>
      <c r="U497" s="215"/>
      <c r="V497" s="217"/>
      <c r="W497" s="217"/>
      <c r="X497" s="217"/>
      <c r="Y497" s="217"/>
      <c r="Z497" s="217"/>
      <c r="AA497" s="215"/>
      <c r="AB497" s="215"/>
      <c r="AC497" s="215"/>
      <c r="AD497" s="217">
        <v>1.2195149999999999</v>
      </c>
      <c r="AE497" s="217">
        <v>44</v>
      </c>
      <c r="AF497" s="217">
        <v>0.1066</v>
      </c>
      <c r="AG497" s="217">
        <v>-99</v>
      </c>
      <c r="AH497" s="215" t="s">
        <v>224</v>
      </c>
      <c r="AI497" s="215" t="s">
        <v>449</v>
      </c>
      <c r="AJ497" s="215" t="s">
        <v>400</v>
      </c>
      <c r="AK497" s="215" t="s">
        <v>531</v>
      </c>
      <c r="AL497" s="215" t="s">
        <v>401</v>
      </c>
      <c r="AM497" s="217" t="b">
        <v>1</v>
      </c>
      <c r="AN497" s="217" t="b">
        <v>0</v>
      </c>
      <c r="AO497" s="215" t="s">
        <v>402</v>
      </c>
      <c r="AP497" s="215" t="s">
        <v>403</v>
      </c>
      <c r="AQ497" s="217">
        <v>120.19158</v>
      </c>
      <c r="AR497" s="217" t="b">
        <v>0</v>
      </c>
      <c r="AS497" s="215" t="s">
        <v>534</v>
      </c>
    </row>
    <row r="498" spans="10:45" s="219" customFormat="1" x14ac:dyDescent="0.25">
      <c r="J498" s="223"/>
      <c r="K498" s="222"/>
      <c r="L498" s="215"/>
      <c r="M498" s="215"/>
      <c r="N498" s="215"/>
      <c r="O498" s="216"/>
      <c r="P498" s="215"/>
      <c r="Q498" s="217"/>
      <c r="R498" s="215"/>
      <c r="S498" s="215"/>
      <c r="T498" s="215"/>
      <c r="U498" s="215"/>
      <c r="V498" s="217"/>
      <c r="W498" s="217"/>
      <c r="X498" s="217"/>
      <c r="Y498" s="217"/>
      <c r="Z498" s="217"/>
      <c r="AA498" s="215"/>
      <c r="AB498" s="215"/>
      <c r="AC498" s="215"/>
      <c r="AD498" s="217">
        <v>1.2195149999999999</v>
      </c>
      <c r="AE498" s="217">
        <v>51</v>
      </c>
      <c r="AF498" s="217">
        <v>4.8599999999999997E-2</v>
      </c>
      <c r="AG498" s="217">
        <v>-99</v>
      </c>
      <c r="AH498" s="215" t="s">
        <v>224</v>
      </c>
      <c r="AI498" s="215" t="s">
        <v>449</v>
      </c>
      <c r="AJ498" s="215" t="s">
        <v>634</v>
      </c>
      <c r="AK498" s="215" t="s">
        <v>531</v>
      </c>
      <c r="AL498" s="215" t="s">
        <v>635</v>
      </c>
      <c r="AM498" s="217" t="b">
        <v>1</v>
      </c>
      <c r="AN498" s="217" t="b">
        <v>0</v>
      </c>
      <c r="AO498" s="215" t="s">
        <v>636</v>
      </c>
      <c r="AP498" s="215" t="s">
        <v>637</v>
      </c>
      <c r="AQ498" s="217">
        <v>134.21816000000001</v>
      </c>
      <c r="AR498" s="217" t="b">
        <v>0</v>
      </c>
      <c r="AS498" s="215" t="s">
        <v>534</v>
      </c>
    </row>
    <row r="499" spans="10:45" s="219" customFormat="1" x14ac:dyDescent="0.25">
      <c r="J499" s="223"/>
      <c r="K499" s="222"/>
      <c r="L499" s="215"/>
      <c r="M499" s="215"/>
      <c r="N499" s="215"/>
      <c r="O499" s="216"/>
      <c r="P499" s="215"/>
      <c r="Q499" s="217"/>
      <c r="R499" s="215"/>
      <c r="S499" s="215"/>
      <c r="T499" s="215"/>
      <c r="U499" s="215"/>
      <c r="V499" s="217"/>
      <c r="W499" s="217"/>
      <c r="X499" s="217"/>
      <c r="Y499" s="217"/>
      <c r="Z499" s="217"/>
      <c r="AA499" s="215"/>
      <c r="AB499" s="215"/>
      <c r="AC499" s="215"/>
      <c r="AD499" s="217">
        <v>1.2195149999999999</v>
      </c>
      <c r="AE499" s="217">
        <v>59</v>
      </c>
      <c r="AF499" s="217">
        <v>4.5699999999999998E-2</v>
      </c>
      <c r="AG499" s="217">
        <v>-99</v>
      </c>
      <c r="AH499" s="215" t="s">
        <v>224</v>
      </c>
      <c r="AI499" s="215" t="s">
        <v>449</v>
      </c>
      <c r="AJ499" s="215" t="s">
        <v>638</v>
      </c>
      <c r="AK499" s="215" t="s">
        <v>531</v>
      </c>
      <c r="AL499" s="215" t="s">
        <v>639</v>
      </c>
      <c r="AM499" s="217" t="b">
        <v>1</v>
      </c>
      <c r="AN499" s="217" t="b">
        <v>0</v>
      </c>
      <c r="AO499" s="215" t="s">
        <v>640</v>
      </c>
      <c r="AP499" s="215" t="s">
        <v>641</v>
      </c>
      <c r="AQ499" s="217">
        <v>134.21816000000001</v>
      </c>
      <c r="AR499" s="217" t="b">
        <v>0</v>
      </c>
      <c r="AS499" s="215" t="s">
        <v>534</v>
      </c>
    </row>
    <row r="500" spans="10:45" s="219" customFormat="1" x14ac:dyDescent="0.25">
      <c r="J500" s="223"/>
      <c r="K500" s="222"/>
      <c r="L500" s="215"/>
      <c r="M500" s="215"/>
      <c r="N500" s="215"/>
      <c r="O500" s="216"/>
      <c r="P500" s="215"/>
      <c r="Q500" s="217"/>
      <c r="R500" s="215"/>
      <c r="S500" s="215"/>
      <c r="T500" s="215"/>
      <c r="U500" s="215"/>
      <c r="V500" s="217"/>
      <c r="W500" s="217"/>
      <c r="X500" s="217"/>
      <c r="Y500" s="217"/>
      <c r="Z500" s="217"/>
      <c r="AA500" s="215"/>
      <c r="AB500" s="215"/>
      <c r="AC500" s="215"/>
      <c r="AD500" s="217">
        <v>1.2195149999999999</v>
      </c>
      <c r="AE500" s="217">
        <v>80</v>
      </c>
      <c r="AF500" s="217">
        <v>6.9400000000000003E-2</v>
      </c>
      <c r="AG500" s="217">
        <v>-99</v>
      </c>
      <c r="AH500" s="215" t="s">
        <v>224</v>
      </c>
      <c r="AI500" s="215" t="s">
        <v>449</v>
      </c>
      <c r="AJ500" s="215" t="s">
        <v>408</v>
      </c>
      <c r="AK500" s="215" t="s">
        <v>531</v>
      </c>
      <c r="AL500" s="215" t="s">
        <v>450</v>
      </c>
      <c r="AM500" s="217" t="b">
        <v>1</v>
      </c>
      <c r="AN500" s="217" t="b">
        <v>0</v>
      </c>
      <c r="AO500" s="215" t="s">
        <v>409</v>
      </c>
      <c r="AP500" s="215" t="s">
        <v>410</v>
      </c>
      <c r="AQ500" s="217">
        <v>120.19158</v>
      </c>
      <c r="AR500" s="217" t="b">
        <v>0</v>
      </c>
      <c r="AS500" s="215" t="s">
        <v>534</v>
      </c>
    </row>
    <row r="501" spans="10:45" s="219" customFormat="1" x14ac:dyDescent="0.25">
      <c r="J501" s="223"/>
      <c r="K501" s="222"/>
      <c r="L501" s="215"/>
      <c r="M501" s="215"/>
      <c r="N501" s="215"/>
      <c r="O501" s="216"/>
      <c r="P501" s="215"/>
      <c r="Q501" s="217"/>
      <c r="R501" s="215"/>
      <c r="S501" s="215"/>
      <c r="T501" s="215"/>
      <c r="U501" s="215"/>
      <c r="V501" s="217"/>
      <c r="W501" s="217"/>
      <c r="X501" s="217"/>
      <c r="Y501" s="217"/>
      <c r="Z501" s="217"/>
      <c r="AA501" s="215"/>
      <c r="AB501" s="215"/>
      <c r="AC501" s="215"/>
      <c r="AD501" s="217">
        <v>1.2195149999999999</v>
      </c>
      <c r="AE501" s="217">
        <v>89</v>
      </c>
      <c r="AF501" s="217">
        <v>0.16300000000000001</v>
      </c>
      <c r="AG501" s="217">
        <v>-99</v>
      </c>
      <c r="AH501" s="215" t="s">
        <v>224</v>
      </c>
      <c r="AI501" s="215" t="s">
        <v>449</v>
      </c>
      <c r="AJ501" s="215" t="s">
        <v>411</v>
      </c>
      <c r="AK501" s="215" t="s">
        <v>531</v>
      </c>
      <c r="AL501" s="215" t="s">
        <v>451</v>
      </c>
      <c r="AM501" s="217" t="b">
        <v>1</v>
      </c>
      <c r="AN501" s="217" t="b">
        <v>0</v>
      </c>
      <c r="AO501" s="215" t="s">
        <v>412</v>
      </c>
      <c r="AP501" s="215" t="s">
        <v>413</v>
      </c>
      <c r="AQ501" s="217">
        <v>120.19158</v>
      </c>
      <c r="AR501" s="217" t="b">
        <v>0</v>
      </c>
      <c r="AS501" s="215" t="s">
        <v>534</v>
      </c>
    </row>
    <row r="502" spans="10:45" s="219" customFormat="1" x14ac:dyDescent="0.25">
      <c r="J502" s="223"/>
      <c r="K502" s="222"/>
      <c r="L502" s="215"/>
      <c r="M502" s="215"/>
      <c r="N502" s="215"/>
      <c r="O502" s="216"/>
      <c r="P502" s="215"/>
      <c r="Q502" s="217"/>
      <c r="R502" s="215"/>
      <c r="S502" s="215"/>
      <c r="T502" s="215"/>
      <c r="U502" s="215"/>
      <c r="V502" s="217"/>
      <c r="W502" s="217"/>
      <c r="X502" s="217"/>
      <c r="Y502" s="217"/>
      <c r="Z502" s="217"/>
      <c r="AA502" s="215"/>
      <c r="AB502" s="215"/>
      <c r="AC502" s="215"/>
      <c r="AD502" s="217">
        <v>1.2195149999999999</v>
      </c>
      <c r="AE502" s="217">
        <v>122</v>
      </c>
      <c r="AF502" s="217">
        <v>0.15390000000000001</v>
      </c>
      <c r="AG502" s="217">
        <v>-99</v>
      </c>
      <c r="AH502" s="215" t="s">
        <v>224</v>
      </c>
      <c r="AI502" s="215" t="s">
        <v>449</v>
      </c>
      <c r="AJ502" s="215" t="s">
        <v>301</v>
      </c>
      <c r="AK502" s="215" t="s">
        <v>531</v>
      </c>
      <c r="AL502" s="215" t="s">
        <v>384</v>
      </c>
      <c r="AM502" s="217" t="b">
        <v>1</v>
      </c>
      <c r="AN502" s="217" t="b">
        <v>0</v>
      </c>
      <c r="AO502" s="215" t="s">
        <v>302</v>
      </c>
      <c r="AP502" s="215" t="s">
        <v>303</v>
      </c>
      <c r="AQ502" s="217">
        <v>86.175359999999998</v>
      </c>
      <c r="AR502" s="217" t="b">
        <v>0</v>
      </c>
      <c r="AS502" s="215" t="s">
        <v>534</v>
      </c>
    </row>
    <row r="503" spans="10:45" s="219" customFormat="1" x14ac:dyDescent="0.25">
      <c r="J503" s="223"/>
      <c r="K503" s="222"/>
      <c r="L503" s="215"/>
      <c r="M503" s="215"/>
      <c r="N503" s="215"/>
      <c r="O503" s="216"/>
      <c r="P503" s="215"/>
      <c r="Q503" s="217"/>
      <c r="R503" s="215"/>
      <c r="S503" s="215"/>
      <c r="T503" s="215"/>
      <c r="U503" s="215"/>
      <c r="V503" s="217"/>
      <c r="W503" s="217"/>
      <c r="X503" s="217"/>
      <c r="Y503" s="217"/>
      <c r="Z503" s="217"/>
      <c r="AA503" s="215"/>
      <c r="AB503" s="215"/>
      <c r="AC503" s="215"/>
      <c r="AD503" s="217">
        <v>1.2195149999999999</v>
      </c>
      <c r="AE503" s="217">
        <v>127</v>
      </c>
      <c r="AF503" s="217">
        <v>0.10589999999999999</v>
      </c>
      <c r="AG503" s="217">
        <v>-99</v>
      </c>
      <c r="AH503" s="215" t="s">
        <v>224</v>
      </c>
      <c r="AI503" s="215" t="s">
        <v>449</v>
      </c>
      <c r="AJ503" s="215" t="s">
        <v>441</v>
      </c>
      <c r="AK503" s="215" t="s">
        <v>531</v>
      </c>
      <c r="AL503" s="215" t="s">
        <v>462</v>
      </c>
      <c r="AM503" s="217" t="b">
        <v>0</v>
      </c>
      <c r="AN503" s="217" t="b">
        <v>0</v>
      </c>
      <c r="AO503" s="215" t="s">
        <v>442</v>
      </c>
      <c r="AP503" s="215" t="s">
        <v>531</v>
      </c>
      <c r="AQ503" s="217">
        <v>72.148780000000002</v>
      </c>
      <c r="AR503" s="217" t="b">
        <v>0</v>
      </c>
      <c r="AS503" s="215" t="s">
        <v>534</v>
      </c>
    </row>
    <row r="504" spans="10:45" s="219" customFormat="1" x14ac:dyDescent="0.25">
      <c r="J504" s="223"/>
      <c r="K504" s="222"/>
      <c r="L504" s="215"/>
      <c r="M504" s="215"/>
      <c r="N504" s="215"/>
      <c r="O504" s="216"/>
      <c r="P504" s="215"/>
      <c r="Q504" s="217"/>
      <c r="R504" s="215"/>
      <c r="S504" s="215"/>
      <c r="T504" s="215"/>
      <c r="U504" s="215"/>
      <c r="V504" s="217"/>
      <c r="W504" s="217"/>
      <c r="X504" s="217"/>
      <c r="Y504" s="217"/>
      <c r="Z504" s="217"/>
      <c r="AA504" s="215"/>
      <c r="AB504" s="215"/>
      <c r="AC504" s="215"/>
      <c r="AD504" s="217">
        <v>1.2195149999999999</v>
      </c>
      <c r="AE504" s="217">
        <v>130</v>
      </c>
      <c r="AF504" s="217">
        <v>5.2299999999999999E-2</v>
      </c>
      <c r="AG504" s="217">
        <v>-99</v>
      </c>
      <c r="AH504" s="215" t="s">
        <v>224</v>
      </c>
      <c r="AI504" s="215" t="s">
        <v>449</v>
      </c>
      <c r="AJ504" s="215" t="s">
        <v>404</v>
      </c>
      <c r="AK504" s="215" t="s">
        <v>531</v>
      </c>
      <c r="AL504" s="215" t="s">
        <v>405</v>
      </c>
      <c r="AM504" s="217" t="b">
        <v>1</v>
      </c>
      <c r="AN504" s="217" t="b">
        <v>0</v>
      </c>
      <c r="AO504" s="215" t="s">
        <v>406</v>
      </c>
      <c r="AP504" s="215" t="s">
        <v>407</v>
      </c>
      <c r="AQ504" s="217">
        <v>114.22852</v>
      </c>
      <c r="AR504" s="217" t="b">
        <v>0</v>
      </c>
      <c r="AS504" s="215" t="s">
        <v>534</v>
      </c>
    </row>
    <row r="505" spans="10:45" s="219" customFormat="1" x14ac:dyDescent="0.25">
      <c r="J505" s="223"/>
      <c r="K505" s="222"/>
      <c r="L505" s="215"/>
      <c r="M505" s="215"/>
      <c r="N505" s="215"/>
      <c r="O505" s="216"/>
      <c r="P505" s="215"/>
      <c r="Q505" s="217"/>
      <c r="R505" s="215"/>
      <c r="S505" s="215"/>
      <c r="T505" s="215"/>
      <c r="U505" s="215"/>
      <c r="V505" s="217"/>
      <c r="W505" s="217"/>
      <c r="X505" s="217"/>
      <c r="Y505" s="217"/>
      <c r="Z505" s="217"/>
      <c r="AA505" s="215"/>
      <c r="AB505" s="215"/>
      <c r="AC505" s="215"/>
      <c r="AD505" s="217">
        <v>1.2195149999999999</v>
      </c>
      <c r="AE505" s="217">
        <v>138</v>
      </c>
      <c r="AF505" s="217">
        <v>8.4000000000000005E-2</v>
      </c>
      <c r="AG505" s="217">
        <v>-99</v>
      </c>
      <c r="AH505" s="215" t="s">
        <v>224</v>
      </c>
      <c r="AI505" s="215" t="s">
        <v>449</v>
      </c>
      <c r="AJ505" s="215" t="s">
        <v>443</v>
      </c>
      <c r="AK505" s="215" t="s">
        <v>531</v>
      </c>
      <c r="AL505" s="215" t="s">
        <v>463</v>
      </c>
      <c r="AM505" s="217" t="b">
        <v>0</v>
      </c>
      <c r="AN505" s="217" t="b">
        <v>0</v>
      </c>
      <c r="AO505" s="215" t="s">
        <v>444</v>
      </c>
      <c r="AP505" s="215" t="s">
        <v>531</v>
      </c>
      <c r="AQ505" s="217">
        <v>114.22852</v>
      </c>
      <c r="AR505" s="217" t="b">
        <v>0</v>
      </c>
      <c r="AS505" s="215" t="s">
        <v>534</v>
      </c>
    </row>
    <row r="506" spans="10:45" s="219" customFormat="1" x14ac:dyDescent="0.25">
      <c r="J506" s="223"/>
      <c r="K506" s="222"/>
      <c r="L506" s="215"/>
      <c r="M506" s="215"/>
      <c r="N506" s="215"/>
      <c r="O506" s="216"/>
      <c r="P506" s="215"/>
      <c r="Q506" s="217"/>
      <c r="R506" s="215"/>
      <c r="S506" s="215"/>
      <c r="T506" s="215"/>
      <c r="U506" s="215"/>
      <c r="V506" s="217"/>
      <c r="W506" s="217"/>
      <c r="X506" s="217"/>
      <c r="Y506" s="217"/>
      <c r="Z506" s="217"/>
      <c r="AA506" s="215"/>
      <c r="AB506" s="215"/>
      <c r="AC506" s="215"/>
      <c r="AD506" s="217">
        <v>1.2195149999999999</v>
      </c>
      <c r="AE506" s="217">
        <v>140</v>
      </c>
      <c r="AF506" s="217">
        <v>0.51019999999999999</v>
      </c>
      <c r="AG506" s="217">
        <v>-99</v>
      </c>
      <c r="AH506" s="215" t="s">
        <v>224</v>
      </c>
      <c r="AI506" s="215" t="s">
        <v>449</v>
      </c>
      <c r="AJ506" s="215" t="s">
        <v>307</v>
      </c>
      <c r="AK506" s="215" t="s">
        <v>531</v>
      </c>
      <c r="AL506" s="215" t="s">
        <v>385</v>
      </c>
      <c r="AM506" s="217" t="b">
        <v>1</v>
      </c>
      <c r="AN506" s="217" t="b">
        <v>0</v>
      </c>
      <c r="AO506" s="215" t="s">
        <v>308</v>
      </c>
      <c r="AP506" s="215" t="s">
        <v>309</v>
      </c>
      <c r="AQ506" s="217">
        <v>100.20194000000001</v>
      </c>
      <c r="AR506" s="217" t="b">
        <v>0</v>
      </c>
      <c r="AS506" s="215" t="s">
        <v>534</v>
      </c>
    </row>
    <row r="507" spans="10:45" s="219" customFormat="1" x14ac:dyDescent="0.25">
      <c r="J507" s="223"/>
      <c r="K507" s="222"/>
      <c r="L507" s="215"/>
      <c r="M507" s="215"/>
      <c r="N507" s="215"/>
      <c r="O507" s="216"/>
      <c r="P507" s="215"/>
      <c r="Q507" s="217"/>
      <c r="R507" s="215"/>
      <c r="S507" s="215"/>
      <c r="T507" s="215"/>
      <c r="U507" s="215"/>
      <c r="V507" s="217"/>
      <c r="W507" s="217"/>
      <c r="X507" s="217"/>
      <c r="Y507" s="217"/>
      <c r="Z507" s="217"/>
      <c r="AA507" s="215"/>
      <c r="AB507" s="215"/>
      <c r="AC507" s="215"/>
      <c r="AD507" s="217">
        <v>1.2195149999999999</v>
      </c>
      <c r="AE507" s="217">
        <v>149</v>
      </c>
      <c r="AF507" s="217">
        <v>0.10299999999999999</v>
      </c>
      <c r="AG507" s="217">
        <v>-99</v>
      </c>
      <c r="AH507" s="215" t="s">
        <v>224</v>
      </c>
      <c r="AI507" s="215" t="s">
        <v>449</v>
      </c>
      <c r="AJ507" s="215" t="s">
        <v>427</v>
      </c>
      <c r="AK507" s="215" t="s">
        <v>531</v>
      </c>
      <c r="AL507" s="215" t="s">
        <v>457</v>
      </c>
      <c r="AM507" s="217" t="b">
        <v>0</v>
      </c>
      <c r="AN507" s="217" t="b">
        <v>0</v>
      </c>
      <c r="AO507" s="215" t="s">
        <v>428</v>
      </c>
      <c r="AP507" s="215" t="s">
        <v>429</v>
      </c>
      <c r="AQ507" s="217">
        <v>114.22852</v>
      </c>
      <c r="AR507" s="217" t="b">
        <v>0</v>
      </c>
      <c r="AS507" s="215" t="s">
        <v>534</v>
      </c>
    </row>
    <row r="508" spans="10:45" s="219" customFormat="1" x14ac:dyDescent="0.25">
      <c r="J508" s="223"/>
      <c r="K508" s="222"/>
      <c r="L508" s="215"/>
      <c r="M508" s="215"/>
      <c r="N508" s="215"/>
      <c r="O508" s="216"/>
      <c r="P508" s="215"/>
      <c r="Q508" s="217"/>
      <c r="R508" s="215"/>
      <c r="S508" s="215"/>
      <c r="T508" s="215"/>
      <c r="U508" s="215"/>
      <c r="V508" s="217"/>
      <c r="W508" s="217"/>
      <c r="X508" s="217"/>
      <c r="Y508" s="217"/>
      <c r="Z508" s="217"/>
      <c r="AA508" s="215"/>
      <c r="AB508" s="215"/>
      <c r="AC508" s="215"/>
      <c r="AD508" s="217">
        <v>1.2195149999999999</v>
      </c>
      <c r="AE508" s="217">
        <v>152</v>
      </c>
      <c r="AF508" s="217">
        <v>0.1542</v>
      </c>
      <c r="AG508" s="217">
        <v>-99</v>
      </c>
      <c r="AH508" s="215" t="s">
        <v>224</v>
      </c>
      <c r="AI508" s="215" t="s">
        <v>449</v>
      </c>
      <c r="AJ508" s="215" t="s">
        <v>310</v>
      </c>
      <c r="AK508" s="215" t="s">
        <v>531</v>
      </c>
      <c r="AL508" s="215" t="s">
        <v>386</v>
      </c>
      <c r="AM508" s="217" t="b">
        <v>1</v>
      </c>
      <c r="AN508" s="217" t="b">
        <v>0</v>
      </c>
      <c r="AO508" s="215" t="s">
        <v>311</v>
      </c>
      <c r="AP508" s="215" t="s">
        <v>312</v>
      </c>
      <c r="AQ508" s="217">
        <v>100.20194000000001</v>
      </c>
      <c r="AR508" s="217" t="b">
        <v>0</v>
      </c>
      <c r="AS508" s="215" t="s">
        <v>534</v>
      </c>
    </row>
    <row r="509" spans="10:45" s="219" customFormat="1" x14ac:dyDescent="0.25">
      <c r="J509" s="223"/>
      <c r="K509" s="222"/>
      <c r="L509" s="215"/>
      <c r="M509" s="215"/>
      <c r="N509" s="215"/>
      <c r="O509" s="216"/>
      <c r="P509" s="215"/>
      <c r="Q509" s="217"/>
      <c r="R509" s="215"/>
      <c r="S509" s="215"/>
      <c r="T509" s="215"/>
      <c r="U509" s="215"/>
      <c r="V509" s="217"/>
      <c r="W509" s="217"/>
      <c r="X509" s="217"/>
      <c r="Y509" s="217"/>
      <c r="Z509" s="217"/>
      <c r="AA509" s="215"/>
      <c r="AB509" s="215"/>
      <c r="AC509" s="215"/>
      <c r="AD509" s="217">
        <v>1.2195149999999999</v>
      </c>
      <c r="AE509" s="217">
        <v>193</v>
      </c>
      <c r="AF509" s="217">
        <v>0.66720000000000002</v>
      </c>
      <c r="AG509" s="217">
        <v>-99</v>
      </c>
      <c r="AH509" s="215" t="s">
        <v>224</v>
      </c>
      <c r="AI509" s="215" t="s">
        <v>449</v>
      </c>
      <c r="AJ509" s="215" t="s">
        <v>313</v>
      </c>
      <c r="AK509" s="215" t="s">
        <v>531</v>
      </c>
      <c r="AL509" s="215" t="s">
        <v>387</v>
      </c>
      <c r="AM509" s="217" t="b">
        <v>1</v>
      </c>
      <c r="AN509" s="217" t="b">
        <v>0</v>
      </c>
      <c r="AO509" s="215" t="s">
        <v>314</v>
      </c>
      <c r="AP509" s="215" t="s">
        <v>315</v>
      </c>
      <c r="AQ509" s="217">
        <v>114.22852</v>
      </c>
      <c r="AR509" s="217" t="b">
        <v>0</v>
      </c>
      <c r="AS509" s="215" t="s">
        <v>534</v>
      </c>
    </row>
    <row r="510" spans="10:45" s="219" customFormat="1" x14ac:dyDescent="0.25">
      <c r="J510" s="223"/>
      <c r="K510" s="222"/>
      <c r="L510" s="215"/>
      <c r="M510" s="215"/>
      <c r="N510" s="215"/>
      <c r="O510" s="216"/>
      <c r="P510" s="215"/>
      <c r="Q510" s="217"/>
      <c r="R510" s="215"/>
      <c r="S510" s="215"/>
      <c r="T510" s="215"/>
      <c r="U510" s="215"/>
      <c r="V510" s="217"/>
      <c r="W510" s="217"/>
      <c r="X510" s="217"/>
      <c r="Y510" s="217"/>
      <c r="Z510" s="217"/>
      <c r="AA510" s="215"/>
      <c r="AB510" s="215"/>
      <c r="AC510" s="215"/>
      <c r="AD510" s="217">
        <v>1.2195149999999999</v>
      </c>
      <c r="AE510" s="217">
        <v>194</v>
      </c>
      <c r="AF510" s="217">
        <v>0.57069999999999999</v>
      </c>
      <c r="AG510" s="217">
        <v>-99</v>
      </c>
      <c r="AH510" s="215" t="s">
        <v>224</v>
      </c>
      <c r="AI510" s="215" t="s">
        <v>449</v>
      </c>
      <c r="AJ510" s="215" t="s">
        <v>316</v>
      </c>
      <c r="AK510" s="215" t="s">
        <v>531</v>
      </c>
      <c r="AL510" s="215" t="s">
        <v>388</v>
      </c>
      <c r="AM510" s="217" t="b">
        <v>1</v>
      </c>
      <c r="AN510" s="217" t="b">
        <v>0</v>
      </c>
      <c r="AO510" s="215" t="s">
        <v>317</v>
      </c>
      <c r="AP510" s="215" t="s">
        <v>318</v>
      </c>
      <c r="AQ510" s="217">
        <v>100.20194000000001</v>
      </c>
      <c r="AR510" s="217" t="b">
        <v>0</v>
      </c>
      <c r="AS510" s="215" t="s">
        <v>534</v>
      </c>
    </row>
    <row r="511" spans="10:45" s="219" customFormat="1" x14ac:dyDescent="0.25">
      <c r="J511" s="223"/>
      <c r="K511" s="222"/>
      <c r="L511" s="215"/>
      <c r="M511" s="215"/>
      <c r="N511" s="215"/>
      <c r="O511" s="216"/>
      <c r="P511" s="215"/>
      <c r="Q511" s="217"/>
      <c r="R511" s="215"/>
      <c r="S511" s="215"/>
      <c r="T511" s="215"/>
      <c r="U511" s="215"/>
      <c r="V511" s="217"/>
      <c r="W511" s="217"/>
      <c r="X511" s="217"/>
      <c r="Y511" s="217"/>
      <c r="Z511" s="217"/>
      <c r="AA511" s="215"/>
      <c r="AB511" s="215"/>
      <c r="AC511" s="215"/>
      <c r="AD511" s="217">
        <v>1.2195149999999999</v>
      </c>
      <c r="AE511" s="217">
        <v>199</v>
      </c>
      <c r="AF511" s="217">
        <v>2.6425000000000001</v>
      </c>
      <c r="AG511" s="217">
        <v>-99</v>
      </c>
      <c r="AH511" s="215" t="s">
        <v>224</v>
      </c>
      <c r="AI511" s="215" t="s">
        <v>449</v>
      </c>
      <c r="AJ511" s="215" t="s">
        <v>319</v>
      </c>
      <c r="AK511" s="215" t="s">
        <v>531</v>
      </c>
      <c r="AL511" s="215" t="s">
        <v>389</v>
      </c>
      <c r="AM511" s="217" t="b">
        <v>1</v>
      </c>
      <c r="AN511" s="217" t="b">
        <v>0</v>
      </c>
      <c r="AO511" s="215" t="s">
        <v>320</v>
      </c>
      <c r="AP511" s="215" t="s">
        <v>321</v>
      </c>
      <c r="AQ511" s="217">
        <v>86.175359999999998</v>
      </c>
      <c r="AR511" s="217" t="b">
        <v>0</v>
      </c>
      <c r="AS511" s="215" t="s">
        <v>534</v>
      </c>
    </row>
    <row r="512" spans="10:45" s="219" customFormat="1" x14ac:dyDescent="0.25">
      <c r="J512" s="223"/>
      <c r="K512" s="222"/>
      <c r="L512" s="215"/>
      <c r="M512" s="215"/>
      <c r="N512" s="215"/>
      <c r="O512" s="216"/>
      <c r="P512" s="215"/>
      <c r="Q512" s="217"/>
      <c r="R512" s="215"/>
      <c r="S512" s="215"/>
      <c r="T512" s="215"/>
      <c r="U512" s="215"/>
      <c r="V512" s="217"/>
      <c r="W512" s="217"/>
      <c r="X512" s="217"/>
      <c r="Y512" s="217"/>
      <c r="Z512" s="217"/>
      <c r="AA512" s="215"/>
      <c r="AB512" s="215"/>
      <c r="AC512" s="215"/>
      <c r="AD512" s="217">
        <v>1.2195149999999999</v>
      </c>
      <c r="AE512" s="217">
        <v>226</v>
      </c>
      <c r="AF512" s="217">
        <v>0.31359999999999999</v>
      </c>
      <c r="AG512" s="217">
        <v>-99</v>
      </c>
      <c r="AH512" s="215" t="s">
        <v>224</v>
      </c>
      <c r="AI512" s="215" t="s">
        <v>449</v>
      </c>
      <c r="AJ512" s="215" t="s">
        <v>439</v>
      </c>
      <c r="AK512" s="215" t="s">
        <v>531</v>
      </c>
      <c r="AL512" s="215" t="s">
        <v>461</v>
      </c>
      <c r="AM512" s="217" t="b">
        <v>0</v>
      </c>
      <c r="AN512" s="217" t="b">
        <v>0</v>
      </c>
      <c r="AO512" s="215" t="s">
        <v>440</v>
      </c>
      <c r="AP512" s="215" t="s">
        <v>531</v>
      </c>
      <c r="AQ512" s="217">
        <v>114.22852</v>
      </c>
      <c r="AR512" s="217" t="b">
        <v>0</v>
      </c>
      <c r="AS512" s="215" t="s">
        <v>534</v>
      </c>
    </row>
    <row r="513" spans="2:45" s="219" customFormat="1" x14ac:dyDescent="0.25">
      <c r="J513" s="223"/>
      <c r="K513" s="222"/>
      <c r="L513" s="215"/>
      <c r="M513" s="215"/>
      <c r="N513" s="215"/>
      <c r="O513" s="216"/>
      <c r="P513" s="215"/>
      <c r="Q513" s="217"/>
      <c r="R513" s="215"/>
      <c r="S513" s="215"/>
      <c r="T513" s="215"/>
      <c r="U513" s="215"/>
      <c r="V513" s="217"/>
      <c r="W513" s="217"/>
      <c r="X513" s="217"/>
      <c r="Y513" s="217"/>
      <c r="Z513" s="217"/>
      <c r="AA513" s="215"/>
      <c r="AB513" s="215"/>
      <c r="AC513" s="215"/>
      <c r="AD513" s="217">
        <v>1.2195149999999999</v>
      </c>
      <c r="AE513" s="217">
        <v>245</v>
      </c>
      <c r="AF513" s="217">
        <v>0.82940000000000003</v>
      </c>
      <c r="AG513" s="217">
        <v>-99</v>
      </c>
      <c r="AH513" s="215" t="s">
        <v>224</v>
      </c>
      <c r="AI513" s="215" t="s">
        <v>449</v>
      </c>
      <c r="AJ513" s="215" t="s">
        <v>325</v>
      </c>
      <c r="AK513" s="215" t="s">
        <v>531</v>
      </c>
      <c r="AL513" s="215" t="s">
        <v>390</v>
      </c>
      <c r="AM513" s="217" t="b">
        <v>1</v>
      </c>
      <c r="AN513" s="217" t="b">
        <v>0</v>
      </c>
      <c r="AO513" s="215" t="s">
        <v>326</v>
      </c>
      <c r="AP513" s="215" t="s">
        <v>327</v>
      </c>
      <c r="AQ513" s="217">
        <v>100.20194000000001</v>
      </c>
      <c r="AR513" s="217" t="b">
        <v>0</v>
      </c>
      <c r="AS513" s="215" t="s">
        <v>534</v>
      </c>
    </row>
    <row r="514" spans="2:45" s="219" customFormat="1" x14ac:dyDescent="0.25">
      <c r="J514" s="223"/>
      <c r="K514" s="222"/>
      <c r="L514" s="215"/>
      <c r="M514" s="215"/>
      <c r="N514" s="215"/>
      <c r="O514" s="216"/>
      <c r="P514" s="215"/>
      <c r="Q514" s="217"/>
      <c r="R514" s="215"/>
      <c r="S514" s="215"/>
      <c r="T514" s="215"/>
      <c r="U514" s="215"/>
      <c r="V514" s="217"/>
      <c r="W514" s="217"/>
      <c r="X514" s="217"/>
      <c r="Y514" s="217"/>
      <c r="Z514" s="217"/>
      <c r="AA514" s="215"/>
      <c r="AB514" s="215"/>
      <c r="AC514" s="215"/>
      <c r="AD514" s="217">
        <v>1.2195149999999999</v>
      </c>
      <c r="AE514" s="217">
        <v>248</v>
      </c>
      <c r="AF514" s="217">
        <v>1.9294</v>
      </c>
      <c r="AG514" s="217">
        <v>-99</v>
      </c>
      <c r="AH514" s="215" t="s">
        <v>224</v>
      </c>
      <c r="AI514" s="215" t="s">
        <v>449</v>
      </c>
      <c r="AJ514" s="215" t="s">
        <v>328</v>
      </c>
      <c r="AK514" s="215" t="s">
        <v>531</v>
      </c>
      <c r="AL514" s="215" t="s">
        <v>391</v>
      </c>
      <c r="AM514" s="217" t="b">
        <v>1</v>
      </c>
      <c r="AN514" s="217" t="b">
        <v>0</v>
      </c>
      <c r="AO514" s="215" t="s">
        <v>329</v>
      </c>
      <c r="AP514" s="215" t="s">
        <v>330</v>
      </c>
      <c r="AQ514" s="217">
        <v>86.175359999999998</v>
      </c>
      <c r="AR514" s="217" t="b">
        <v>0</v>
      </c>
      <c r="AS514" s="215" t="s">
        <v>534</v>
      </c>
    </row>
    <row r="515" spans="2:45" s="219" customFormat="1" x14ac:dyDescent="0.25">
      <c r="J515" s="223"/>
      <c r="K515" s="222"/>
      <c r="L515" s="215"/>
      <c r="M515" s="215"/>
      <c r="N515" s="215"/>
      <c r="O515" s="216"/>
      <c r="P515" s="215"/>
      <c r="Q515" s="217"/>
      <c r="R515" s="215"/>
      <c r="S515" s="215"/>
      <c r="T515" s="215"/>
      <c r="U515" s="215"/>
      <c r="V515" s="217"/>
      <c r="W515" s="217"/>
      <c r="X515" s="217"/>
      <c r="Y515" s="217"/>
      <c r="Z515" s="217"/>
      <c r="AA515" s="215"/>
      <c r="AB515" s="215"/>
      <c r="AC515" s="215"/>
      <c r="AD515" s="217">
        <v>1.2195149999999999</v>
      </c>
      <c r="AE515" s="217">
        <v>302</v>
      </c>
      <c r="AF515" s="217">
        <v>0.55589999999999995</v>
      </c>
      <c r="AG515" s="217">
        <v>-99</v>
      </c>
      <c r="AH515" s="215" t="s">
        <v>224</v>
      </c>
      <c r="AI515" s="215" t="s">
        <v>449</v>
      </c>
      <c r="AJ515" s="215" t="s">
        <v>262</v>
      </c>
      <c r="AK515" s="215" t="s">
        <v>531</v>
      </c>
      <c r="AL515" s="215" t="s">
        <v>373</v>
      </c>
      <c r="AM515" s="217" t="b">
        <v>1</v>
      </c>
      <c r="AN515" s="217" t="b">
        <v>1</v>
      </c>
      <c r="AO515" s="215" t="s">
        <v>263</v>
      </c>
      <c r="AP515" s="215" t="s">
        <v>264</v>
      </c>
      <c r="AQ515" s="217">
        <v>78.111840000000001</v>
      </c>
      <c r="AR515" s="217" t="b">
        <v>0</v>
      </c>
      <c r="AS515" s="215" t="s">
        <v>534</v>
      </c>
    </row>
    <row r="516" spans="2:45" s="219" customFormat="1" x14ac:dyDescent="0.25">
      <c r="J516" s="223"/>
      <c r="K516" s="222"/>
      <c r="L516" s="215"/>
      <c r="M516" s="215"/>
      <c r="N516" s="215"/>
      <c r="O516" s="216"/>
      <c r="P516" s="215"/>
      <c r="Q516" s="217"/>
      <c r="R516" s="215"/>
      <c r="S516" s="215"/>
      <c r="T516" s="215"/>
      <c r="U516" s="215"/>
      <c r="V516" s="217"/>
      <c r="W516" s="217"/>
      <c r="X516" s="217"/>
      <c r="Y516" s="217"/>
      <c r="Z516" s="217"/>
      <c r="AA516" s="215"/>
      <c r="AB516" s="215"/>
      <c r="AC516" s="215"/>
      <c r="AD516" s="217">
        <v>1.2195149999999999</v>
      </c>
      <c r="AE516" s="217">
        <v>385</v>
      </c>
      <c r="AF516" s="217">
        <v>3.1600000000000003E-2</v>
      </c>
      <c r="AG516" s="217">
        <v>-99</v>
      </c>
      <c r="AH516" s="215" t="s">
        <v>224</v>
      </c>
      <c r="AI516" s="215" t="s">
        <v>449</v>
      </c>
      <c r="AJ516" s="215" t="s">
        <v>331</v>
      </c>
      <c r="AK516" s="215" t="s">
        <v>531</v>
      </c>
      <c r="AL516" s="215" t="s">
        <v>392</v>
      </c>
      <c r="AM516" s="217" t="b">
        <v>1</v>
      </c>
      <c r="AN516" s="217" t="b">
        <v>0</v>
      </c>
      <c r="AO516" s="215" t="s">
        <v>332</v>
      </c>
      <c r="AP516" s="215" t="s">
        <v>333</v>
      </c>
      <c r="AQ516" s="217">
        <v>84.159480000000002</v>
      </c>
      <c r="AR516" s="217" t="b">
        <v>0</v>
      </c>
      <c r="AS516" s="215" t="s">
        <v>534</v>
      </c>
    </row>
    <row r="517" spans="2:45" s="219" customFormat="1" x14ac:dyDescent="0.25">
      <c r="B517" s="218"/>
      <c r="C517" s="218"/>
      <c r="D517" s="218"/>
      <c r="E517" s="218"/>
      <c r="F517" s="218"/>
      <c r="G517" s="218"/>
      <c r="H517" s="218"/>
      <c r="I517" s="218"/>
      <c r="J517" s="218"/>
      <c r="K517" s="221"/>
      <c r="L517" s="215"/>
      <c r="M517" s="215"/>
      <c r="N517" s="215"/>
      <c r="O517" s="216"/>
      <c r="P517" s="215"/>
      <c r="Q517" s="217"/>
      <c r="R517" s="215"/>
      <c r="S517" s="215"/>
      <c r="T517" s="215"/>
      <c r="U517" s="215"/>
      <c r="V517" s="217"/>
      <c r="W517" s="217"/>
      <c r="X517" s="217"/>
      <c r="Y517" s="217"/>
      <c r="Z517" s="217"/>
      <c r="AA517" s="215"/>
      <c r="AB517" s="215"/>
      <c r="AC517" s="215"/>
      <c r="AD517" s="217">
        <v>1.2195149999999999</v>
      </c>
      <c r="AE517" s="217">
        <v>390</v>
      </c>
      <c r="AF517" s="217">
        <v>0.56120000000000003</v>
      </c>
      <c r="AG517" s="217">
        <v>-99</v>
      </c>
      <c r="AH517" s="215" t="s">
        <v>224</v>
      </c>
      <c r="AI517" s="215" t="s">
        <v>449</v>
      </c>
      <c r="AJ517" s="215" t="s">
        <v>334</v>
      </c>
      <c r="AK517" s="215" t="s">
        <v>531</v>
      </c>
      <c r="AL517" s="215" t="s">
        <v>393</v>
      </c>
      <c r="AM517" s="217" t="b">
        <v>1</v>
      </c>
      <c r="AN517" s="217" t="b">
        <v>0</v>
      </c>
      <c r="AO517" s="215" t="s">
        <v>335</v>
      </c>
      <c r="AP517" s="215" t="s">
        <v>336</v>
      </c>
      <c r="AQ517" s="217">
        <v>70.132900000000006</v>
      </c>
      <c r="AR517" s="217" t="b">
        <v>0</v>
      </c>
      <c r="AS517" s="215" t="s">
        <v>534</v>
      </c>
    </row>
    <row r="518" spans="2:45" s="219" customFormat="1" x14ac:dyDescent="0.25">
      <c r="B518" s="218"/>
      <c r="C518" s="218"/>
      <c r="D518" s="218"/>
      <c r="E518" s="218"/>
      <c r="F518" s="218"/>
      <c r="G518" s="218"/>
      <c r="H518" s="218"/>
      <c r="I518" s="218"/>
      <c r="J518" s="218"/>
      <c r="K518" s="221"/>
      <c r="L518" s="215"/>
      <c r="M518" s="215"/>
      <c r="N518" s="215"/>
      <c r="O518" s="216"/>
      <c r="P518" s="215"/>
      <c r="Q518" s="217"/>
      <c r="R518" s="215"/>
      <c r="S518" s="215"/>
      <c r="T518" s="215"/>
      <c r="U518" s="215"/>
      <c r="V518" s="217"/>
      <c r="W518" s="217"/>
      <c r="X518" s="217"/>
      <c r="Y518" s="217"/>
      <c r="Z518" s="217"/>
      <c r="AA518" s="215"/>
      <c r="AB518" s="215"/>
      <c r="AC518" s="215"/>
      <c r="AD518" s="217">
        <v>1.2195149999999999</v>
      </c>
      <c r="AE518" s="217">
        <v>438</v>
      </c>
      <c r="AF518" s="217">
        <v>8.6278000000000006</v>
      </c>
      <c r="AG518" s="217">
        <v>-99</v>
      </c>
      <c r="AH518" s="215" t="s">
        <v>224</v>
      </c>
      <c r="AI518" s="215" t="s">
        <v>449</v>
      </c>
      <c r="AJ518" s="215" t="s">
        <v>265</v>
      </c>
      <c r="AK518" s="215" t="s">
        <v>531</v>
      </c>
      <c r="AL518" s="215" t="s">
        <v>374</v>
      </c>
      <c r="AM518" s="217" t="b">
        <v>1</v>
      </c>
      <c r="AN518" s="217" t="b">
        <v>0</v>
      </c>
      <c r="AO518" s="215" t="s">
        <v>266</v>
      </c>
      <c r="AP518" s="215" t="s">
        <v>267</v>
      </c>
      <c r="AQ518" s="217">
        <v>30.069040000000005</v>
      </c>
      <c r="AR518" s="217" t="b">
        <v>1</v>
      </c>
      <c r="AS518" s="215" t="s">
        <v>534</v>
      </c>
    </row>
    <row r="519" spans="2:45" s="219" customFormat="1" x14ac:dyDescent="0.25">
      <c r="B519" s="218"/>
      <c r="C519" s="218"/>
      <c r="D519" s="218"/>
      <c r="E519" s="218"/>
      <c r="F519" s="218"/>
      <c r="G519" s="218"/>
      <c r="H519" s="218"/>
      <c r="I519" s="218"/>
      <c r="J519" s="218"/>
      <c r="K519" s="221"/>
      <c r="L519" s="215"/>
      <c r="M519" s="215"/>
      <c r="N519" s="215"/>
      <c r="O519" s="216"/>
      <c r="P519" s="215"/>
      <c r="Q519" s="217"/>
      <c r="R519" s="215"/>
      <c r="S519" s="215"/>
      <c r="T519" s="215"/>
      <c r="U519" s="215"/>
      <c r="V519" s="217"/>
      <c r="W519" s="217"/>
      <c r="X519" s="217"/>
      <c r="Y519" s="217"/>
      <c r="Z519" s="217"/>
      <c r="AA519" s="215"/>
      <c r="AB519" s="215"/>
      <c r="AC519" s="215"/>
      <c r="AD519" s="217">
        <v>1.2195149999999999</v>
      </c>
      <c r="AE519" s="217">
        <v>449</v>
      </c>
      <c r="AF519" s="217">
        <v>0.50519999999999998</v>
      </c>
      <c r="AG519" s="217">
        <v>-99</v>
      </c>
      <c r="AH519" s="215" t="s">
        <v>224</v>
      </c>
      <c r="AI519" s="215" t="s">
        <v>449</v>
      </c>
      <c r="AJ519" s="215" t="s">
        <v>337</v>
      </c>
      <c r="AK519" s="215" t="s">
        <v>531</v>
      </c>
      <c r="AL519" s="215" t="s">
        <v>394</v>
      </c>
      <c r="AM519" s="217" t="b">
        <v>1</v>
      </c>
      <c r="AN519" s="217" t="b">
        <v>1</v>
      </c>
      <c r="AO519" s="215" t="s">
        <v>338</v>
      </c>
      <c r="AP519" s="215" t="s">
        <v>339</v>
      </c>
      <c r="AQ519" s="217">
        <v>106.16500000000001</v>
      </c>
      <c r="AR519" s="217" t="b">
        <v>0</v>
      </c>
      <c r="AS519" s="215" t="s">
        <v>534</v>
      </c>
    </row>
    <row r="520" spans="2:45" s="219" customFormat="1" x14ac:dyDescent="0.25">
      <c r="B520" s="218"/>
      <c r="C520" s="218"/>
      <c r="D520" s="218"/>
      <c r="E520" s="218"/>
      <c r="F520" s="218"/>
      <c r="G520" s="218"/>
      <c r="H520" s="218"/>
      <c r="I520" s="218"/>
      <c r="J520" s="218"/>
      <c r="K520" s="221"/>
      <c r="L520" s="215"/>
      <c r="M520" s="215"/>
      <c r="N520" s="215"/>
      <c r="O520" s="216"/>
      <c r="P520" s="215"/>
      <c r="Q520" s="217"/>
      <c r="R520" s="215"/>
      <c r="S520" s="215"/>
      <c r="T520" s="215"/>
      <c r="U520" s="215"/>
      <c r="V520" s="217"/>
      <c r="W520" s="217"/>
      <c r="X520" s="217"/>
      <c r="Y520" s="217"/>
      <c r="Z520" s="217"/>
      <c r="AA520" s="215"/>
      <c r="AB520" s="215"/>
      <c r="AC520" s="215"/>
      <c r="AD520" s="217">
        <v>1.2195149999999999</v>
      </c>
      <c r="AE520" s="217">
        <v>491</v>
      </c>
      <c r="AF520" s="217">
        <v>7.6645000000000003</v>
      </c>
      <c r="AG520" s="217">
        <v>-99</v>
      </c>
      <c r="AH520" s="215" t="s">
        <v>224</v>
      </c>
      <c r="AI520" s="215" t="s">
        <v>449</v>
      </c>
      <c r="AJ520" s="215" t="s">
        <v>268</v>
      </c>
      <c r="AK520" s="215" t="s">
        <v>531</v>
      </c>
      <c r="AL520" s="215" t="s">
        <v>375</v>
      </c>
      <c r="AM520" s="217" t="b">
        <v>1</v>
      </c>
      <c r="AN520" s="217" t="b">
        <v>0</v>
      </c>
      <c r="AO520" s="215" t="s">
        <v>269</v>
      </c>
      <c r="AP520" s="215" t="s">
        <v>270</v>
      </c>
      <c r="AQ520" s="217">
        <v>58.122199999999992</v>
      </c>
      <c r="AR520" s="217" t="b">
        <v>0</v>
      </c>
      <c r="AS520" s="215" t="s">
        <v>534</v>
      </c>
    </row>
    <row r="521" spans="2:45" s="219" customFormat="1" x14ac:dyDescent="0.25">
      <c r="B521" s="218"/>
      <c r="C521" s="218"/>
      <c r="D521" s="218"/>
      <c r="E521" s="218"/>
      <c r="F521" s="218"/>
      <c r="G521" s="218"/>
      <c r="H521" s="218"/>
      <c r="I521" s="218"/>
      <c r="J521" s="218"/>
      <c r="K521" s="221"/>
      <c r="L521" s="215"/>
      <c r="M521" s="215"/>
      <c r="N521" s="215"/>
      <c r="O521" s="216"/>
      <c r="P521" s="215"/>
      <c r="Q521" s="217"/>
      <c r="R521" s="215"/>
      <c r="S521" s="215"/>
      <c r="T521" s="215"/>
      <c r="U521" s="215"/>
      <c r="V521" s="217"/>
      <c r="W521" s="217"/>
      <c r="X521" s="217"/>
      <c r="Y521" s="217"/>
      <c r="Z521" s="217"/>
      <c r="AA521" s="215"/>
      <c r="AB521" s="215"/>
      <c r="AC521" s="215"/>
      <c r="AD521" s="217">
        <v>1.2195149999999999</v>
      </c>
      <c r="AE521" s="217">
        <v>499</v>
      </c>
      <c r="AF521" s="217">
        <v>6.08E-2</v>
      </c>
      <c r="AG521" s="217">
        <v>-99</v>
      </c>
      <c r="AH521" s="215" t="s">
        <v>224</v>
      </c>
      <c r="AI521" s="215" t="s">
        <v>449</v>
      </c>
      <c r="AJ521" s="215" t="s">
        <v>531</v>
      </c>
      <c r="AK521" s="215" t="s">
        <v>642</v>
      </c>
      <c r="AL521" s="215" t="s">
        <v>643</v>
      </c>
      <c r="AM521" s="217" t="b">
        <v>0</v>
      </c>
      <c r="AN521" s="217" t="b">
        <v>0</v>
      </c>
      <c r="AO521" s="215" t="s">
        <v>644</v>
      </c>
      <c r="AP521" s="215" t="s">
        <v>531</v>
      </c>
      <c r="AQ521" s="217">
        <v>134.21816000000001</v>
      </c>
      <c r="AR521" s="217" t="b">
        <v>0</v>
      </c>
      <c r="AS521" s="215" t="s">
        <v>534</v>
      </c>
    </row>
    <row r="522" spans="2:45" s="219" customFormat="1" x14ac:dyDescent="0.25">
      <c r="B522" s="218"/>
      <c r="C522" s="218"/>
      <c r="D522" s="218"/>
      <c r="E522" s="218"/>
      <c r="F522" s="218"/>
      <c r="G522" s="218"/>
      <c r="H522" s="218"/>
      <c r="I522" s="218"/>
      <c r="J522" s="218"/>
      <c r="K522" s="221"/>
      <c r="L522" s="215"/>
      <c r="M522" s="215"/>
      <c r="N522" s="215"/>
      <c r="O522" s="216"/>
      <c r="P522" s="215"/>
      <c r="Q522" s="217"/>
      <c r="R522" s="215"/>
      <c r="S522" s="215"/>
      <c r="T522" s="215"/>
      <c r="U522" s="215"/>
      <c r="V522" s="217"/>
      <c r="W522" s="217"/>
      <c r="X522" s="217"/>
      <c r="Y522" s="217"/>
      <c r="Z522" s="217"/>
      <c r="AA522" s="215"/>
      <c r="AB522" s="215"/>
      <c r="AC522" s="215"/>
      <c r="AD522" s="217">
        <v>1.2195149999999999</v>
      </c>
      <c r="AE522" s="217">
        <v>508</v>
      </c>
      <c r="AF522" s="217">
        <v>8.6462000000000003</v>
      </c>
      <c r="AG522" s="217">
        <v>-99</v>
      </c>
      <c r="AH522" s="215" t="s">
        <v>224</v>
      </c>
      <c r="AI522" s="215" t="s">
        <v>449</v>
      </c>
      <c r="AJ522" s="215" t="s">
        <v>342</v>
      </c>
      <c r="AK522" s="215" t="s">
        <v>531</v>
      </c>
      <c r="AL522" s="215" t="s">
        <v>395</v>
      </c>
      <c r="AM522" s="217" t="b">
        <v>1</v>
      </c>
      <c r="AN522" s="217" t="b">
        <v>0</v>
      </c>
      <c r="AO522" s="215" t="s">
        <v>343</v>
      </c>
      <c r="AP522" s="215" t="s">
        <v>344</v>
      </c>
      <c r="AQ522" s="217">
        <v>72.148780000000002</v>
      </c>
      <c r="AR522" s="217" t="b">
        <v>0</v>
      </c>
      <c r="AS522" s="215" t="s">
        <v>534</v>
      </c>
    </row>
    <row r="523" spans="2:45" s="219" customFormat="1" x14ac:dyDescent="0.25">
      <c r="B523" s="218"/>
      <c r="C523" s="218"/>
      <c r="D523" s="218"/>
      <c r="E523" s="218"/>
      <c r="F523" s="218"/>
      <c r="G523" s="218"/>
      <c r="H523" s="218"/>
      <c r="I523" s="218"/>
      <c r="J523" s="218"/>
      <c r="K523" s="221"/>
      <c r="L523" s="215"/>
      <c r="M523" s="215"/>
      <c r="N523" s="215"/>
      <c r="O523" s="216"/>
      <c r="P523" s="215"/>
      <c r="Q523" s="217"/>
      <c r="R523" s="215"/>
      <c r="S523" s="215"/>
      <c r="T523" s="215"/>
      <c r="U523" s="215"/>
      <c r="V523" s="217"/>
      <c r="W523" s="217"/>
      <c r="X523" s="217"/>
      <c r="Y523" s="217"/>
      <c r="Z523" s="217"/>
      <c r="AA523" s="215"/>
      <c r="AB523" s="215"/>
      <c r="AC523" s="215"/>
      <c r="AD523" s="217">
        <v>1.2195149999999999</v>
      </c>
      <c r="AE523" s="217">
        <v>514</v>
      </c>
      <c r="AF523" s="217">
        <v>5.16E-2</v>
      </c>
      <c r="AG523" s="217">
        <v>-99</v>
      </c>
      <c r="AH523" s="215" t="s">
        <v>224</v>
      </c>
      <c r="AI523" s="215" t="s">
        <v>449</v>
      </c>
      <c r="AJ523" s="215" t="s">
        <v>362</v>
      </c>
      <c r="AK523" s="215" t="s">
        <v>531</v>
      </c>
      <c r="AL523" s="215" t="s">
        <v>399</v>
      </c>
      <c r="AM523" s="217" t="b">
        <v>1</v>
      </c>
      <c r="AN523" s="217" t="b">
        <v>1</v>
      </c>
      <c r="AO523" s="215" t="s">
        <v>363</v>
      </c>
      <c r="AP523" s="215" t="s">
        <v>364</v>
      </c>
      <c r="AQ523" s="217">
        <v>120.19158</v>
      </c>
      <c r="AR523" s="217" t="b">
        <v>0</v>
      </c>
      <c r="AS523" s="215" t="s">
        <v>534</v>
      </c>
    </row>
    <row r="524" spans="2:45" s="219" customFormat="1" x14ac:dyDescent="0.25">
      <c r="B524" s="218"/>
      <c r="C524" s="218"/>
      <c r="D524" s="218"/>
      <c r="E524" s="218"/>
      <c r="F524" s="218"/>
      <c r="G524" s="218"/>
      <c r="H524" s="218"/>
      <c r="I524" s="218"/>
      <c r="J524" s="218"/>
      <c r="K524" s="221"/>
      <c r="L524" s="215"/>
      <c r="M524" s="215"/>
      <c r="N524" s="215"/>
      <c r="O524" s="216"/>
      <c r="P524" s="215"/>
      <c r="Q524" s="217"/>
      <c r="R524" s="215"/>
      <c r="S524" s="215"/>
      <c r="T524" s="215"/>
      <c r="U524" s="215"/>
      <c r="V524" s="217"/>
      <c r="W524" s="217"/>
      <c r="X524" s="217"/>
      <c r="Y524" s="217"/>
      <c r="Z524" s="217"/>
      <c r="AA524" s="215"/>
      <c r="AB524" s="215"/>
      <c r="AC524" s="215"/>
      <c r="AD524" s="217">
        <v>1.2195149999999999</v>
      </c>
      <c r="AE524" s="217">
        <v>524</v>
      </c>
      <c r="AF524" s="217">
        <v>0.58320000000000005</v>
      </c>
      <c r="AG524" s="217">
        <v>-99</v>
      </c>
      <c r="AH524" s="215" t="s">
        <v>224</v>
      </c>
      <c r="AI524" s="215" t="s">
        <v>449</v>
      </c>
      <c r="AJ524" s="215" t="s">
        <v>436</v>
      </c>
      <c r="AK524" s="215" t="s">
        <v>531</v>
      </c>
      <c r="AL524" s="215" t="s">
        <v>460</v>
      </c>
      <c r="AM524" s="217" t="b">
        <v>0</v>
      </c>
      <c r="AN524" s="217" t="b">
        <v>1</v>
      </c>
      <c r="AO524" s="215" t="s">
        <v>437</v>
      </c>
      <c r="AP524" s="215" t="s">
        <v>438</v>
      </c>
      <c r="AQ524" s="217">
        <v>106.16500000000001</v>
      </c>
      <c r="AR524" s="217" t="b">
        <v>0</v>
      </c>
      <c r="AS524" s="215" t="s">
        <v>534</v>
      </c>
    </row>
    <row r="525" spans="2:45" s="219" customFormat="1" x14ac:dyDescent="0.25">
      <c r="B525" s="218"/>
      <c r="C525" s="218"/>
      <c r="D525" s="218"/>
      <c r="E525" s="218"/>
      <c r="F525" s="218"/>
      <c r="G525" s="218"/>
      <c r="H525" s="218"/>
      <c r="I525" s="218"/>
      <c r="J525" s="218"/>
      <c r="K525" s="221"/>
      <c r="L525" s="215"/>
      <c r="M525" s="215"/>
      <c r="N525" s="215"/>
      <c r="O525" s="216"/>
      <c r="P525" s="215"/>
      <c r="Q525" s="217"/>
      <c r="R525" s="215"/>
      <c r="S525" s="215"/>
      <c r="T525" s="215"/>
      <c r="U525" s="215"/>
      <c r="V525" s="217"/>
      <c r="W525" s="217"/>
      <c r="X525" s="217"/>
      <c r="Y525" s="217"/>
      <c r="Z525" s="217"/>
      <c r="AA525" s="215"/>
      <c r="AB525" s="215"/>
      <c r="AC525" s="215"/>
      <c r="AD525" s="217">
        <v>1.2195149999999999</v>
      </c>
      <c r="AE525" s="217">
        <v>529</v>
      </c>
      <c r="AF525" s="217">
        <v>9.3724000000000007</v>
      </c>
      <c r="AG525" s="217">
        <v>-99</v>
      </c>
      <c r="AH525" s="215" t="s">
        <v>224</v>
      </c>
      <c r="AI525" s="215" t="s">
        <v>449</v>
      </c>
      <c r="AJ525" s="215" t="s">
        <v>271</v>
      </c>
      <c r="AK525" s="215" t="s">
        <v>531</v>
      </c>
      <c r="AL525" s="215" t="s">
        <v>376</v>
      </c>
      <c r="AM525" s="217" t="b">
        <v>0</v>
      </c>
      <c r="AN525" s="217" t="b">
        <v>0</v>
      </c>
      <c r="AO525" s="215" t="s">
        <v>272</v>
      </c>
      <c r="AP525" s="215" t="s">
        <v>531</v>
      </c>
      <c r="AQ525" s="217">
        <v>16.042459999999998</v>
      </c>
      <c r="AR525" s="217" t="b">
        <v>1</v>
      </c>
      <c r="AS525" s="215" t="s">
        <v>534</v>
      </c>
    </row>
    <row r="526" spans="2:45" s="219" customFormat="1" x14ac:dyDescent="0.25">
      <c r="B526" s="218"/>
      <c r="C526" s="218"/>
      <c r="D526" s="218"/>
      <c r="E526" s="218"/>
      <c r="F526" s="218"/>
      <c r="G526" s="218"/>
      <c r="H526" s="218"/>
      <c r="I526" s="218"/>
      <c r="J526" s="218"/>
      <c r="K526" s="221"/>
      <c r="L526" s="215"/>
      <c r="M526" s="215"/>
      <c r="N526" s="215"/>
      <c r="O526" s="216"/>
      <c r="P526" s="215"/>
      <c r="Q526" s="217"/>
      <c r="R526" s="215"/>
      <c r="S526" s="215"/>
      <c r="T526" s="215"/>
      <c r="U526" s="215"/>
      <c r="V526" s="217"/>
      <c r="W526" s="217"/>
      <c r="X526" s="217"/>
      <c r="Y526" s="217"/>
      <c r="Z526" s="217"/>
      <c r="AA526" s="215"/>
      <c r="AB526" s="215"/>
      <c r="AC526" s="215"/>
      <c r="AD526" s="217">
        <v>1.2195149999999999</v>
      </c>
      <c r="AE526" s="217">
        <v>550</v>
      </c>
      <c r="AF526" s="217">
        <v>2.0390999999999999</v>
      </c>
      <c r="AG526" s="217">
        <v>-99</v>
      </c>
      <c r="AH526" s="215" t="s">
        <v>224</v>
      </c>
      <c r="AI526" s="215" t="s">
        <v>449</v>
      </c>
      <c r="AJ526" s="215" t="s">
        <v>348</v>
      </c>
      <c r="AK526" s="215" t="s">
        <v>531</v>
      </c>
      <c r="AL526" s="215" t="s">
        <v>396</v>
      </c>
      <c r="AM526" s="217" t="b">
        <v>1</v>
      </c>
      <c r="AN526" s="217" t="b">
        <v>0</v>
      </c>
      <c r="AO526" s="215" t="s">
        <v>349</v>
      </c>
      <c r="AP526" s="215" t="s">
        <v>350</v>
      </c>
      <c r="AQ526" s="217">
        <v>98.186059999999998</v>
      </c>
      <c r="AR526" s="217" t="b">
        <v>0</v>
      </c>
      <c r="AS526" s="215" t="s">
        <v>534</v>
      </c>
    </row>
    <row r="527" spans="2:45" s="219" customFormat="1" x14ac:dyDescent="0.25">
      <c r="B527" s="218"/>
      <c r="C527" s="218"/>
      <c r="D527" s="218"/>
      <c r="E527" s="218"/>
      <c r="F527" s="218"/>
      <c r="G527" s="218"/>
      <c r="H527" s="218"/>
      <c r="I527" s="218"/>
      <c r="J527" s="218"/>
      <c r="K527" s="221"/>
      <c r="L527" s="215"/>
      <c r="M527" s="215"/>
      <c r="N527" s="215"/>
      <c r="O527" s="216"/>
      <c r="P527" s="215"/>
      <c r="Q527" s="217"/>
      <c r="R527" s="215"/>
      <c r="S527" s="215"/>
      <c r="T527" s="215"/>
      <c r="U527" s="215"/>
      <c r="V527" s="217"/>
      <c r="W527" s="217"/>
      <c r="X527" s="217"/>
      <c r="Y527" s="217"/>
      <c r="Z527" s="217"/>
      <c r="AA527" s="215"/>
      <c r="AB527" s="215"/>
      <c r="AC527" s="215"/>
      <c r="AD527" s="217">
        <v>1.2195149999999999</v>
      </c>
      <c r="AE527" s="217">
        <v>551</v>
      </c>
      <c r="AF527" s="217">
        <v>3.1383000000000001</v>
      </c>
      <c r="AG527" s="217">
        <v>-99</v>
      </c>
      <c r="AH527" s="215" t="s">
        <v>224</v>
      </c>
      <c r="AI527" s="215" t="s">
        <v>449</v>
      </c>
      <c r="AJ527" s="215" t="s">
        <v>351</v>
      </c>
      <c r="AK527" s="215" t="s">
        <v>531</v>
      </c>
      <c r="AL527" s="215" t="s">
        <v>397</v>
      </c>
      <c r="AM527" s="217" t="b">
        <v>1</v>
      </c>
      <c r="AN527" s="217" t="b">
        <v>0</v>
      </c>
      <c r="AO527" s="215" t="s">
        <v>352</v>
      </c>
      <c r="AP527" s="215" t="s">
        <v>353</v>
      </c>
      <c r="AQ527" s="217">
        <v>84.159480000000002</v>
      </c>
      <c r="AR527" s="217" t="b">
        <v>0</v>
      </c>
      <c r="AS527" s="215" t="s">
        <v>534</v>
      </c>
    </row>
    <row r="528" spans="2:45" s="219" customFormat="1" x14ac:dyDescent="0.25">
      <c r="B528" s="218"/>
      <c r="C528" s="218"/>
      <c r="D528" s="218"/>
      <c r="E528" s="218"/>
      <c r="F528" s="218"/>
      <c r="G528" s="218"/>
      <c r="H528" s="218"/>
      <c r="I528" s="218"/>
      <c r="J528" s="218"/>
      <c r="K528" s="221"/>
      <c r="L528" s="215"/>
      <c r="M528" s="215"/>
      <c r="N528" s="215"/>
      <c r="O528" s="216"/>
      <c r="P528" s="215"/>
      <c r="Q528" s="217"/>
      <c r="R528" s="215"/>
      <c r="S528" s="215"/>
      <c r="T528" s="215"/>
      <c r="U528" s="215"/>
      <c r="V528" s="217"/>
      <c r="W528" s="217"/>
      <c r="X528" s="217"/>
      <c r="Y528" s="217"/>
      <c r="Z528" s="217"/>
      <c r="AA528" s="215"/>
      <c r="AB528" s="215"/>
      <c r="AC528" s="215"/>
      <c r="AD528" s="217">
        <v>1.2195149999999999</v>
      </c>
      <c r="AE528" s="217">
        <v>592</v>
      </c>
      <c r="AF528" s="217">
        <v>14.286099999999999</v>
      </c>
      <c r="AG528" s="217">
        <v>-99</v>
      </c>
      <c r="AH528" s="215" t="s">
        <v>224</v>
      </c>
      <c r="AI528" s="215" t="s">
        <v>449</v>
      </c>
      <c r="AJ528" s="215" t="s">
        <v>273</v>
      </c>
      <c r="AK528" s="215" t="s">
        <v>531</v>
      </c>
      <c r="AL528" s="215" t="s">
        <v>377</v>
      </c>
      <c r="AM528" s="217" t="b">
        <v>1</v>
      </c>
      <c r="AN528" s="217" t="b">
        <v>0</v>
      </c>
      <c r="AO528" s="215" t="s">
        <v>274</v>
      </c>
      <c r="AP528" s="215" t="s">
        <v>275</v>
      </c>
      <c r="AQ528" s="217">
        <v>58.122199999999992</v>
      </c>
      <c r="AR528" s="217" t="b">
        <v>0</v>
      </c>
      <c r="AS528" s="215" t="s">
        <v>534</v>
      </c>
    </row>
    <row r="529" spans="2:45" s="219" customFormat="1" x14ac:dyDescent="0.25">
      <c r="B529" s="218"/>
      <c r="C529" s="218"/>
      <c r="D529" s="218"/>
      <c r="E529" s="218"/>
      <c r="F529" s="218"/>
      <c r="G529" s="218"/>
      <c r="H529" s="218"/>
      <c r="I529" s="218"/>
      <c r="J529" s="218"/>
      <c r="K529" s="221"/>
      <c r="L529" s="215"/>
      <c r="M529" s="215"/>
      <c r="N529" s="215"/>
      <c r="O529" s="216"/>
      <c r="P529" s="215"/>
      <c r="Q529" s="217"/>
      <c r="R529" s="215"/>
      <c r="S529" s="215"/>
      <c r="T529" s="215"/>
      <c r="U529" s="215"/>
      <c r="V529" s="217"/>
      <c r="W529" s="217"/>
      <c r="X529" s="217"/>
      <c r="Y529" s="217"/>
      <c r="Z529" s="217"/>
      <c r="AA529" s="215"/>
      <c r="AB529" s="215"/>
      <c r="AC529" s="215"/>
      <c r="AD529" s="217">
        <v>1.2195149999999999</v>
      </c>
      <c r="AE529" s="217">
        <v>600</v>
      </c>
      <c r="AF529" s="217">
        <v>1.0401</v>
      </c>
      <c r="AG529" s="217">
        <v>-99</v>
      </c>
      <c r="AH529" s="215" t="s">
        <v>224</v>
      </c>
      <c r="AI529" s="215" t="s">
        <v>449</v>
      </c>
      <c r="AJ529" s="215" t="s">
        <v>276</v>
      </c>
      <c r="AK529" s="215" t="s">
        <v>531</v>
      </c>
      <c r="AL529" s="215" t="s">
        <v>378</v>
      </c>
      <c r="AM529" s="217" t="b">
        <v>1</v>
      </c>
      <c r="AN529" s="217" t="b">
        <v>0</v>
      </c>
      <c r="AO529" s="215" t="s">
        <v>277</v>
      </c>
      <c r="AP529" s="215" t="s">
        <v>278</v>
      </c>
      <c r="AQ529" s="217">
        <v>100.20194000000001</v>
      </c>
      <c r="AR529" s="217" t="b">
        <v>0</v>
      </c>
      <c r="AS529" s="215" t="s">
        <v>534</v>
      </c>
    </row>
    <row r="530" spans="2:45" s="219" customFormat="1" x14ac:dyDescent="0.25">
      <c r="B530" s="218"/>
      <c r="C530" s="218"/>
      <c r="D530" s="218"/>
      <c r="E530" s="218"/>
      <c r="F530" s="218"/>
      <c r="G530" s="218"/>
      <c r="H530" s="218"/>
      <c r="I530" s="218"/>
      <c r="J530" s="218"/>
      <c r="K530" s="221"/>
      <c r="L530" s="215"/>
      <c r="M530" s="215"/>
      <c r="N530" s="215"/>
      <c r="O530" s="216"/>
      <c r="P530" s="215"/>
      <c r="Q530" s="217"/>
      <c r="R530" s="215"/>
      <c r="S530" s="215"/>
      <c r="T530" s="215"/>
      <c r="U530" s="215"/>
      <c r="V530" s="217"/>
      <c r="W530" s="217"/>
      <c r="X530" s="217"/>
      <c r="Y530" s="217"/>
      <c r="Z530" s="217"/>
      <c r="AA530" s="215"/>
      <c r="AB530" s="215"/>
      <c r="AC530" s="215"/>
      <c r="AD530" s="217">
        <v>1.2195149999999999</v>
      </c>
      <c r="AE530" s="217">
        <v>601</v>
      </c>
      <c r="AF530" s="217">
        <v>1.9154</v>
      </c>
      <c r="AG530" s="217">
        <v>-99</v>
      </c>
      <c r="AH530" s="215" t="s">
        <v>224</v>
      </c>
      <c r="AI530" s="215" t="s">
        <v>449</v>
      </c>
      <c r="AJ530" s="215" t="s">
        <v>279</v>
      </c>
      <c r="AK530" s="215" t="s">
        <v>531</v>
      </c>
      <c r="AL530" s="215" t="s">
        <v>379</v>
      </c>
      <c r="AM530" s="217" t="b">
        <v>1</v>
      </c>
      <c r="AN530" s="217" t="b">
        <v>1</v>
      </c>
      <c r="AO530" s="215" t="s">
        <v>280</v>
      </c>
      <c r="AP530" s="215" t="s">
        <v>281</v>
      </c>
      <c r="AQ530" s="217">
        <v>86.175359999999998</v>
      </c>
      <c r="AR530" s="217" t="b">
        <v>0</v>
      </c>
      <c r="AS530" s="215" t="s">
        <v>534</v>
      </c>
    </row>
    <row r="531" spans="2:45" s="219" customFormat="1" x14ac:dyDescent="0.25">
      <c r="B531" s="218"/>
      <c r="C531" s="218"/>
      <c r="D531" s="218"/>
      <c r="E531" s="218"/>
      <c r="F531" s="218"/>
      <c r="G531" s="218"/>
      <c r="H531" s="218"/>
      <c r="I531" s="218"/>
      <c r="J531" s="218"/>
      <c r="K531" s="221"/>
      <c r="L531" s="215"/>
      <c r="M531" s="215"/>
      <c r="N531" s="215"/>
      <c r="O531" s="216"/>
      <c r="P531" s="215"/>
      <c r="Q531" s="217"/>
      <c r="R531" s="215"/>
      <c r="S531" s="215"/>
      <c r="T531" s="215"/>
      <c r="U531" s="215"/>
      <c r="V531" s="217"/>
      <c r="W531" s="217"/>
      <c r="X531" s="217"/>
      <c r="Y531" s="217"/>
      <c r="Z531" s="217"/>
      <c r="AA531" s="215"/>
      <c r="AB531" s="215"/>
      <c r="AC531" s="215"/>
      <c r="AD531" s="217">
        <v>1.2195149999999999</v>
      </c>
      <c r="AE531" s="217">
        <v>603</v>
      </c>
      <c r="AF531" s="217">
        <v>0.35249999999999998</v>
      </c>
      <c r="AG531" s="217">
        <v>-99</v>
      </c>
      <c r="AH531" s="215" t="s">
        <v>224</v>
      </c>
      <c r="AI531" s="215" t="s">
        <v>449</v>
      </c>
      <c r="AJ531" s="215" t="s">
        <v>417</v>
      </c>
      <c r="AK531" s="215" t="s">
        <v>531</v>
      </c>
      <c r="AL531" s="215" t="s">
        <v>453</v>
      </c>
      <c r="AM531" s="217" t="b">
        <v>1</v>
      </c>
      <c r="AN531" s="217" t="b">
        <v>0</v>
      </c>
      <c r="AO531" s="215" t="s">
        <v>418</v>
      </c>
      <c r="AP531" s="215" t="s">
        <v>419</v>
      </c>
      <c r="AQ531" s="217">
        <v>128.2551</v>
      </c>
      <c r="AR531" s="217" t="b">
        <v>0</v>
      </c>
      <c r="AS531" s="215" t="s">
        <v>534</v>
      </c>
    </row>
    <row r="532" spans="2:45" s="219" customFormat="1" x14ac:dyDescent="0.25">
      <c r="B532" s="218"/>
      <c r="C532" s="218"/>
      <c r="D532" s="218"/>
      <c r="E532" s="218"/>
      <c r="F532" s="218"/>
      <c r="G532" s="218"/>
      <c r="H532" s="218"/>
      <c r="I532" s="218"/>
      <c r="J532" s="218"/>
      <c r="K532" s="221"/>
      <c r="L532" s="215"/>
      <c r="M532" s="215"/>
      <c r="N532" s="215"/>
      <c r="O532" s="216"/>
      <c r="P532" s="215"/>
      <c r="Q532" s="217"/>
      <c r="R532" s="215"/>
      <c r="S532" s="215"/>
      <c r="T532" s="215"/>
      <c r="U532" s="215"/>
      <c r="V532" s="217"/>
      <c r="W532" s="217"/>
      <c r="X532" s="217"/>
      <c r="Y532" s="217"/>
      <c r="Z532" s="217"/>
      <c r="AA532" s="215"/>
      <c r="AB532" s="215"/>
      <c r="AC532" s="215"/>
      <c r="AD532" s="217">
        <v>1.2195149999999999</v>
      </c>
      <c r="AE532" s="217">
        <v>604</v>
      </c>
      <c r="AF532" s="217">
        <v>0.67269999999999996</v>
      </c>
      <c r="AG532" s="217">
        <v>-99</v>
      </c>
      <c r="AH532" s="215" t="s">
        <v>224</v>
      </c>
      <c r="AI532" s="215" t="s">
        <v>449</v>
      </c>
      <c r="AJ532" s="215" t="s">
        <v>282</v>
      </c>
      <c r="AK532" s="215" t="s">
        <v>531</v>
      </c>
      <c r="AL532" s="215" t="s">
        <v>380</v>
      </c>
      <c r="AM532" s="217" t="b">
        <v>1</v>
      </c>
      <c r="AN532" s="217" t="b">
        <v>0</v>
      </c>
      <c r="AO532" s="215" t="s">
        <v>283</v>
      </c>
      <c r="AP532" s="215" t="s">
        <v>284</v>
      </c>
      <c r="AQ532" s="217">
        <v>114.22852</v>
      </c>
      <c r="AR532" s="217" t="b">
        <v>0</v>
      </c>
      <c r="AS532" s="215" t="s">
        <v>534</v>
      </c>
    </row>
    <row r="533" spans="2:45" s="219" customFormat="1" x14ac:dyDescent="0.25">
      <c r="B533" s="218"/>
      <c r="C533" s="218"/>
      <c r="D533" s="218"/>
      <c r="E533" s="218"/>
      <c r="F533" s="218"/>
      <c r="G533" s="218"/>
      <c r="H533" s="218"/>
      <c r="I533" s="218"/>
      <c r="J533" s="218"/>
      <c r="K533" s="221"/>
      <c r="L533" s="215"/>
      <c r="M533" s="215"/>
      <c r="N533" s="215"/>
      <c r="O533" s="216"/>
      <c r="P533" s="215"/>
      <c r="Q533" s="217"/>
      <c r="R533" s="215"/>
      <c r="S533" s="215"/>
      <c r="T533" s="215"/>
      <c r="U533" s="215"/>
      <c r="V533" s="217"/>
      <c r="W533" s="217"/>
      <c r="X533" s="217"/>
      <c r="Y533" s="217"/>
      <c r="Z533" s="217"/>
      <c r="AA533" s="215"/>
      <c r="AB533" s="215"/>
      <c r="AC533" s="215"/>
      <c r="AD533" s="217">
        <v>1.2195149999999999</v>
      </c>
      <c r="AE533" s="217">
        <v>605</v>
      </c>
      <c r="AF533" s="217">
        <v>5.4645000000000001</v>
      </c>
      <c r="AG533" s="217">
        <v>-99</v>
      </c>
      <c r="AH533" s="215" t="s">
        <v>224</v>
      </c>
      <c r="AI533" s="215" t="s">
        <v>449</v>
      </c>
      <c r="AJ533" s="215" t="s">
        <v>285</v>
      </c>
      <c r="AK533" s="215" t="s">
        <v>531</v>
      </c>
      <c r="AL533" s="215" t="s">
        <v>381</v>
      </c>
      <c r="AM533" s="217" t="b">
        <v>1</v>
      </c>
      <c r="AN533" s="217" t="b">
        <v>0</v>
      </c>
      <c r="AO533" s="215" t="s">
        <v>286</v>
      </c>
      <c r="AP533" s="215" t="s">
        <v>287</v>
      </c>
      <c r="AQ533" s="217">
        <v>72.148780000000002</v>
      </c>
      <c r="AR533" s="217" t="b">
        <v>0</v>
      </c>
      <c r="AS533" s="215" t="s">
        <v>534</v>
      </c>
    </row>
    <row r="534" spans="2:45" s="219" customFormat="1" x14ac:dyDescent="0.25">
      <c r="B534" s="218"/>
      <c r="C534" s="218"/>
      <c r="D534" s="218"/>
      <c r="E534" s="218"/>
      <c r="F534" s="218"/>
      <c r="G534" s="218"/>
      <c r="H534" s="218"/>
      <c r="I534" s="218"/>
      <c r="J534" s="218"/>
      <c r="K534" s="221"/>
      <c r="L534" s="215"/>
      <c r="M534" s="215"/>
      <c r="N534" s="215"/>
      <c r="O534" s="216"/>
      <c r="P534" s="215"/>
      <c r="Q534" s="217"/>
      <c r="R534" s="215"/>
      <c r="S534" s="215"/>
      <c r="T534" s="215"/>
      <c r="U534" s="215"/>
      <c r="V534" s="217"/>
      <c r="W534" s="217"/>
      <c r="X534" s="217"/>
      <c r="Y534" s="217"/>
      <c r="Z534" s="217"/>
      <c r="AA534" s="215"/>
      <c r="AB534" s="215"/>
      <c r="AC534" s="215"/>
      <c r="AD534" s="217">
        <v>1.2195149999999999</v>
      </c>
      <c r="AE534" s="217">
        <v>608</v>
      </c>
      <c r="AF534" s="217">
        <v>0.1527</v>
      </c>
      <c r="AG534" s="217">
        <v>-99</v>
      </c>
      <c r="AH534" s="215" t="s">
        <v>224</v>
      </c>
      <c r="AI534" s="215" t="s">
        <v>449</v>
      </c>
      <c r="AJ534" s="215" t="s">
        <v>420</v>
      </c>
      <c r="AK534" s="215" t="s">
        <v>531</v>
      </c>
      <c r="AL534" s="215" t="s">
        <v>454</v>
      </c>
      <c r="AM534" s="217" t="b">
        <v>1</v>
      </c>
      <c r="AN534" s="217" t="b">
        <v>0</v>
      </c>
      <c r="AO534" s="215" t="s">
        <v>421</v>
      </c>
      <c r="AP534" s="215" t="s">
        <v>422</v>
      </c>
      <c r="AQ534" s="217">
        <v>120.19158</v>
      </c>
      <c r="AR534" s="217" t="b">
        <v>0</v>
      </c>
      <c r="AS534" s="215" t="s">
        <v>534</v>
      </c>
    </row>
    <row r="535" spans="2:45" s="219" customFormat="1" x14ac:dyDescent="0.25">
      <c r="B535" s="218"/>
      <c r="C535" s="218"/>
      <c r="D535" s="218"/>
      <c r="E535" s="218"/>
      <c r="F535" s="218"/>
      <c r="G535" s="218"/>
      <c r="H535" s="218"/>
      <c r="I535" s="218"/>
      <c r="J535" s="218"/>
      <c r="K535" s="221"/>
      <c r="L535" s="215"/>
      <c r="M535" s="215"/>
      <c r="N535" s="215"/>
      <c r="O535" s="216"/>
      <c r="P535" s="215"/>
      <c r="Q535" s="217"/>
      <c r="R535" s="215"/>
      <c r="S535" s="215"/>
      <c r="T535" s="215"/>
      <c r="U535" s="215"/>
      <c r="V535" s="217"/>
      <c r="W535" s="217"/>
      <c r="X535" s="217"/>
      <c r="Y535" s="217"/>
      <c r="Z535" s="217"/>
      <c r="AA535" s="215"/>
      <c r="AB535" s="215"/>
      <c r="AC535" s="215"/>
      <c r="AD535" s="217">
        <v>1.2195149999999999</v>
      </c>
      <c r="AE535" s="217">
        <v>620</v>
      </c>
      <c r="AF535" s="217">
        <v>0.2485</v>
      </c>
      <c r="AG535" s="217">
        <v>-99</v>
      </c>
      <c r="AH535" s="215" t="s">
        <v>224</v>
      </c>
      <c r="AI535" s="215" t="s">
        <v>449</v>
      </c>
      <c r="AJ535" s="215" t="s">
        <v>354</v>
      </c>
      <c r="AK535" s="215" t="s">
        <v>531</v>
      </c>
      <c r="AL535" s="215" t="s">
        <v>398</v>
      </c>
      <c r="AM535" s="217" t="b">
        <v>1</v>
      </c>
      <c r="AN535" s="217" t="b">
        <v>1</v>
      </c>
      <c r="AO535" s="215" t="s">
        <v>355</v>
      </c>
      <c r="AP535" s="215" t="s">
        <v>356</v>
      </c>
      <c r="AQ535" s="217">
        <v>106.16500000000001</v>
      </c>
      <c r="AR535" s="217" t="b">
        <v>0</v>
      </c>
      <c r="AS535" s="215" t="s">
        <v>534</v>
      </c>
    </row>
    <row r="536" spans="2:45" s="219" customFormat="1" x14ac:dyDescent="0.25">
      <c r="B536" s="218"/>
      <c r="C536" s="218"/>
      <c r="D536" s="218"/>
      <c r="E536" s="218"/>
      <c r="F536" s="218"/>
      <c r="G536" s="218"/>
      <c r="H536" s="218"/>
      <c r="I536" s="218"/>
      <c r="J536" s="218"/>
      <c r="K536" s="221"/>
      <c r="L536" s="215"/>
      <c r="M536" s="215"/>
      <c r="N536" s="215"/>
      <c r="O536" s="216"/>
      <c r="P536" s="215"/>
      <c r="Q536" s="217"/>
      <c r="R536" s="215"/>
      <c r="S536" s="215"/>
      <c r="T536" s="215"/>
      <c r="U536" s="215"/>
      <c r="V536" s="217"/>
      <c r="W536" s="217"/>
      <c r="X536" s="217"/>
      <c r="Y536" s="217"/>
      <c r="Z536" s="217"/>
      <c r="AA536" s="215"/>
      <c r="AB536" s="215"/>
      <c r="AC536" s="215"/>
      <c r="AD536" s="217">
        <v>1.2195149999999999</v>
      </c>
      <c r="AE536" s="217">
        <v>671</v>
      </c>
      <c r="AF536" s="217">
        <v>3.7709000000000001</v>
      </c>
      <c r="AG536" s="217">
        <v>-99</v>
      </c>
      <c r="AH536" s="215" t="s">
        <v>224</v>
      </c>
      <c r="AI536" s="215" t="s">
        <v>449</v>
      </c>
      <c r="AJ536" s="215" t="s">
        <v>288</v>
      </c>
      <c r="AK536" s="215" t="s">
        <v>531</v>
      </c>
      <c r="AL536" s="215" t="s">
        <v>382</v>
      </c>
      <c r="AM536" s="217" t="b">
        <v>1</v>
      </c>
      <c r="AN536" s="217" t="b">
        <v>0</v>
      </c>
      <c r="AO536" s="215" t="s">
        <v>289</v>
      </c>
      <c r="AP536" s="215" t="s">
        <v>290</v>
      </c>
      <c r="AQ536" s="217">
        <v>44.095619999999997</v>
      </c>
      <c r="AR536" s="217" t="b">
        <v>0</v>
      </c>
      <c r="AS536" s="215" t="s">
        <v>534</v>
      </c>
    </row>
    <row r="537" spans="2:45" s="219" customFormat="1" x14ac:dyDescent="0.25">
      <c r="B537" s="218"/>
      <c r="C537" s="218"/>
      <c r="D537" s="218"/>
      <c r="E537" s="218"/>
      <c r="F537" s="218"/>
      <c r="G537" s="218"/>
      <c r="H537" s="218"/>
      <c r="I537" s="218"/>
      <c r="J537" s="218"/>
      <c r="K537" s="221"/>
      <c r="L537" s="215"/>
      <c r="M537" s="215"/>
      <c r="N537" s="215"/>
      <c r="O537" s="216"/>
      <c r="P537" s="215"/>
      <c r="Q537" s="217"/>
      <c r="R537" s="215"/>
      <c r="S537" s="215"/>
      <c r="T537" s="215"/>
      <c r="U537" s="215"/>
      <c r="V537" s="217"/>
      <c r="W537" s="217"/>
      <c r="X537" s="217"/>
      <c r="Y537" s="217"/>
      <c r="Z537" s="217"/>
      <c r="AA537" s="215"/>
      <c r="AB537" s="215"/>
      <c r="AC537" s="215"/>
      <c r="AD537" s="217">
        <v>1.2195149999999999</v>
      </c>
      <c r="AE537" s="217">
        <v>717</v>
      </c>
      <c r="AF537" s="217">
        <v>0.18049999999999999</v>
      </c>
      <c r="AG537" s="217">
        <v>-99</v>
      </c>
      <c r="AH537" s="215" t="s">
        <v>224</v>
      </c>
      <c r="AI537" s="215" t="s">
        <v>449</v>
      </c>
      <c r="AJ537" s="215" t="s">
        <v>294</v>
      </c>
      <c r="AK537" s="215" t="s">
        <v>531</v>
      </c>
      <c r="AL537" s="215" t="s">
        <v>383</v>
      </c>
      <c r="AM537" s="217" t="b">
        <v>1</v>
      </c>
      <c r="AN537" s="217" t="b">
        <v>1</v>
      </c>
      <c r="AO537" s="215" t="s">
        <v>295</v>
      </c>
      <c r="AP537" s="215" t="s">
        <v>296</v>
      </c>
      <c r="AQ537" s="217">
        <v>92.138419999999996</v>
      </c>
      <c r="AR537" s="217" t="b">
        <v>0</v>
      </c>
      <c r="AS537" s="215" t="s">
        <v>534</v>
      </c>
    </row>
    <row r="538" spans="2:45" s="219" customFormat="1" x14ac:dyDescent="0.25">
      <c r="B538" s="218"/>
      <c r="C538" s="218"/>
      <c r="D538" s="218"/>
      <c r="E538" s="218"/>
      <c r="F538" s="218"/>
      <c r="G538" s="218"/>
      <c r="H538" s="218"/>
      <c r="I538" s="218"/>
      <c r="J538" s="218"/>
      <c r="K538" s="221"/>
      <c r="L538" s="215"/>
      <c r="M538" s="215"/>
      <c r="N538" s="215"/>
      <c r="O538" s="216"/>
      <c r="P538" s="215"/>
      <c r="Q538" s="217"/>
      <c r="R538" s="215"/>
      <c r="S538" s="215"/>
      <c r="T538" s="215"/>
      <c r="U538" s="215"/>
      <c r="V538" s="217"/>
      <c r="W538" s="217"/>
      <c r="X538" s="217"/>
      <c r="Y538" s="217"/>
      <c r="Z538" s="217"/>
      <c r="AA538" s="215"/>
      <c r="AB538" s="215"/>
      <c r="AC538" s="215"/>
      <c r="AD538" s="217">
        <v>1.2195149999999999</v>
      </c>
      <c r="AE538" s="217">
        <v>1924</v>
      </c>
      <c r="AF538" s="217">
        <v>0.65980000000000005</v>
      </c>
      <c r="AG538" s="217">
        <v>-99</v>
      </c>
      <c r="AH538" s="215" t="s">
        <v>224</v>
      </c>
      <c r="AI538" s="215" t="s">
        <v>449</v>
      </c>
      <c r="AJ538" s="215" t="s">
        <v>224</v>
      </c>
      <c r="AK538" s="215" t="s">
        <v>531</v>
      </c>
      <c r="AL538" s="215" t="s">
        <v>466</v>
      </c>
      <c r="AM538" s="217" t="b">
        <v>0</v>
      </c>
      <c r="AN538" s="217" t="b">
        <v>0</v>
      </c>
      <c r="AO538" s="215" t="s">
        <v>535</v>
      </c>
      <c r="AP538" s="215" t="s">
        <v>536</v>
      </c>
      <c r="AQ538" s="217">
        <v>142.28167999999999</v>
      </c>
      <c r="AR538" s="217" t="b">
        <v>0</v>
      </c>
      <c r="AS538" s="215" t="s">
        <v>534</v>
      </c>
    </row>
    <row r="539" spans="2:45" s="219" customFormat="1" x14ac:dyDescent="0.25">
      <c r="B539" s="218"/>
      <c r="C539" s="218"/>
      <c r="D539" s="218"/>
      <c r="E539" s="218"/>
      <c r="F539" s="218"/>
      <c r="G539" s="218"/>
      <c r="H539" s="218"/>
      <c r="I539" s="218"/>
      <c r="J539" s="218"/>
      <c r="K539" s="221"/>
      <c r="L539" s="215"/>
      <c r="M539" s="215"/>
      <c r="N539" s="215"/>
      <c r="O539" s="216"/>
      <c r="P539" s="215"/>
      <c r="Q539" s="217"/>
      <c r="R539" s="215"/>
      <c r="S539" s="215"/>
      <c r="T539" s="215"/>
      <c r="U539" s="215"/>
      <c r="V539" s="217"/>
      <c r="W539" s="217"/>
      <c r="X539" s="217"/>
      <c r="Y539" s="217"/>
      <c r="Z539" s="217"/>
      <c r="AA539" s="215"/>
      <c r="AB539" s="215"/>
      <c r="AC539" s="215"/>
      <c r="AD539" s="217">
        <v>1.2195149999999999</v>
      </c>
      <c r="AE539" s="217">
        <v>1929</v>
      </c>
      <c r="AF539" s="217">
        <v>0.1404</v>
      </c>
      <c r="AG539" s="217">
        <v>-99</v>
      </c>
      <c r="AH539" s="215" t="s">
        <v>224</v>
      </c>
      <c r="AI539" s="215" t="s">
        <v>449</v>
      </c>
      <c r="AJ539" s="215" t="s">
        <v>224</v>
      </c>
      <c r="AK539" s="215" t="s">
        <v>531</v>
      </c>
      <c r="AL539" s="215" t="s">
        <v>467</v>
      </c>
      <c r="AM539" s="217" t="b">
        <v>0</v>
      </c>
      <c r="AN539" s="217" t="b">
        <v>0</v>
      </c>
      <c r="AO539" s="215" t="s">
        <v>468</v>
      </c>
      <c r="AP539" s="215" t="s">
        <v>469</v>
      </c>
      <c r="AQ539" s="217">
        <v>156.30826000000002</v>
      </c>
      <c r="AR539" s="217" t="b">
        <v>0</v>
      </c>
      <c r="AS539" s="215" t="s">
        <v>534</v>
      </c>
    </row>
    <row r="540" spans="2:45" s="219" customFormat="1" x14ac:dyDescent="0.25">
      <c r="B540" s="218"/>
      <c r="C540" s="218"/>
      <c r="D540" s="218"/>
      <c r="E540" s="218"/>
      <c r="F540" s="218"/>
      <c r="G540" s="218"/>
      <c r="H540" s="218"/>
      <c r="I540" s="218"/>
      <c r="J540" s="218"/>
      <c r="K540" s="221"/>
      <c r="L540" s="215"/>
      <c r="M540" s="215"/>
      <c r="N540" s="215"/>
      <c r="O540" s="216"/>
      <c r="P540" s="215"/>
      <c r="Q540" s="217"/>
      <c r="R540" s="215"/>
      <c r="S540" s="215"/>
      <c r="T540" s="215"/>
      <c r="U540" s="215"/>
      <c r="V540" s="217"/>
      <c r="W540" s="217"/>
      <c r="X540" s="217"/>
      <c r="Y540" s="217"/>
      <c r="Z540" s="217"/>
      <c r="AA540" s="215"/>
      <c r="AB540" s="215"/>
      <c r="AC540" s="215"/>
      <c r="AD540" s="217">
        <v>1.2195149999999999</v>
      </c>
      <c r="AE540" s="217">
        <v>1986</v>
      </c>
      <c r="AF540" s="217">
        <v>0.96340000000000003</v>
      </c>
      <c r="AG540" s="217">
        <v>-99</v>
      </c>
      <c r="AH540" s="215" t="s">
        <v>224</v>
      </c>
      <c r="AI540" s="215" t="s">
        <v>449</v>
      </c>
      <c r="AJ540" s="215" t="s">
        <v>224</v>
      </c>
      <c r="AK540" s="215" t="s">
        <v>531</v>
      </c>
      <c r="AL540" s="215" t="s">
        <v>537</v>
      </c>
      <c r="AM540" s="217" t="b">
        <v>0</v>
      </c>
      <c r="AN540" s="217" t="b">
        <v>0</v>
      </c>
      <c r="AO540" s="215" t="s">
        <v>538</v>
      </c>
      <c r="AP540" s="215" t="s">
        <v>539</v>
      </c>
      <c r="AQ540" s="217">
        <v>72.148780000000002</v>
      </c>
      <c r="AR540" s="217" t="b">
        <v>0</v>
      </c>
      <c r="AS540" s="215" t="s">
        <v>534</v>
      </c>
    </row>
    <row r="541" spans="2:45" s="219" customFormat="1" x14ac:dyDescent="0.25">
      <c r="B541" s="218"/>
      <c r="C541" s="218"/>
      <c r="D541" s="218"/>
      <c r="E541" s="218"/>
      <c r="F541" s="218"/>
      <c r="G541" s="218"/>
      <c r="H541" s="218"/>
      <c r="I541" s="218"/>
      <c r="J541" s="218"/>
      <c r="K541" s="221"/>
      <c r="L541" s="215"/>
      <c r="M541" s="215"/>
      <c r="N541" s="215"/>
      <c r="O541" s="216"/>
      <c r="P541" s="215"/>
      <c r="Q541" s="217"/>
      <c r="R541" s="215"/>
      <c r="S541" s="215"/>
      <c r="T541" s="215"/>
      <c r="U541" s="215"/>
      <c r="V541" s="217"/>
      <c r="W541" s="217"/>
      <c r="X541" s="217"/>
      <c r="Y541" s="217"/>
      <c r="Z541" s="217"/>
      <c r="AA541" s="215"/>
      <c r="AB541" s="215"/>
      <c r="AC541" s="215"/>
      <c r="AD541" s="217">
        <v>1.2195149999999999</v>
      </c>
      <c r="AE541" s="217">
        <v>1999</v>
      </c>
      <c r="AF541" s="217">
        <v>5.6425999999999998</v>
      </c>
      <c r="AG541" s="217">
        <v>-99</v>
      </c>
      <c r="AH541" s="215" t="s">
        <v>224</v>
      </c>
      <c r="AI541" s="215" t="s">
        <v>449</v>
      </c>
      <c r="AJ541" s="215" t="s">
        <v>224</v>
      </c>
      <c r="AK541" s="215" t="s">
        <v>531</v>
      </c>
      <c r="AL541" s="215" t="s">
        <v>540</v>
      </c>
      <c r="AM541" s="217" t="b">
        <v>0</v>
      </c>
      <c r="AN541" s="217" t="b">
        <v>0</v>
      </c>
      <c r="AO541" s="215" t="s">
        <v>541</v>
      </c>
      <c r="AP541" s="215" t="s">
        <v>542</v>
      </c>
      <c r="AQ541" s="217">
        <v>86.175359999999998</v>
      </c>
      <c r="AR541" s="217" t="b">
        <v>0</v>
      </c>
      <c r="AS541" s="215" t="s">
        <v>534</v>
      </c>
    </row>
    <row r="542" spans="2:45" s="219" customFormat="1" x14ac:dyDescent="0.25">
      <c r="B542" s="218"/>
      <c r="C542" s="218"/>
      <c r="D542" s="218"/>
      <c r="E542" s="218"/>
      <c r="F542" s="218"/>
      <c r="G542" s="218"/>
      <c r="H542" s="218"/>
      <c r="I542" s="218"/>
      <c r="J542" s="218"/>
      <c r="K542" s="221"/>
      <c r="L542" s="215"/>
      <c r="M542" s="215"/>
      <c r="N542" s="215"/>
      <c r="O542" s="216"/>
      <c r="P542" s="215"/>
      <c r="Q542" s="217"/>
      <c r="R542" s="215"/>
      <c r="S542" s="215"/>
      <c r="T542" s="215"/>
      <c r="U542" s="215"/>
      <c r="V542" s="217"/>
      <c r="W542" s="217"/>
      <c r="X542" s="217"/>
      <c r="Y542" s="217"/>
      <c r="Z542" s="217"/>
      <c r="AA542" s="215"/>
      <c r="AB542" s="215"/>
      <c r="AC542" s="215"/>
      <c r="AD542" s="217">
        <v>1.2195149999999999</v>
      </c>
      <c r="AE542" s="217">
        <v>2005</v>
      </c>
      <c r="AF542" s="217">
        <v>5.4870000000000001</v>
      </c>
      <c r="AG542" s="217">
        <v>-99</v>
      </c>
      <c r="AH542" s="215" t="s">
        <v>224</v>
      </c>
      <c r="AI542" s="215" t="s">
        <v>449</v>
      </c>
      <c r="AJ542" s="215" t="s">
        <v>224</v>
      </c>
      <c r="AK542" s="215" t="s">
        <v>531</v>
      </c>
      <c r="AL542" s="215" t="s">
        <v>543</v>
      </c>
      <c r="AM542" s="217" t="b">
        <v>0</v>
      </c>
      <c r="AN542" s="217" t="b">
        <v>0</v>
      </c>
      <c r="AO542" s="215" t="s">
        <v>544</v>
      </c>
      <c r="AP542" s="215" t="s">
        <v>545</v>
      </c>
      <c r="AQ542" s="217">
        <v>100.20194000000001</v>
      </c>
      <c r="AR542" s="217" t="b">
        <v>0</v>
      </c>
      <c r="AS542" s="215" t="s">
        <v>534</v>
      </c>
    </row>
    <row r="543" spans="2:45" s="219" customFormat="1" x14ac:dyDescent="0.25">
      <c r="B543" s="218"/>
      <c r="C543" s="218"/>
      <c r="D543" s="218"/>
      <c r="E543" s="218"/>
      <c r="F543" s="218"/>
      <c r="G543" s="218"/>
      <c r="H543" s="218"/>
      <c r="I543" s="218"/>
      <c r="J543" s="218"/>
      <c r="K543" s="221"/>
      <c r="L543" s="215"/>
      <c r="M543" s="215"/>
      <c r="N543" s="215"/>
      <c r="O543" s="216"/>
      <c r="P543" s="215"/>
      <c r="Q543" s="217"/>
      <c r="R543" s="215"/>
      <c r="S543" s="215"/>
      <c r="T543" s="215"/>
      <c r="U543" s="215"/>
      <c r="V543" s="217"/>
      <c r="W543" s="217"/>
      <c r="X543" s="217"/>
      <c r="Y543" s="217"/>
      <c r="Z543" s="217"/>
      <c r="AA543" s="215"/>
      <c r="AB543" s="215"/>
      <c r="AC543" s="215"/>
      <c r="AD543" s="217">
        <v>1.2195149999999999</v>
      </c>
      <c r="AE543" s="217">
        <v>2011</v>
      </c>
      <c r="AF543" s="217">
        <v>5.4825999999999997</v>
      </c>
      <c r="AG543" s="217">
        <v>-99</v>
      </c>
      <c r="AH543" s="215" t="s">
        <v>224</v>
      </c>
      <c r="AI543" s="215" t="s">
        <v>449</v>
      </c>
      <c r="AJ543" s="215" t="s">
        <v>224</v>
      </c>
      <c r="AK543" s="215" t="s">
        <v>531</v>
      </c>
      <c r="AL543" s="215" t="s">
        <v>546</v>
      </c>
      <c r="AM543" s="217" t="b">
        <v>0</v>
      </c>
      <c r="AN543" s="217" t="b">
        <v>0</v>
      </c>
      <c r="AO543" s="215" t="s">
        <v>547</v>
      </c>
      <c r="AP543" s="215" t="s">
        <v>548</v>
      </c>
      <c r="AQ543" s="217">
        <v>113.21160686946486</v>
      </c>
      <c r="AR543" s="217" t="b">
        <v>0</v>
      </c>
      <c r="AS543" s="215" t="s">
        <v>534</v>
      </c>
    </row>
    <row r="544" spans="2:45" s="219" customFormat="1" x14ac:dyDescent="0.25">
      <c r="B544" s="218"/>
      <c r="C544" s="218"/>
      <c r="D544" s="218"/>
      <c r="E544" s="218"/>
      <c r="F544" s="218"/>
      <c r="G544" s="218"/>
      <c r="H544" s="218"/>
      <c r="I544" s="218"/>
      <c r="J544" s="218"/>
      <c r="K544" s="221"/>
      <c r="L544" s="215"/>
      <c r="M544" s="215"/>
      <c r="N544" s="215"/>
      <c r="O544" s="216"/>
      <c r="P544" s="215"/>
      <c r="Q544" s="217"/>
      <c r="R544" s="215"/>
      <c r="S544" s="215"/>
      <c r="T544" s="215"/>
      <c r="U544" s="215"/>
      <c r="V544" s="217"/>
      <c r="W544" s="217"/>
      <c r="X544" s="217"/>
      <c r="Y544" s="217"/>
      <c r="Z544" s="217"/>
      <c r="AA544" s="215"/>
      <c r="AB544" s="215"/>
      <c r="AC544" s="215"/>
      <c r="AD544" s="217">
        <v>1.2195149999999999</v>
      </c>
      <c r="AE544" s="217">
        <v>2018</v>
      </c>
      <c r="AF544" s="217">
        <v>2.7414999999999998</v>
      </c>
      <c r="AG544" s="217">
        <v>-99</v>
      </c>
      <c r="AH544" s="215" t="s">
        <v>224</v>
      </c>
      <c r="AI544" s="215" t="s">
        <v>449</v>
      </c>
      <c r="AJ544" s="215" t="s">
        <v>224</v>
      </c>
      <c r="AK544" s="215" t="s">
        <v>531</v>
      </c>
      <c r="AL544" s="215" t="s">
        <v>464</v>
      </c>
      <c r="AM544" s="217" t="b">
        <v>0</v>
      </c>
      <c r="AN544" s="217" t="b">
        <v>0</v>
      </c>
      <c r="AO544" s="215" t="s">
        <v>549</v>
      </c>
      <c r="AP544" s="215" t="s">
        <v>550</v>
      </c>
      <c r="AQ544" s="217">
        <v>127.23917598649743</v>
      </c>
      <c r="AR544" s="217" t="b">
        <v>0</v>
      </c>
      <c r="AS544" s="215" t="s">
        <v>534</v>
      </c>
    </row>
    <row r="545" spans="2:13" s="219" customFormat="1" x14ac:dyDescent="0.25">
      <c r="B545" s="218"/>
      <c r="C545" s="218"/>
      <c r="D545" s="218"/>
      <c r="E545" s="218"/>
      <c r="F545" s="218"/>
      <c r="G545" s="218"/>
      <c r="H545" s="218"/>
      <c r="I545" s="218"/>
      <c r="J545" s="218"/>
      <c r="K545" s="221"/>
      <c r="L545" s="218"/>
      <c r="M545" s="267"/>
    </row>
    <row r="546" spans="2:13" s="219" customFormat="1" x14ac:dyDescent="0.25">
      <c r="B546" s="218"/>
      <c r="C546" s="218"/>
      <c r="D546" s="218"/>
      <c r="E546" s="218"/>
      <c r="F546" s="218"/>
      <c r="G546" s="218"/>
      <c r="H546" s="218"/>
      <c r="I546" s="218"/>
      <c r="J546" s="218"/>
      <c r="K546" s="221"/>
      <c r="L546" s="218"/>
      <c r="M546" s="267"/>
    </row>
    <row r="547" spans="2:13" s="219" customFormat="1" x14ac:dyDescent="0.25">
      <c r="B547" s="218"/>
      <c r="C547" s="218"/>
      <c r="D547" s="218"/>
      <c r="E547" s="218"/>
      <c r="F547" s="218"/>
      <c r="G547" s="218"/>
      <c r="H547" s="218"/>
      <c r="I547" s="218"/>
      <c r="J547" s="218"/>
      <c r="K547" s="221"/>
      <c r="L547" s="218"/>
      <c r="M547" s="267"/>
    </row>
    <row r="548" spans="2:13" s="219" customFormat="1" x14ac:dyDescent="0.25">
      <c r="B548" s="218"/>
      <c r="C548" s="218"/>
      <c r="D548" s="218"/>
      <c r="E548" s="218"/>
      <c r="F548" s="218"/>
      <c r="G548" s="218"/>
      <c r="H548" s="218"/>
      <c r="I548" s="218"/>
      <c r="J548" s="218"/>
      <c r="K548" s="221"/>
      <c r="L548" s="218"/>
      <c r="M548" s="267"/>
    </row>
    <row r="549" spans="2:13" s="219" customFormat="1" x14ac:dyDescent="0.25">
      <c r="B549" s="218"/>
      <c r="C549" s="218"/>
      <c r="D549" s="218"/>
      <c r="E549" s="218"/>
      <c r="F549" s="218"/>
      <c r="G549" s="218"/>
      <c r="H549" s="218"/>
      <c r="I549" s="218"/>
      <c r="J549" s="218"/>
      <c r="K549" s="221"/>
      <c r="L549" s="218"/>
      <c r="M549" s="267"/>
    </row>
    <row r="550" spans="2:13" s="219" customFormat="1" x14ac:dyDescent="0.25">
      <c r="B550" s="218"/>
      <c r="C550" s="218"/>
      <c r="D550" s="218"/>
      <c r="E550" s="218"/>
      <c r="F550" s="218"/>
      <c r="G550" s="218"/>
      <c r="H550" s="218"/>
      <c r="I550" s="218"/>
      <c r="J550" s="218"/>
      <c r="K550" s="221"/>
      <c r="L550" s="218"/>
      <c r="M550" s="267"/>
    </row>
    <row r="551" spans="2:13" s="219" customFormat="1" x14ac:dyDescent="0.25">
      <c r="B551" s="218"/>
      <c r="C551" s="218"/>
      <c r="D551" s="218"/>
      <c r="E551" s="218"/>
      <c r="F551" s="218"/>
      <c r="G551" s="218"/>
      <c r="H551" s="218"/>
      <c r="I551" s="218"/>
      <c r="J551" s="218"/>
      <c r="K551" s="221"/>
      <c r="L551" s="218"/>
      <c r="M551" s="267"/>
    </row>
    <row r="552" spans="2:13" s="219" customFormat="1" x14ac:dyDescent="0.25">
      <c r="B552" s="218"/>
      <c r="C552" s="218"/>
      <c r="D552" s="218"/>
      <c r="E552" s="218"/>
      <c r="F552" s="218"/>
      <c r="G552" s="218"/>
      <c r="H552" s="218"/>
      <c r="I552" s="218"/>
      <c r="J552" s="218"/>
      <c r="K552" s="221"/>
      <c r="L552" s="218"/>
      <c r="M552" s="267"/>
    </row>
    <row r="553" spans="2:13" s="219" customFormat="1" x14ac:dyDescent="0.25">
      <c r="B553" s="218"/>
      <c r="C553" s="218"/>
      <c r="D553" s="218"/>
      <c r="E553" s="218"/>
      <c r="F553" s="218"/>
      <c r="G553" s="218"/>
      <c r="H553" s="218"/>
      <c r="I553" s="218"/>
      <c r="J553" s="218"/>
      <c r="K553" s="221"/>
      <c r="L553" s="218"/>
      <c r="M553" s="267"/>
    </row>
    <row r="554" spans="2:13" s="219" customFormat="1" x14ac:dyDescent="0.25">
      <c r="B554" s="218"/>
      <c r="C554" s="218"/>
      <c r="D554" s="218"/>
      <c r="E554" s="218"/>
      <c r="F554" s="218"/>
      <c r="G554" s="218"/>
      <c r="H554" s="218"/>
      <c r="I554" s="218"/>
      <c r="J554" s="218"/>
      <c r="K554" s="221"/>
      <c r="L554" s="218"/>
      <c r="M554" s="267"/>
    </row>
    <row r="555" spans="2:13" s="219" customFormat="1" x14ac:dyDescent="0.25">
      <c r="B555" s="218"/>
      <c r="C555" s="218"/>
      <c r="D555" s="218"/>
      <c r="E555" s="218"/>
      <c r="F555" s="218"/>
      <c r="G555" s="218"/>
      <c r="H555" s="218"/>
      <c r="I555" s="218"/>
      <c r="J555" s="218"/>
      <c r="K555" s="221"/>
      <c r="L555" s="218"/>
      <c r="M555" s="267"/>
    </row>
    <row r="556" spans="2:13" s="219" customFormat="1" x14ac:dyDescent="0.25">
      <c r="B556" s="218"/>
      <c r="C556" s="218"/>
      <c r="D556" s="218"/>
      <c r="E556" s="218"/>
      <c r="F556" s="218"/>
      <c r="G556" s="218"/>
      <c r="H556" s="218"/>
      <c r="I556" s="218"/>
      <c r="J556" s="218"/>
      <c r="K556" s="221"/>
      <c r="L556" s="218"/>
      <c r="M556" s="267"/>
    </row>
    <row r="557" spans="2:13" s="219" customFormat="1" x14ac:dyDescent="0.25">
      <c r="B557" s="218"/>
      <c r="C557" s="218"/>
      <c r="D557" s="218"/>
      <c r="E557" s="218"/>
      <c r="F557" s="218"/>
      <c r="G557" s="218"/>
      <c r="H557" s="218"/>
      <c r="I557" s="218"/>
      <c r="J557" s="218"/>
      <c r="K557" s="221"/>
      <c r="L557" s="218"/>
      <c r="M557" s="267"/>
    </row>
    <row r="558" spans="2:13" s="219" customFormat="1" x14ac:dyDescent="0.25">
      <c r="B558" s="218"/>
      <c r="C558" s="218"/>
      <c r="D558" s="218"/>
      <c r="E558" s="218"/>
      <c r="F558" s="218"/>
      <c r="G558" s="218"/>
      <c r="H558" s="218"/>
      <c r="I558" s="218"/>
      <c r="J558" s="218"/>
      <c r="K558" s="221"/>
      <c r="L558" s="218"/>
      <c r="M558" s="267"/>
    </row>
    <row r="559" spans="2:13" s="219" customFormat="1" x14ac:dyDescent="0.25">
      <c r="B559" s="218"/>
      <c r="C559" s="218"/>
      <c r="D559" s="218"/>
      <c r="E559" s="218"/>
      <c r="F559" s="218"/>
      <c r="G559" s="218"/>
      <c r="H559" s="218"/>
      <c r="I559" s="218"/>
      <c r="J559" s="218"/>
      <c r="K559" s="221"/>
      <c r="L559" s="218"/>
      <c r="M559" s="267"/>
    </row>
    <row r="560" spans="2:13" s="219" customFormat="1" x14ac:dyDescent="0.25">
      <c r="B560" s="218"/>
      <c r="C560" s="218"/>
      <c r="D560" s="218"/>
      <c r="E560" s="218"/>
      <c r="F560" s="218"/>
      <c r="G560" s="218"/>
      <c r="H560" s="218"/>
      <c r="I560" s="218"/>
      <c r="J560" s="218"/>
      <c r="K560" s="221"/>
      <c r="L560" s="218"/>
      <c r="M560" s="267"/>
    </row>
    <row r="561" spans="2:13" s="219" customFormat="1" x14ac:dyDescent="0.25">
      <c r="B561" s="218"/>
      <c r="C561" s="218"/>
      <c r="D561" s="218"/>
      <c r="E561" s="218"/>
      <c r="F561" s="218"/>
      <c r="G561" s="218"/>
      <c r="H561" s="218"/>
      <c r="I561" s="218"/>
      <c r="J561" s="218"/>
      <c r="K561" s="221"/>
      <c r="L561" s="218"/>
      <c r="M561" s="267"/>
    </row>
    <row r="562" spans="2:13" s="219" customFormat="1" x14ac:dyDescent="0.25">
      <c r="B562" s="218"/>
      <c r="C562" s="218"/>
      <c r="D562" s="218"/>
      <c r="E562" s="218"/>
      <c r="F562" s="218"/>
      <c r="G562" s="218"/>
      <c r="H562" s="218"/>
      <c r="I562" s="218"/>
      <c r="J562" s="218"/>
      <c r="K562" s="221"/>
      <c r="L562" s="218"/>
      <c r="M562" s="267"/>
    </row>
    <row r="563" spans="2:13" s="219" customFormat="1" x14ac:dyDescent="0.25">
      <c r="B563" s="218"/>
      <c r="C563" s="218"/>
      <c r="D563" s="218"/>
      <c r="E563" s="218"/>
      <c r="F563" s="218"/>
      <c r="G563" s="218"/>
      <c r="H563" s="218"/>
      <c r="I563" s="218"/>
      <c r="J563" s="218"/>
      <c r="K563" s="221"/>
      <c r="L563" s="218"/>
      <c r="M563" s="267"/>
    </row>
    <row r="564" spans="2:13" s="219" customFormat="1" x14ac:dyDescent="0.25">
      <c r="J564" s="223"/>
      <c r="K564" s="222"/>
    </row>
    <row r="565" spans="2:13" s="219" customFormat="1" x14ac:dyDescent="0.25">
      <c r="J565" s="223"/>
      <c r="K565" s="222"/>
    </row>
    <row r="566" spans="2:13" s="219" customFormat="1" x14ac:dyDescent="0.25">
      <c r="J566" s="223"/>
      <c r="K566" s="222"/>
    </row>
    <row r="567" spans="2:13" s="219" customFormat="1" x14ac:dyDescent="0.25">
      <c r="J567" s="223"/>
      <c r="K567" s="222"/>
    </row>
    <row r="568" spans="2:13" s="219" customFormat="1" x14ac:dyDescent="0.25">
      <c r="J568" s="223"/>
      <c r="K568" s="222"/>
    </row>
    <row r="569" spans="2:13" s="219" customFormat="1" x14ac:dyDescent="0.25">
      <c r="J569" s="223"/>
      <c r="K569" s="222"/>
    </row>
    <row r="570" spans="2:13" s="219" customFormat="1" x14ac:dyDescent="0.25">
      <c r="J570" s="223"/>
      <c r="K570" s="222"/>
    </row>
    <row r="571" spans="2:13" s="219" customFormat="1" x14ac:dyDescent="0.25">
      <c r="J571" s="223"/>
      <c r="K571" s="222"/>
    </row>
    <row r="572" spans="2:13" s="219" customFormat="1" x14ac:dyDescent="0.25">
      <c r="J572" s="223"/>
      <c r="K572" s="222"/>
    </row>
    <row r="573" spans="2:13" s="219" customFormat="1" x14ac:dyDescent="0.25">
      <c r="J573" s="223"/>
      <c r="K573" s="222"/>
    </row>
    <row r="574" spans="2:13" s="219" customFormat="1" x14ac:dyDescent="0.25">
      <c r="J574" s="223"/>
      <c r="K574" s="222"/>
    </row>
    <row r="575" spans="2:13" s="219" customFormat="1" x14ac:dyDescent="0.25">
      <c r="J575" s="223"/>
      <c r="K575" s="222"/>
    </row>
    <row r="576" spans="2:13" s="219" customFormat="1" x14ac:dyDescent="0.25">
      <c r="J576" s="223"/>
      <c r="K576" s="222"/>
    </row>
    <row r="577" spans="10:11" s="219" customFormat="1" x14ac:dyDescent="0.25">
      <c r="J577" s="223"/>
      <c r="K577" s="222"/>
    </row>
    <row r="578" spans="10:11" s="219" customFormat="1" x14ac:dyDescent="0.25">
      <c r="J578" s="223"/>
      <c r="K578" s="222"/>
    </row>
    <row r="579" spans="10:11" s="219" customFormat="1" x14ac:dyDescent="0.25">
      <c r="J579" s="223"/>
      <c r="K579" s="222"/>
    </row>
    <row r="580" spans="10:11" s="219" customFormat="1" x14ac:dyDescent="0.25">
      <c r="J580" s="223"/>
      <c r="K580" s="222"/>
    </row>
    <row r="581" spans="10:11" s="219" customFormat="1" x14ac:dyDescent="0.25">
      <c r="J581" s="223"/>
      <c r="K581" s="222"/>
    </row>
    <row r="582" spans="10:11" s="219" customFormat="1" x14ac:dyDescent="0.25">
      <c r="J582" s="223"/>
      <c r="K582" s="222"/>
    </row>
    <row r="583" spans="10:11" s="219" customFormat="1" x14ac:dyDescent="0.25">
      <c r="J583" s="223"/>
      <c r="K583" s="222"/>
    </row>
    <row r="584" spans="10:11" s="219" customFormat="1" x14ac:dyDescent="0.25">
      <c r="J584" s="223"/>
      <c r="K584" s="222"/>
    </row>
    <row r="585" spans="10:11" s="219" customFormat="1" x14ac:dyDescent="0.25">
      <c r="J585" s="223"/>
      <c r="K585" s="222"/>
    </row>
    <row r="586" spans="10:11" s="219" customFormat="1" x14ac:dyDescent="0.25">
      <c r="J586" s="223"/>
      <c r="K586" s="222"/>
    </row>
    <row r="587" spans="10:11" s="219" customFormat="1" x14ac:dyDescent="0.25">
      <c r="J587" s="223"/>
      <c r="K587" s="222"/>
    </row>
    <row r="588" spans="10:11" s="219" customFormat="1" x14ac:dyDescent="0.25">
      <c r="J588" s="223"/>
      <c r="K588" s="222"/>
    </row>
    <row r="589" spans="10:11" s="219" customFormat="1" x14ac:dyDescent="0.25">
      <c r="J589" s="223"/>
      <c r="K589" s="222"/>
    </row>
    <row r="590" spans="10:11" s="219" customFormat="1" x14ac:dyDescent="0.25">
      <c r="J590" s="223"/>
      <c r="K590" s="222"/>
    </row>
    <row r="591" spans="10:11" s="219" customFormat="1" x14ac:dyDescent="0.25">
      <c r="J591" s="223"/>
      <c r="K591" s="222"/>
    </row>
    <row r="592" spans="10:11" s="219" customFormat="1" x14ac:dyDescent="0.25">
      <c r="J592" s="223"/>
      <c r="K592" s="222"/>
    </row>
    <row r="593" spans="10:11" s="219" customFormat="1" x14ac:dyDescent="0.25">
      <c r="J593" s="223"/>
      <c r="K593" s="222"/>
    </row>
    <row r="594" spans="10:11" s="219" customFormat="1" x14ac:dyDescent="0.25">
      <c r="J594" s="223"/>
      <c r="K594" s="222"/>
    </row>
    <row r="595" spans="10:11" s="219" customFormat="1" x14ac:dyDescent="0.25">
      <c r="J595" s="223"/>
      <c r="K595" s="222"/>
    </row>
    <row r="596" spans="10:11" s="219" customFormat="1" x14ac:dyDescent="0.25">
      <c r="J596" s="223"/>
      <c r="K596" s="222"/>
    </row>
    <row r="597" spans="10:11" s="219" customFormat="1" x14ac:dyDescent="0.25">
      <c r="J597" s="223"/>
      <c r="K597" s="222"/>
    </row>
    <row r="598" spans="10:11" s="219" customFormat="1" x14ac:dyDescent="0.25">
      <c r="J598" s="223"/>
      <c r="K598" s="222"/>
    </row>
    <row r="599" spans="10:11" s="219" customFormat="1" x14ac:dyDescent="0.25">
      <c r="J599" s="223"/>
      <c r="K599" s="222"/>
    </row>
    <row r="600" spans="10:11" s="219" customFormat="1" x14ac:dyDescent="0.25">
      <c r="J600" s="223"/>
      <c r="K600" s="222"/>
    </row>
    <row r="601" spans="10:11" s="219" customFormat="1" x14ac:dyDescent="0.25">
      <c r="J601" s="223"/>
      <c r="K601" s="222"/>
    </row>
    <row r="602" spans="10:11" s="219" customFormat="1" x14ac:dyDescent="0.25">
      <c r="J602" s="223"/>
      <c r="K602" s="222"/>
    </row>
    <row r="603" spans="10:11" s="219" customFormat="1" x14ac:dyDescent="0.25">
      <c r="J603" s="223"/>
      <c r="K603" s="222"/>
    </row>
    <row r="604" spans="10:11" s="219" customFormat="1" x14ac:dyDescent="0.25">
      <c r="J604" s="223"/>
      <c r="K604" s="222"/>
    </row>
    <row r="605" spans="10:11" s="219" customFormat="1" x14ac:dyDescent="0.25">
      <c r="J605" s="223"/>
      <c r="K605" s="222"/>
    </row>
    <row r="606" spans="10:11" s="219" customFormat="1" x14ac:dyDescent="0.25">
      <c r="J606" s="223"/>
      <c r="K606" s="222"/>
    </row>
    <row r="607" spans="10:11" s="219" customFormat="1" x14ac:dyDescent="0.25">
      <c r="J607" s="223"/>
      <c r="K607" s="222"/>
    </row>
    <row r="608" spans="10:11" s="219" customFormat="1" x14ac:dyDescent="0.25">
      <c r="J608" s="223"/>
      <c r="K608" s="222"/>
    </row>
    <row r="609" spans="2:13" s="219" customFormat="1" x14ac:dyDescent="0.25">
      <c r="J609" s="223"/>
      <c r="K609" s="222"/>
    </row>
    <row r="610" spans="2:13" s="219" customFormat="1" x14ac:dyDescent="0.25">
      <c r="J610" s="223"/>
      <c r="K610" s="222"/>
    </row>
    <row r="611" spans="2:13" s="219" customFormat="1" x14ac:dyDescent="0.25">
      <c r="J611" s="223"/>
      <c r="K611" s="222"/>
    </row>
    <row r="612" spans="2:13" s="219" customFormat="1" x14ac:dyDescent="0.25">
      <c r="B612" s="218"/>
      <c r="C612" s="218"/>
      <c r="D612" s="218"/>
      <c r="E612" s="218"/>
      <c r="F612" s="218"/>
      <c r="G612" s="218"/>
      <c r="H612" s="218"/>
      <c r="I612" s="218"/>
      <c r="J612" s="218"/>
      <c r="K612" s="221"/>
      <c r="L612" s="218"/>
      <c r="M612" s="267"/>
    </row>
    <row r="613" spans="2:13" s="219" customFormat="1" x14ac:dyDescent="0.25">
      <c r="B613" s="218"/>
      <c r="C613" s="218"/>
      <c r="D613" s="218"/>
      <c r="E613" s="218"/>
      <c r="F613" s="218"/>
      <c r="G613" s="218"/>
      <c r="H613" s="218"/>
      <c r="I613" s="218"/>
      <c r="J613" s="218"/>
      <c r="K613" s="221"/>
      <c r="L613" s="218"/>
      <c r="M613" s="267"/>
    </row>
    <row r="614" spans="2:13" s="219" customFormat="1" x14ac:dyDescent="0.25">
      <c r="B614" s="218"/>
      <c r="C614" s="218"/>
      <c r="D614" s="218"/>
      <c r="E614" s="218"/>
      <c r="F614" s="218"/>
      <c r="G614" s="218"/>
      <c r="H614" s="218"/>
      <c r="I614" s="218"/>
      <c r="J614" s="218"/>
      <c r="K614" s="221"/>
      <c r="L614" s="218"/>
      <c r="M614" s="267"/>
    </row>
    <row r="615" spans="2:13" s="219" customFormat="1" x14ac:dyDescent="0.25">
      <c r="B615" s="218"/>
      <c r="C615" s="218"/>
      <c r="D615" s="218"/>
      <c r="E615" s="218"/>
      <c r="F615" s="218"/>
      <c r="G615" s="218"/>
      <c r="H615" s="218"/>
      <c r="I615" s="218"/>
      <c r="J615" s="218"/>
      <c r="K615" s="221"/>
      <c r="L615" s="218"/>
      <c r="M615" s="267"/>
    </row>
    <row r="616" spans="2:13" s="219" customFormat="1" x14ac:dyDescent="0.25">
      <c r="B616" s="218"/>
      <c r="C616" s="218"/>
      <c r="D616" s="218"/>
      <c r="E616" s="218"/>
      <c r="F616" s="218"/>
      <c r="G616" s="218"/>
      <c r="H616" s="218"/>
      <c r="I616" s="218"/>
      <c r="J616" s="218"/>
      <c r="K616" s="221"/>
      <c r="L616" s="218"/>
      <c r="M616" s="267"/>
    </row>
    <row r="617" spans="2:13" s="219" customFormat="1" x14ac:dyDescent="0.25">
      <c r="B617" s="218"/>
      <c r="C617" s="218"/>
      <c r="D617" s="218"/>
      <c r="E617" s="218"/>
      <c r="F617" s="218"/>
      <c r="G617" s="218"/>
      <c r="H617" s="218"/>
      <c r="I617" s="218"/>
      <c r="J617" s="218"/>
      <c r="K617" s="221"/>
      <c r="L617" s="218"/>
      <c r="M617" s="267"/>
    </row>
    <row r="618" spans="2:13" s="219" customFormat="1" x14ac:dyDescent="0.25">
      <c r="B618" s="218"/>
      <c r="C618" s="218"/>
      <c r="D618" s="218"/>
      <c r="E618" s="218"/>
      <c r="F618" s="218"/>
      <c r="G618" s="218"/>
      <c r="H618" s="218"/>
      <c r="I618" s="218"/>
      <c r="J618" s="218"/>
      <c r="K618" s="221"/>
      <c r="L618" s="218"/>
      <c r="M618" s="267"/>
    </row>
    <row r="619" spans="2:13" s="219" customFormat="1" x14ac:dyDescent="0.25">
      <c r="B619" s="218"/>
      <c r="C619" s="218"/>
      <c r="D619" s="218"/>
      <c r="E619" s="218"/>
      <c r="F619" s="218"/>
      <c r="G619" s="218"/>
      <c r="H619" s="218"/>
      <c r="I619" s="218"/>
      <c r="J619" s="218"/>
      <c r="K619" s="221"/>
      <c r="L619" s="218"/>
      <c r="M619" s="267"/>
    </row>
    <row r="620" spans="2:13" s="219" customFormat="1" x14ac:dyDescent="0.25">
      <c r="B620" s="218"/>
      <c r="C620" s="218"/>
      <c r="D620" s="218"/>
      <c r="E620" s="218"/>
      <c r="F620" s="218"/>
      <c r="G620" s="218"/>
      <c r="H620" s="218"/>
      <c r="I620" s="218"/>
      <c r="J620" s="218"/>
      <c r="K620" s="221"/>
      <c r="L620" s="218"/>
      <c r="M620" s="267"/>
    </row>
    <row r="621" spans="2:13" s="219" customFormat="1" x14ac:dyDescent="0.25">
      <c r="B621" s="218"/>
      <c r="C621" s="218"/>
      <c r="D621" s="218"/>
      <c r="E621" s="218"/>
      <c r="F621" s="218"/>
      <c r="G621" s="218"/>
      <c r="H621" s="218"/>
      <c r="I621" s="218"/>
      <c r="J621" s="218"/>
      <c r="K621" s="221"/>
      <c r="L621" s="218"/>
      <c r="M621" s="267"/>
    </row>
    <row r="622" spans="2:13" s="219" customFormat="1" x14ac:dyDescent="0.25">
      <c r="B622" s="218"/>
      <c r="C622" s="218"/>
      <c r="D622" s="218"/>
      <c r="E622" s="218"/>
      <c r="F622" s="218"/>
      <c r="G622" s="218"/>
      <c r="H622" s="218"/>
      <c r="I622" s="218"/>
      <c r="J622" s="218"/>
      <c r="K622" s="221"/>
      <c r="L622" s="218"/>
      <c r="M622" s="267"/>
    </row>
    <row r="623" spans="2:13" s="219" customFormat="1" x14ac:dyDescent="0.25">
      <c r="B623" s="218"/>
      <c r="C623" s="218"/>
      <c r="D623" s="218"/>
      <c r="E623" s="218"/>
      <c r="F623" s="218"/>
      <c r="G623" s="218"/>
      <c r="H623" s="218"/>
      <c r="I623" s="218"/>
      <c r="J623" s="218"/>
      <c r="K623" s="221"/>
      <c r="L623" s="218"/>
      <c r="M623" s="267"/>
    </row>
    <row r="624" spans="2:13" s="219" customFormat="1" x14ac:dyDescent="0.25">
      <c r="B624" s="218"/>
      <c r="C624" s="218"/>
      <c r="D624" s="218"/>
      <c r="E624" s="218"/>
      <c r="F624" s="218"/>
      <c r="G624" s="218"/>
      <c r="H624" s="218"/>
      <c r="I624" s="218"/>
      <c r="J624" s="218"/>
      <c r="K624" s="221"/>
      <c r="L624" s="218"/>
      <c r="M624" s="267"/>
    </row>
    <row r="625" spans="2:13" s="219" customFormat="1" x14ac:dyDescent="0.25">
      <c r="B625" s="218"/>
      <c r="C625" s="218"/>
      <c r="D625" s="218"/>
      <c r="E625" s="218"/>
      <c r="F625" s="218"/>
      <c r="G625" s="218"/>
      <c r="H625" s="218"/>
      <c r="I625" s="218"/>
      <c r="J625" s="218"/>
      <c r="K625" s="221"/>
      <c r="L625" s="218"/>
      <c r="M625" s="267"/>
    </row>
    <row r="626" spans="2:13" s="219" customFormat="1" x14ac:dyDescent="0.25">
      <c r="B626" s="218"/>
      <c r="C626" s="218"/>
      <c r="D626" s="218"/>
      <c r="E626" s="218"/>
      <c r="F626" s="218"/>
      <c r="G626" s="218"/>
      <c r="H626" s="218"/>
      <c r="I626" s="218"/>
      <c r="J626" s="218"/>
      <c r="K626" s="221"/>
      <c r="L626" s="218"/>
      <c r="M626" s="267"/>
    </row>
    <row r="627" spans="2:13" s="219" customFormat="1" x14ac:dyDescent="0.25">
      <c r="B627" s="218"/>
      <c r="C627" s="218"/>
      <c r="D627" s="218"/>
      <c r="E627" s="218"/>
      <c r="F627" s="218"/>
      <c r="G627" s="218"/>
      <c r="H627" s="218"/>
      <c r="I627" s="218"/>
      <c r="J627" s="218"/>
      <c r="K627" s="221"/>
      <c r="L627" s="218"/>
      <c r="M627" s="267"/>
    </row>
    <row r="628" spans="2:13" s="219" customFormat="1" x14ac:dyDescent="0.25">
      <c r="B628" s="218"/>
      <c r="C628" s="218"/>
      <c r="D628" s="218"/>
      <c r="E628" s="218"/>
      <c r="F628" s="218"/>
      <c r="G628" s="218"/>
      <c r="H628" s="218"/>
      <c r="I628" s="218"/>
      <c r="J628" s="218"/>
      <c r="K628" s="221"/>
      <c r="L628" s="218"/>
      <c r="M628" s="267"/>
    </row>
    <row r="629" spans="2:13" s="219" customFormat="1" x14ac:dyDescent="0.25">
      <c r="B629" s="218"/>
      <c r="C629" s="218"/>
      <c r="D629" s="218"/>
      <c r="E629" s="218"/>
      <c r="F629" s="218"/>
      <c r="G629" s="218"/>
      <c r="H629" s="218"/>
      <c r="I629" s="218"/>
      <c r="J629" s="218"/>
      <c r="K629" s="221"/>
      <c r="L629" s="218"/>
      <c r="M629" s="267"/>
    </row>
    <row r="630" spans="2:13" s="219" customFormat="1" x14ac:dyDescent="0.25">
      <c r="B630" s="218"/>
      <c r="C630" s="218"/>
      <c r="D630" s="218"/>
      <c r="E630" s="218"/>
      <c r="F630" s="218"/>
      <c r="G630" s="218"/>
      <c r="H630" s="218"/>
      <c r="I630" s="218"/>
      <c r="J630" s="218"/>
      <c r="K630" s="221"/>
      <c r="L630" s="218"/>
      <c r="M630" s="267"/>
    </row>
    <row r="631" spans="2:13" s="219" customFormat="1" x14ac:dyDescent="0.25">
      <c r="B631" s="218"/>
      <c r="C631" s="218"/>
      <c r="D631" s="218"/>
      <c r="E631" s="218"/>
      <c r="F631" s="218"/>
      <c r="G631" s="218"/>
      <c r="H631" s="218"/>
      <c r="I631" s="218"/>
      <c r="J631" s="218"/>
      <c r="K631" s="221"/>
      <c r="L631" s="218"/>
      <c r="M631" s="267"/>
    </row>
    <row r="632" spans="2:13" s="219" customFormat="1" x14ac:dyDescent="0.25">
      <c r="B632" s="218"/>
      <c r="C632" s="218"/>
      <c r="D632" s="218"/>
      <c r="E632" s="218"/>
      <c r="F632" s="218"/>
      <c r="G632" s="218"/>
      <c r="H632" s="218"/>
      <c r="I632" s="218"/>
      <c r="J632" s="218"/>
      <c r="K632" s="221"/>
      <c r="L632" s="218"/>
      <c r="M632" s="267"/>
    </row>
    <row r="633" spans="2:13" s="219" customFormat="1" x14ac:dyDescent="0.25">
      <c r="B633" s="218"/>
      <c r="C633" s="218"/>
      <c r="D633" s="218"/>
      <c r="E633" s="218"/>
      <c r="F633" s="218"/>
      <c r="G633" s="218"/>
      <c r="H633" s="218"/>
      <c r="I633" s="218"/>
      <c r="J633" s="218"/>
      <c r="K633" s="221"/>
      <c r="L633" s="218"/>
      <c r="M633" s="267"/>
    </row>
    <row r="634" spans="2:13" s="219" customFormat="1" x14ac:dyDescent="0.25">
      <c r="B634" s="218"/>
      <c r="C634" s="218"/>
      <c r="D634" s="218"/>
      <c r="E634" s="218"/>
      <c r="F634" s="218"/>
      <c r="G634" s="218"/>
      <c r="H634" s="218"/>
      <c r="I634" s="218"/>
      <c r="J634" s="218"/>
      <c r="K634" s="221"/>
      <c r="L634" s="218"/>
      <c r="M634" s="267"/>
    </row>
    <row r="635" spans="2:13" s="219" customFormat="1" x14ac:dyDescent="0.25">
      <c r="B635" s="218"/>
      <c r="C635" s="218"/>
      <c r="D635" s="218"/>
      <c r="E635" s="218"/>
      <c r="F635" s="218"/>
      <c r="G635" s="218"/>
      <c r="H635" s="218"/>
      <c r="I635" s="218"/>
      <c r="J635" s="218"/>
      <c r="K635" s="221"/>
      <c r="L635" s="218"/>
      <c r="M635" s="267"/>
    </row>
    <row r="636" spans="2:13" s="219" customFormat="1" x14ac:dyDescent="0.25">
      <c r="B636" s="218"/>
      <c r="C636" s="218"/>
      <c r="D636" s="218"/>
      <c r="E636" s="218"/>
      <c r="F636" s="218"/>
      <c r="G636" s="218"/>
      <c r="H636" s="218"/>
      <c r="I636" s="218"/>
      <c r="J636" s="218"/>
      <c r="K636" s="221"/>
      <c r="L636" s="218"/>
      <c r="M636" s="267"/>
    </row>
    <row r="637" spans="2:13" s="219" customFormat="1" x14ac:dyDescent="0.25">
      <c r="B637" s="218"/>
      <c r="C637" s="218"/>
      <c r="D637" s="218"/>
      <c r="E637" s="218"/>
      <c r="F637" s="218"/>
      <c r="G637" s="218"/>
      <c r="H637" s="218"/>
      <c r="I637" s="218"/>
      <c r="J637" s="218"/>
      <c r="K637" s="221"/>
      <c r="L637" s="218"/>
      <c r="M637" s="267"/>
    </row>
    <row r="638" spans="2:13" s="219" customFormat="1" x14ac:dyDescent="0.25">
      <c r="B638" s="218"/>
      <c r="C638" s="218"/>
      <c r="D638" s="218"/>
      <c r="E638" s="218"/>
      <c r="F638" s="218"/>
      <c r="G638" s="218"/>
      <c r="H638" s="218"/>
      <c r="I638" s="218"/>
      <c r="J638" s="218"/>
      <c r="K638" s="221"/>
      <c r="L638" s="218"/>
      <c r="M638" s="267"/>
    </row>
    <row r="639" spans="2:13" s="219" customFormat="1" x14ac:dyDescent="0.25">
      <c r="B639" s="218"/>
      <c r="C639" s="218"/>
      <c r="D639" s="218"/>
      <c r="E639" s="218"/>
      <c r="F639" s="218"/>
      <c r="G639" s="218"/>
      <c r="H639" s="218"/>
      <c r="I639" s="218"/>
      <c r="J639" s="218"/>
      <c r="K639" s="221"/>
      <c r="L639" s="218"/>
      <c r="M639" s="267"/>
    </row>
    <row r="640" spans="2:13" s="219" customFormat="1" x14ac:dyDescent="0.25">
      <c r="B640" s="218"/>
      <c r="C640" s="218"/>
      <c r="D640" s="218"/>
      <c r="E640" s="218"/>
      <c r="F640" s="218"/>
      <c r="G640" s="218"/>
      <c r="H640" s="218"/>
      <c r="I640" s="218"/>
      <c r="J640" s="218"/>
      <c r="K640" s="221"/>
      <c r="L640" s="218"/>
      <c r="M640" s="267"/>
    </row>
    <row r="641" spans="2:13" s="219" customFormat="1" x14ac:dyDescent="0.25">
      <c r="B641" s="218"/>
      <c r="C641" s="218"/>
      <c r="D641" s="218"/>
      <c r="E641" s="218"/>
      <c r="F641" s="218"/>
      <c r="G641" s="218"/>
      <c r="H641" s="218"/>
      <c r="I641" s="218"/>
      <c r="J641" s="218"/>
      <c r="K641" s="221"/>
      <c r="L641" s="218"/>
      <c r="M641" s="267"/>
    </row>
    <row r="642" spans="2:13" s="219" customFormat="1" x14ac:dyDescent="0.25">
      <c r="B642" s="218"/>
      <c r="C642" s="218"/>
      <c r="D642" s="218"/>
      <c r="E642" s="218"/>
      <c r="F642" s="218"/>
      <c r="G642" s="218"/>
      <c r="H642" s="218"/>
      <c r="I642" s="218"/>
      <c r="J642" s="218"/>
      <c r="K642" s="221"/>
      <c r="L642" s="218"/>
      <c r="M642" s="267"/>
    </row>
    <row r="643" spans="2:13" s="219" customFormat="1" x14ac:dyDescent="0.25">
      <c r="B643" s="218"/>
      <c r="C643" s="218"/>
      <c r="D643" s="218"/>
      <c r="E643" s="218"/>
      <c r="F643" s="218"/>
      <c r="G643" s="218"/>
      <c r="H643" s="218"/>
      <c r="I643" s="218"/>
      <c r="J643" s="218"/>
      <c r="K643" s="221"/>
      <c r="L643" s="218"/>
      <c r="M643" s="267"/>
    </row>
    <row r="644" spans="2:13" s="219" customFormat="1" x14ac:dyDescent="0.25">
      <c r="B644" s="218"/>
      <c r="C644" s="218"/>
      <c r="D644" s="218"/>
      <c r="E644" s="218"/>
      <c r="F644" s="218"/>
      <c r="G644" s="218"/>
      <c r="H644" s="218"/>
      <c r="I644" s="218"/>
      <c r="J644" s="218"/>
      <c r="K644" s="221"/>
      <c r="L644" s="218"/>
      <c r="M644" s="267"/>
    </row>
    <row r="645" spans="2:13" s="219" customFormat="1" x14ac:dyDescent="0.25">
      <c r="B645" s="218"/>
      <c r="C645" s="218"/>
      <c r="D645" s="218"/>
      <c r="E645" s="218"/>
      <c r="F645" s="218"/>
      <c r="G645" s="218"/>
      <c r="H645" s="218"/>
      <c r="I645" s="218"/>
      <c r="J645" s="218"/>
      <c r="K645" s="221"/>
      <c r="L645" s="218"/>
      <c r="M645" s="267"/>
    </row>
    <row r="646" spans="2:13" s="219" customFormat="1" x14ac:dyDescent="0.25">
      <c r="B646" s="218"/>
      <c r="C646" s="218"/>
      <c r="D646" s="218"/>
      <c r="E646" s="218"/>
      <c r="F646" s="218"/>
      <c r="G646" s="218"/>
      <c r="H646" s="218"/>
      <c r="I646" s="218"/>
      <c r="J646" s="218"/>
      <c r="K646" s="221"/>
      <c r="L646" s="218"/>
      <c r="M646" s="267"/>
    </row>
    <row r="647" spans="2:13" s="219" customFormat="1" x14ac:dyDescent="0.25">
      <c r="B647" s="218"/>
      <c r="C647" s="218"/>
      <c r="D647" s="218"/>
      <c r="E647" s="218"/>
      <c r="F647" s="218"/>
      <c r="G647" s="218"/>
      <c r="H647" s="218"/>
      <c r="I647" s="218"/>
      <c r="J647" s="218"/>
      <c r="K647" s="221"/>
      <c r="L647" s="218"/>
      <c r="M647" s="267"/>
    </row>
    <row r="648" spans="2:13" s="219" customFormat="1" x14ac:dyDescent="0.25">
      <c r="B648" s="218"/>
      <c r="C648" s="218"/>
      <c r="D648" s="218"/>
      <c r="E648" s="218"/>
      <c r="F648" s="218"/>
      <c r="G648" s="218"/>
      <c r="H648" s="218"/>
      <c r="I648" s="218"/>
      <c r="J648" s="218"/>
      <c r="K648" s="221"/>
      <c r="L648" s="218"/>
      <c r="M648" s="267"/>
    </row>
    <row r="649" spans="2:13" s="219" customFormat="1" x14ac:dyDescent="0.25">
      <c r="J649" s="223"/>
      <c r="K649" s="222"/>
    </row>
    <row r="650" spans="2:13" s="219" customFormat="1" x14ac:dyDescent="0.25">
      <c r="J650" s="223"/>
      <c r="K650" s="222"/>
    </row>
    <row r="651" spans="2:13" s="219" customFormat="1" x14ac:dyDescent="0.25">
      <c r="J651" s="223"/>
      <c r="K651" s="222"/>
    </row>
    <row r="652" spans="2:13" s="219" customFormat="1" x14ac:dyDescent="0.25">
      <c r="J652" s="223"/>
      <c r="K652" s="222"/>
    </row>
    <row r="653" spans="2:13" s="219" customFormat="1" x14ac:dyDescent="0.25">
      <c r="J653" s="223"/>
      <c r="K653" s="222"/>
    </row>
    <row r="654" spans="2:13" s="219" customFormat="1" x14ac:dyDescent="0.25">
      <c r="J654" s="223"/>
      <c r="K654" s="222"/>
    </row>
    <row r="655" spans="2:13" s="219" customFormat="1" x14ac:dyDescent="0.25">
      <c r="J655" s="223"/>
      <c r="K655" s="222"/>
    </row>
    <row r="656" spans="2:13" s="219" customFormat="1" x14ac:dyDescent="0.25">
      <c r="J656" s="223"/>
      <c r="K656" s="222"/>
    </row>
    <row r="657" spans="10:11" s="219" customFormat="1" x14ac:dyDescent="0.25">
      <c r="J657" s="223"/>
      <c r="K657" s="222"/>
    </row>
    <row r="658" spans="10:11" s="219" customFormat="1" x14ac:dyDescent="0.25">
      <c r="J658" s="223"/>
      <c r="K658" s="222"/>
    </row>
    <row r="659" spans="10:11" s="219" customFormat="1" x14ac:dyDescent="0.25">
      <c r="J659" s="223"/>
      <c r="K659" s="222"/>
    </row>
    <row r="660" spans="10:11" s="219" customFormat="1" x14ac:dyDescent="0.25">
      <c r="J660" s="223"/>
      <c r="K660" s="222"/>
    </row>
    <row r="661" spans="10:11" s="219" customFormat="1" x14ac:dyDescent="0.25">
      <c r="J661" s="223"/>
      <c r="K661" s="222"/>
    </row>
    <row r="662" spans="10:11" s="219" customFormat="1" x14ac:dyDescent="0.25">
      <c r="J662" s="223"/>
      <c r="K662" s="222"/>
    </row>
    <row r="663" spans="10:11" s="219" customFormat="1" x14ac:dyDescent="0.25">
      <c r="J663" s="223"/>
      <c r="K663" s="222"/>
    </row>
    <row r="664" spans="10:11" s="219" customFormat="1" x14ac:dyDescent="0.25">
      <c r="J664" s="223"/>
      <c r="K664" s="222"/>
    </row>
    <row r="665" spans="10:11" s="219" customFormat="1" x14ac:dyDescent="0.25">
      <c r="J665" s="223"/>
      <c r="K665" s="222"/>
    </row>
    <row r="666" spans="10:11" s="219" customFormat="1" x14ac:dyDescent="0.25">
      <c r="J666" s="223"/>
      <c r="K666" s="222"/>
    </row>
    <row r="667" spans="10:11" s="219" customFormat="1" x14ac:dyDescent="0.25">
      <c r="J667" s="223"/>
      <c r="K667" s="222"/>
    </row>
    <row r="668" spans="10:11" s="219" customFormat="1" x14ac:dyDescent="0.25">
      <c r="J668" s="223"/>
      <c r="K668" s="222"/>
    </row>
    <row r="669" spans="10:11" s="219" customFormat="1" x14ac:dyDescent="0.25">
      <c r="J669" s="223"/>
      <c r="K669" s="222"/>
    </row>
    <row r="670" spans="10:11" s="219" customFormat="1" x14ac:dyDescent="0.25">
      <c r="J670" s="223"/>
      <c r="K670" s="222"/>
    </row>
    <row r="671" spans="10:11" s="219" customFormat="1" x14ac:dyDescent="0.25">
      <c r="J671" s="223"/>
      <c r="K671" s="222"/>
    </row>
    <row r="672" spans="10:11" s="219" customFormat="1" x14ac:dyDescent="0.25">
      <c r="J672" s="223"/>
      <c r="K672" s="222"/>
    </row>
    <row r="673" spans="10:11" s="219" customFormat="1" x14ac:dyDescent="0.25">
      <c r="J673" s="223"/>
      <c r="K673" s="222"/>
    </row>
    <row r="674" spans="10:11" s="219" customFormat="1" x14ac:dyDescent="0.25">
      <c r="J674" s="223"/>
      <c r="K674" s="222"/>
    </row>
    <row r="675" spans="10:11" s="219" customFormat="1" x14ac:dyDescent="0.25">
      <c r="J675" s="223"/>
      <c r="K675" s="222"/>
    </row>
    <row r="676" spans="10:11" s="219" customFormat="1" x14ac:dyDescent="0.25">
      <c r="J676" s="223"/>
      <c r="K676" s="222"/>
    </row>
    <row r="677" spans="10:11" s="219" customFormat="1" x14ac:dyDescent="0.25">
      <c r="J677" s="223"/>
      <c r="K677" s="222"/>
    </row>
    <row r="678" spans="10:11" s="219" customFormat="1" x14ac:dyDescent="0.25">
      <c r="J678" s="223"/>
      <c r="K678" s="222"/>
    </row>
    <row r="679" spans="10:11" s="219" customFormat="1" x14ac:dyDescent="0.25">
      <c r="J679" s="223"/>
      <c r="K679" s="222"/>
    </row>
    <row r="680" spans="10:11" s="219" customFormat="1" x14ac:dyDescent="0.25">
      <c r="J680" s="223"/>
      <c r="K680" s="222"/>
    </row>
    <row r="681" spans="10:11" s="219" customFormat="1" x14ac:dyDescent="0.25">
      <c r="J681" s="223"/>
      <c r="K681" s="222"/>
    </row>
    <row r="682" spans="10:11" s="219" customFormat="1" x14ac:dyDescent="0.25">
      <c r="J682" s="223"/>
      <c r="K682" s="222"/>
    </row>
    <row r="683" spans="10:11" s="219" customFormat="1" x14ac:dyDescent="0.25">
      <c r="J683" s="223"/>
      <c r="K683" s="222"/>
    </row>
    <row r="684" spans="10:11" s="219" customFormat="1" x14ac:dyDescent="0.25">
      <c r="J684" s="223"/>
      <c r="K684" s="222"/>
    </row>
    <row r="685" spans="10:11" s="219" customFormat="1" x14ac:dyDescent="0.25">
      <c r="J685" s="223"/>
      <c r="K685" s="222"/>
    </row>
    <row r="686" spans="10:11" s="219" customFormat="1" x14ac:dyDescent="0.25">
      <c r="J686" s="223"/>
      <c r="K686" s="222"/>
    </row>
    <row r="687" spans="10:11" s="219" customFormat="1" x14ac:dyDescent="0.25">
      <c r="J687" s="223"/>
      <c r="K687" s="222"/>
    </row>
    <row r="688" spans="10:11" s="219" customFormat="1" x14ac:dyDescent="0.25">
      <c r="J688" s="223"/>
      <c r="K688" s="222"/>
    </row>
    <row r="689" spans="2:13" s="219" customFormat="1" x14ac:dyDescent="0.25">
      <c r="J689" s="223"/>
      <c r="K689" s="222"/>
    </row>
    <row r="690" spans="2:13" s="219" customFormat="1" x14ac:dyDescent="0.25">
      <c r="J690" s="223"/>
      <c r="K690" s="222"/>
    </row>
    <row r="691" spans="2:13" s="219" customFormat="1" x14ac:dyDescent="0.25">
      <c r="J691" s="223"/>
      <c r="K691" s="222"/>
    </row>
    <row r="692" spans="2:13" s="219" customFormat="1" x14ac:dyDescent="0.25">
      <c r="J692" s="223"/>
      <c r="K692" s="222"/>
    </row>
    <row r="693" spans="2:13" s="219" customFormat="1" x14ac:dyDescent="0.25">
      <c r="J693" s="223"/>
      <c r="K693" s="222"/>
    </row>
    <row r="694" spans="2:13" s="219" customFormat="1" x14ac:dyDescent="0.25">
      <c r="J694" s="223"/>
      <c r="K694" s="222"/>
    </row>
    <row r="695" spans="2:13" s="219" customFormat="1" x14ac:dyDescent="0.25">
      <c r="J695" s="223"/>
      <c r="K695" s="222"/>
    </row>
    <row r="696" spans="2:13" s="219" customFormat="1" x14ac:dyDescent="0.25">
      <c r="J696" s="223"/>
      <c r="K696" s="222"/>
    </row>
    <row r="697" spans="2:13" s="219" customFormat="1" x14ac:dyDescent="0.25">
      <c r="J697" s="223"/>
      <c r="K697" s="222"/>
    </row>
    <row r="698" spans="2:13" s="219" customFormat="1" x14ac:dyDescent="0.25">
      <c r="J698" s="223"/>
      <c r="K698" s="222"/>
    </row>
    <row r="699" spans="2:13" s="219" customFormat="1" x14ac:dyDescent="0.25">
      <c r="J699" s="223"/>
      <c r="K699" s="222"/>
    </row>
    <row r="700" spans="2:13" s="219" customFormat="1" x14ac:dyDescent="0.25">
      <c r="B700" s="218"/>
      <c r="C700" s="218"/>
      <c r="D700" s="218"/>
      <c r="E700" s="218"/>
      <c r="F700" s="218"/>
      <c r="G700" s="218"/>
      <c r="H700" s="218"/>
      <c r="I700" s="218"/>
      <c r="J700" s="218"/>
      <c r="K700" s="221"/>
      <c r="L700" s="218"/>
      <c r="M700" s="267"/>
    </row>
    <row r="701" spans="2:13" s="219" customFormat="1" x14ac:dyDescent="0.25">
      <c r="B701" s="218"/>
      <c r="C701" s="218"/>
      <c r="D701" s="218"/>
      <c r="E701" s="218"/>
      <c r="F701" s="218"/>
      <c r="G701" s="218"/>
      <c r="H701" s="218"/>
      <c r="I701" s="218"/>
      <c r="J701" s="218"/>
      <c r="K701" s="221"/>
      <c r="L701" s="218"/>
      <c r="M701" s="267"/>
    </row>
    <row r="702" spans="2:13" s="219" customFormat="1" x14ac:dyDescent="0.25">
      <c r="B702" s="218"/>
      <c r="C702" s="218"/>
      <c r="D702" s="218"/>
      <c r="E702" s="218"/>
      <c r="F702" s="218"/>
      <c r="G702" s="218"/>
      <c r="H702" s="218"/>
      <c r="I702" s="218"/>
      <c r="J702" s="218"/>
      <c r="K702" s="221"/>
      <c r="L702" s="218"/>
      <c r="M702" s="267"/>
    </row>
    <row r="703" spans="2:13" s="219" customFormat="1" x14ac:dyDescent="0.25">
      <c r="B703" s="218"/>
      <c r="C703" s="218"/>
      <c r="D703" s="218"/>
      <c r="E703" s="218"/>
      <c r="F703" s="218"/>
      <c r="G703" s="218"/>
      <c r="H703" s="218"/>
      <c r="I703" s="218"/>
      <c r="J703" s="218"/>
      <c r="K703" s="221"/>
      <c r="L703" s="218"/>
      <c r="M703" s="267"/>
    </row>
    <row r="704" spans="2:13" s="219" customFormat="1" x14ac:dyDescent="0.25">
      <c r="B704" s="218"/>
      <c r="C704" s="218"/>
      <c r="D704" s="218"/>
      <c r="E704" s="218"/>
      <c r="F704" s="218"/>
      <c r="G704" s="218"/>
      <c r="H704" s="218"/>
      <c r="I704" s="218"/>
      <c r="J704" s="218"/>
      <c r="K704" s="221"/>
      <c r="L704" s="218"/>
      <c r="M704" s="267"/>
    </row>
    <row r="705" spans="2:13" s="219" customFormat="1" x14ac:dyDescent="0.25">
      <c r="B705" s="218"/>
      <c r="C705" s="218"/>
      <c r="D705" s="218"/>
      <c r="E705" s="218"/>
      <c r="F705" s="218"/>
      <c r="G705" s="218"/>
      <c r="H705" s="218"/>
      <c r="I705" s="218"/>
      <c r="J705" s="218"/>
      <c r="K705" s="221"/>
      <c r="L705" s="218"/>
      <c r="M705" s="267"/>
    </row>
    <row r="706" spans="2:13" s="219" customFormat="1" x14ac:dyDescent="0.25">
      <c r="B706" s="218"/>
      <c r="C706" s="218"/>
      <c r="D706" s="218"/>
      <c r="E706" s="218"/>
      <c r="F706" s="218"/>
      <c r="G706" s="218"/>
      <c r="H706" s="218"/>
      <c r="I706" s="218"/>
      <c r="J706" s="218"/>
      <c r="K706" s="221"/>
      <c r="L706" s="218"/>
      <c r="M706" s="267"/>
    </row>
    <row r="707" spans="2:13" s="219" customFormat="1" x14ac:dyDescent="0.25">
      <c r="B707" s="218"/>
      <c r="C707" s="218"/>
      <c r="D707" s="218"/>
      <c r="E707" s="218"/>
      <c r="F707" s="218"/>
      <c r="G707" s="218"/>
      <c r="H707" s="218"/>
      <c r="I707" s="218"/>
      <c r="J707" s="218"/>
      <c r="K707" s="221"/>
      <c r="L707" s="218"/>
      <c r="M707" s="267"/>
    </row>
    <row r="708" spans="2:13" s="219" customFormat="1" x14ac:dyDescent="0.25">
      <c r="B708" s="218"/>
      <c r="C708" s="218"/>
      <c r="D708" s="218"/>
      <c r="E708" s="218"/>
      <c r="F708" s="218"/>
      <c r="G708" s="218"/>
      <c r="H708" s="218"/>
      <c r="I708" s="218"/>
      <c r="J708" s="218"/>
      <c r="K708" s="221"/>
      <c r="L708" s="218"/>
      <c r="M708" s="267"/>
    </row>
    <row r="709" spans="2:13" s="219" customFormat="1" x14ac:dyDescent="0.25">
      <c r="B709" s="218"/>
      <c r="C709" s="218"/>
      <c r="D709" s="218"/>
      <c r="E709" s="218"/>
      <c r="F709" s="218"/>
      <c r="G709" s="218"/>
      <c r="H709" s="218"/>
      <c r="I709" s="218"/>
      <c r="J709" s="218"/>
      <c r="K709" s="221"/>
      <c r="L709" s="218"/>
      <c r="M709" s="267"/>
    </row>
    <row r="710" spans="2:13" s="219" customFormat="1" x14ac:dyDescent="0.25">
      <c r="B710" s="218"/>
      <c r="C710" s="218"/>
      <c r="D710" s="218"/>
      <c r="E710" s="218"/>
      <c r="F710" s="218"/>
      <c r="G710" s="218"/>
      <c r="H710" s="218"/>
      <c r="I710" s="218"/>
      <c r="J710" s="218"/>
      <c r="K710" s="221"/>
      <c r="L710" s="218"/>
      <c r="M710" s="267"/>
    </row>
    <row r="711" spans="2:13" s="219" customFormat="1" x14ac:dyDescent="0.25">
      <c r="B711" s="218"/>
      <c r="C711" s="218"/>
      <c r="D711" s="218"/>
      <c r="E711" s="218"/>
      <c r="F711" s="218"/>
      <c r="G711" s="218"/>
      <c r="H711" s="218"/>
      <c r="I711" s="218"/>
      <c r="J711" s="218"/>
      <c r="K711" s="221"/>
      <c r="L711" s="218"/>
      <c r="M711" s="267"/>
    </row>
    <row r="712" spans="2:13" s="219" customFormat="1" x14ac:dyDescent="0.25">
      <c r="B712" s="218"/>
      <c r="C712" s="218"/>
      <c r="D712" s="218"/>
      <c r="E712" s="218"/>
      <c r="F712" s="218"/>
      <c r="G712" s="218"/>
      <c r="H712" s="218"/>
      <c r="I712" s="218"/>
      <c r="J712" s="218"/>
      <c r="K712" s="221"/>
      <c r="L712" s="218"/>
      <c r="M712" s="267"/>
    </row>
    <row r="713" spans="2:13" s="219" customFormat="1" x14ac:dyDescent="0.25">
      <c r="B713" s="218"/>
      <c r="C713" s="218"/>
      <c r="D713" s="218"/>
      <c r="E713" s="218"/>
      <c r="F713" s="218"/>
      <c r="G713" s="218"/>
      <c r="H713" s="218"/>
      <c r="I713" s="218"/>
      <c r="J713" s="218"/>
      <c r="K713" s="221"/>
      <c r="L713" s="218"/>
      <c r="M713" s="267"/>
    </row>
    <row r="714" spans="2:13" s="219" customFormat="1" x14ac:dyDescent="0.25">
      <c r="B714" s="218"/>
      <c r="C714" s="218"/>
      <c r="D714" s="218"/>
      <c r="E714" s="218"/>
      <c r="F714" s="218"/>
      <c r="G714" s="218"/>
      <c r="H714" s="218"/>
      <c r="I714" s="218"/>
      <c r="J714" s="218"/>
      <c r="K714" s="221"/>
      <c r="L714" s="218"/>
      <c r="M714" s="267"/>
    </row>
    <row r="715" spans="2:13" s="219" customFormat="1" x14ac:dyDescent="0.25">
      <c r="B715" s="218"/>
      <c r="C715" s="218"/>
      <c r="D715" s="218"/>
      <c r="E715" s="218"/>
      <c r="F715" s="218"/>
      <c r="G715" s="218"/>
      <c r="H715" s="218"/>
      <c r="I715" s="218"/>
      <c r="J715" s="218"/>
      <c r="K715" s="221"/>
      <c r="L715" s="218"/>
      <c r="M715" s="267"/>
    </row>
    <row r="716" spans="2:13" s="219" customFormat="1" x14ac:dyDescent="0.25">
      <c r="B716" s="218"/>
      <c r="C716" s="218"/>
      <c r="D716" s="218"/>
      <c r="E716" s="218"/>
      <c r="F716" s="218"/>
      <c r="G716" s="218"/>
      <c r="H716" s="218"/>
      <c r="I716" s="218"/>
      <c r="J716" s="218"/>
      <c r="K716" s="221"/>
      <c r="L716" s="218"/>
      <c r="M716" s="267"/>
    </row>
    <row r="717" spans="2:13" s="219" customFormat="1" x14ac:dyDescent="0.25">
      <c r="B717" s="218"/>
      <c r="C717" s="218"/>
      <c r="D717" s="218"/>
      <c r="E717" s="218"/>
      <c r="F717" s="218"/>
      <c r="G717" s="218"/>
      <c r="H717" s="218"/>
      <c r="I717" s="218"/>
      <c r="J717" s="218"/>
      <c r="K717" s="221"/>
      <c r="L717" s="218"/>
      <c r="M717" s="267"/>
    </row>
    <row r="718" spans="2:13" s="219" customFormat="1" x14ac:dyDescent="0.25">
      <c r="B718" s="218"/>
      <c r="C718" s="218"/>
      <c r="D718" s="218"/>
      <c r="E718" s="218"/>
      <c r="F718" s="218"/>
      <c r="G718" s="218"/>
      <c r="H718" s="218"/>
      <c r="I718" s="218"/>
      <c r="J718" s="218"/>
      <c r="K718" s="221"/>
      <c r="L718" s="218"/>
      <c r="M718" s="267"/>
    </row>
    <row r="719" spans="2:13" s="219" customFormat="1" x14ac:dyDescent="0.25">
      <c r="B719" s="218"/>
      <c r="C719" s="218"/>
      <c r="D719" s="218"/>
      <c r="E719" s="218"/>
      <c r="F719" s="218"/>
      <c r="G719" s="218"/>
      <c r="H719" s="218"/>
      <c r="I719" s="218"/>
      <c r="J719" s="218"/>
      <c r="K719" s="221"/>
      <c r="L719" s="218"/>
      <c r="M719" s="267"/>
    </row>
    <row r="720" spans="2:13" s="219" customFormat="1" x14ac:dyDescent="0.25">
      <c r="B720" s="218"/>
      <c r="C720" s="218"/>
      <c r="D720" s="218"/>
      <c r="E720" s="218"/>
      <c r="F720" s="218"/>
      <c r="G720" s="218"/>
      <c r="H720" s="218"/>
      <c r="I720" s="218"/>
      <c r="J720" s="218"/>
      <c r="K720" s="221"/>
      <c r="L720" s="218"/>
      <c r="M720" s="267"/>
    </row>
    <row r="721" spans="2:13" s="219" customFormat="1" x14ac:dyDescent="0.25">
      <c r="B721" s="218"/>
      <c r="C721" s="218"/>
      <c r="D721" s="218"/>
      <c r="E721" s="218"/>
      <c r="F721" s="218"/>
      <c r="G721" s="218"/>
      <c r="H721" s="218"/>
      <c r="I721" s="218"/>
      <c r="J721" s="218"/>
      <c r="K721" s="221"/>
      <c r="L721" s="218"/>
      <c r="M721" s="267"/>
    </row>
    <row r="722" spans="2:13" s="219" customFormat="1" x14ac:dyDescent="0.25">
      <c r="B722" s="218"/>
      <c r="C722" s="218"/>
      <c r="D722" s="218"/>
      <c r="E722" s="218"/>
      <c r="F722" s="218"/>
      <c r="G722" s="218"/>
      <c r="H722" s="218"/>
      <c r="I722" s="218"/>
      <c r="J722" s="218"/>
      <c r="K722" s="221"/>
      <c r="L722" s="218"/>
      <c r="M722" s="267"/>
    </row>
    <row r="723" spans="2:13" s="219" customFormat="1" x14ac:dyDescent="0.25">
      <c r="B723" s="218"/>
      <c r="C723" s="218"/>
      <c r="D723" s="218"/>
      <c r="E723" s="218"/>
      <c r="F723" s="218"/>
      <c r="G723" s="218"/>
      <c r="H723" s="218"/>
      <c r="I723" s="218"/>
      <c r="J723" s="218"/>
      <c r="K723" s="221"/>
      <c r="L723" s="218"/>
      <c r="M723" s="267"/>
    </row>
    <row r="724" spans="2:13" s="219" customFormat="1" x14ac:dyDescent="0.25">
      <c r="B724" s="218"/>
      <c r="C724" s="218"/>
      <c r="D724" s="218"/>
      <c r="E724" s="218"/>
      <c r="F724" s="218"/>
      <c r="G724" s="218"/>
      <c r="H724" s="218"/>
      <c r="I724" s="218"/>
      <c r="J724" s="218"/>
      <c r="K724" s="221"/>
      <c r="L724" s="218"/>
      <c r="M724" s="267"/>
    </row>
    <row r="725" spans="2:13" s="219" customFormat="1" x14ac:dyDescent="0.25">
      <c r="B725" s="218"/>
      <c r="C725" s="218"/>
      <c r="D725" s="218"/>
      <c r="E725" s="218"/>
      <c r="F725" s="218"/>
      <c r="G725" s="218"/>
      <c r="H725" s="218"/>
      <c r="I725" s="218"/>
      <c r="J725" s="218"/>
      <c r="K725" s="221"/>
      <c r="L725" s="218"/>
      <c r="M725" s="267"/>
    </row>
    <row r="726" spans="2:13" s="219" customFormat="1" x14ac:dyDescent="0.25">
      <c r="B726" s="218"/>
      <c r="C726" s="218"/>
      <c r="D726" s="218"/>
      <c r="E726" s="218"/>
      <c r="F726" s="218"/>
      <c r="G726" s="218"/>
      <c r="H726" s="218"/>
      <c r="I726" s="218"/>
      <c r="J726" s="218"/>
      <c r="K726" s="221"/>
      <c r="L726" s="218"/>
      <c r="M726" s="267"/>
    </row>
    <row r="727" spans="2:13" s="219" customFormat="1" x14ac:dyDescent="0.25">
      <c r="B727" s="218"/>
      <c r="C727" s="218"/>
      <c r="D727" s="218"/>
      <c r="E727" s="218"/>
      <c r="F727" s="218"/>
      <c r="G727" s="218"/>
      <c r="H727" s="218"/>
      <c r="I727" s="218"/>
      <c r="J727" s="218"/>
      <c r="K727" s="221"/>
      <c r="L727" s="218"/>
      <c r="M727" s="267"/>
    </row>
    <row r="728" spans="2:13" s="219" customFormat="1" x14ac:dyDescent="0.25">
      <c r="B728" s="218"/>
      <c r="C728" s="218"/>
      <c r="D728" s="218"/>
      <c r="E728" s="218"/>
      <c r="F728" s="218"/>
      <c r="G728" s="218"/>
      <c r="H728" s="218"/>
      <c r="I728" s="218"/>
      <c r="J728" s="218"/>
      <c r="K728" s="221"/>
      <c r="L728" s="218"/>
      <c r="M728" s="267"/>
    </row>
    <row r="729" spans="2:13" s="219" customFormat="1" x14ac:dyDescent="0.25">
      <c r="B729" s="218"/>
      <c r="C729" s="218"/>
      <c r="D729" s="218"/>
      <c r="E729" s="218"/>
      <c r="F729" s="218"/>
      <c r="G729" s="218"/>
      <c r="H729" s="218"/>
      <c r="I729" s="218"/>
      <c r="J729" s="218"/>
      <c r="K729" s="221"/>
      <c r="L729" s="218"/>
      <c r="M729" s="267"/>
    </row>
    <row r="730" spans="2:13" s="219" customFormat="1" x14ac:dyDescent="0.25">
      <c r="B730" s="218"/>
      <c r="C730" s="218"/>
      <c r="D730" s="218"/>
      <c r="E730" s="218"/>
      <c r="F730" s="218"/>
      <c r="G730" s="218"/>
      <c r="H730" s="218"/>
      <c r="I730" s="218"/>
      <c r="J730" s="218"/>
      <c r="K730" s="221"/>
      <c r="L730" s="218"/>
      <c r="M730" s="267"/>
    </row>
    <row r="731" spans="2:13" s="219" customFormat="1" x14ac:dyDescent="0.25">
      <c r="B731" s="218"/>
      <c r="C731" s="218"/>
      <c r="D731" s="218"/>
      <c r="E731" s="218"/>
      <c r="F731" s="218"/>
      <c r="G731" s="218"/>
      <c r="H731" s="218"/>
      <c r="I731" s="218"/>
      <c r="J731" s="218"/>
      <c r="K731" s="221"/>
      <c r="L731" s="218"/>
      <c r="M731" s="267"/>
    </row>
    <row r="732" spans="2:13" s="219" customFormat="1" x14ac:dyDescent="0.25">
      <c r="B732" s="218"/>
      <c r="C732" s="218"/>
      <c r="D732" s="218"/>
      <c r="E732" s="218"/>
      <c r="F732" s="218"/>
      <c r="G732" s="218"/>
      <c r="H732" s="218"/>
      <c r="I732" s="218"/>
      <c r="J732" s="218"/>
      <c r="K732" s="221"/>
      <c r="L732" s="218"/>
      <c r="M732" s="267"/>
    </row>
    <row r="733" spans="2:13" s="219" customFormat="1" x14ac:dyDescent="0.25">
      <c r="B733" s="218"/>
      <c r="C733" s="218"/>
      <c r="D733" s="218"/>
      <c r="E733" s="218"/>
      <c r="F733" s="218"/>
      <c r="G733" s="218"/>
      <c r="H733" s="218"/>
      <c r="I733" s="218"/>
      <c r="J733" s="218"/>
      <c r="K733" s="221"/>
      <c r="L733" s="218"/>
      <c r="M733" s="267"/>
    </row>
    <row r="734" spans="2:13" s="219" customFormat="1" x14ac:dyDescent="0.25">
      <c r="B734" s="218"/>
      <c r="C734" s="218"/>
      <c r="D734" s="218"/>
      <c r="E734" s="218"/>
      <c r="F734" s="218"/>
      <c r="G734" s="218"/>
      <c r="H734" s="218"/>
      <c r="I734" s="218"/>
      <c r="J734" s="218"/>
      <c r="K734" s="221"/>
      <c r="L734" s="218"/>
      <c r="M734" s="267"/>
    </row>
    <row r="735" spans="2:13" s="219" customFormat="1" x14ac:dyDescent="0.25">
      <c r="B735" s="218"/>
      <c r="C735" s="218"/>
      <c r="D735" s="218"/>
      <c r="E735" s="218"/>
      <c r="F735" s="218"/>
      <c r="G735" s="218"/>
      <c r="H735" s="218"/>
      <c r="I735" s="218"/>
      <c r="J735" s="218"/>
      <c r="K735" s="221"/>
      <c r="L735" s="218"/>
      <c r="M735" s="267"/>
    </row>
    <row r="736" spans="2:13" s="219" customFormat="1" x14ac:dyDescent="0.25">
      <c r="B736" s="218"/>
      <c r="C736" s="218"/>
      <c r="D736" s="218"/>
      <c r="E736" s="218"/>
      <c r="F736" s="218"/>
      <c r="G736" s="218"/>
      <c r="H736" s="218"/>
      <c r="I736" s="218"/>
      <c r="J736" s="218"/>
      <c r="K736" s="221"/>
      <c r="L736" s="218"/>
      <c r="M736" s="267"/>
    </row>
    <row r="737" spans="2:13" s="219" customFormat="1" x14ac:dyDescent="0.25">
      <c r="B737" s="218"/>
      <c r="C737" s="218"/>
      <c r="D737" s="218"/>
      <c r="E737" s="218"/>
      <c r="F737" s="218"/>
      <c r="G737" s="218"/>
      <c r="H737" s="218"/>
      <c r="I737" s="218"/>
      <c r="J737" s="218"/>
      <c r="K737" s="221"/>
      <c r="L737" s="218"/>
      <c r="M737" s="267"/>
    </row>
    <row r="738" spans="2:13" s="219" customFormat="1" x14ac:dyDescent="0.25">
      <c r="B738" s="218"/>
      <c r="C738" s="218"/>
      <c r="D738" s="218"/>
      <c r="E738" s="218"/>
      <c r="F738" s="218"/>
      <c r="G738" s="218"/>
      <c r="H738" s="218"/>
      <c r="I738" s="218"/>
      <c r="J738" s="218"/>
      <c r="K738" s="221"/>
      <c r="L738" s="218"/>
      <c r="M738" s="267"/>
    </row>
    <row r="739" spans="2:13" s="219" customFormat="1" x14ac:dyDescent="0.25">
      <c r="B739" s="218"/>
      <c r="C739" s="218"/>
      <c r="D739" s="218"/>
      <c r="E739" s="218"/>
      <c r="F739" s="218"/>
      <c r="G739" s="218"/>
      <c r="H739" s="218"/>
      <c r="I739" s="218"/>
      <c r="J739" s="218"/>
      <c r="K739" s="221"/>
      <c r="L739" s="218"/>
      <c r="M739" s="267"/>
    </row>
    <row r="740" spans="2:13" s="219" customFormat="1" x14ac:dyDescent="0.25">
      <c r="B740" s="218"/>
      <c r="C740" s="218"/>
      <c r="D740" s="218"/>
      <c r="E740" s="218"/>
      <c r="F740" s="218"/>
      <c r="G740" s="218"/>
      <c r="H740" s="218"/>
      <c r="I740" s="218"/>
      <c r="J740" s="218"/>
      <c r="K740" s="221"/>
      <c r="L740" s="218"/>
      <c r="M740" s="267"/>
    </row>
    <row r="741" spans="2:13" s="219" customFormat="1" x14ac:dyDescent="0.25">
      <c r="B741" s="218"/>
      <c r="C741" s="218"/>
      <c r="D741" s="218"/>
      <c r="E741" s="218"/>
      <c r="F741" s="218"/>
      <c r="G741" s="218"/>
      <c r="H741" s="218"/>
      <c r="I741" s="218"/>
      <c r="J741" s="218"/>
      <c r="K741" s="221"/>
      <c r="L741" s="218"/>
      <c r="M741" s="267"/>
    </row>
    <row r="742" spans="2:13" s="219" customFormat="1" x14ac:dyDescent="0.25">
      <c r="B742" s="218"/>
      <c r="C742" s="218"/>
      <c r="D742" s="218"/>
      <c r="E742" s="218"/>
      <c r="F742" s="218"/>
      <c r="G742" s="218"/>
      <c r="H742" s="218"/>
      <c r="I742" s="218"/>
      <c r="J742" s="218"/>
      <c r="K742" s="221"/>
      <c r="L742" s="218"/>
      <c r="M742" s="267"/>
    </row>
    <row r="743" spans="2:13" s="219" customFormat="1" x14ac:dyDescent="0.25">
      <c r="B743" s="218"/>
      <c r="C743" s="218"/>
      <c r="D743" s="218"/>
      <c r="E743" s="218"/>
      <c r="F743" s="218"/>
      <c r="G743" s="218"/>
      <c r="H743" s="218"/>
      <c r="I743" s="218"/>
      <c r="J743" s="218"/>
      <c r="K743" s="221"/>
      <c r="L743" s="218"/>
      <c r="M743" s="267"/>
    </row>
    <row r="744" spans="2:13" s="219" customFormat="1" x14ac:dyDescent="0.25">
      <c r="B744" s="218"/>
      <c r="C744" s="218"/>
      <c r="D744" s="218"/>
      <c r="E744" s="218"/>
      <c r="F744" s="218"/>
      <c r="G744" s="218"/>
      <c r="H744" s="218"/>
      <c r="I744" s="218"/>
      <c r="J744" s="218"/>
      <c r="K744" s="221"/>
      <c r="L744" s="218"/>
      <c r="M744" s="267"/>
    </row>
    <row r="745" spans="2:13" s="219" customFormat="1" x14ac:dyDescent="0.25">
      <c r="B745" s="218"/>
      <c r="C745" s="218"/>
      <c r="D745" s="218"/>
      <c r="E745" s="218"/>
      <c r="F745" s="218"/>
      <c r="G745" s="218"/>
      <c r="H745" s="218"/>
      <c r="I745" s="218"/>
      <c r="J745" s="218"/>
      <c r="K745" s="221"/>
      <c r="L745" s="218"/>
      <c r="M745" s="267"/>
    </row>
    <row r="746" spans="2:13" s="219" customFormat="1" x14ac:dyDescent="0.25">
      <c r="B746" s="218"/>
      <c r="C746" s="218"/>
      <c r="D746" s="218"/>
      <c r="E746" s="218"/>
      <c r="F746" s="218"/>
      <c r="G746" s="218"/>
      <c r="H746" s="218"/>
      <c r="I746" s="218"/>
      <c r="J746" s="218"/>
      <c r="K746" s="221"/>
      <c r="L746" s="218"/>
      <c r="M746" s="267"/>
    </row>
    <row r="747" spans="2:13" s="219" customFormat="1" x14ac:dyDescent="0.25">
      <c r="B747" s="218"/>
      <c r="C747" s="218"/>
      <c r="D747" s="218"/>
      <c r="E747" s="218"/>
      <c r="F747" s="218"/>
      <c r="G747" s="218"/>
      <c r="H747" s="218"/>
      <c r="I747" s="218"/>
      <c r="J747" s="218"/>
      <c r="K747" s="221"/>
      <c r="L747" s="218"/>
      <c r="M747" s="267"/>
    </row>
    <row r="748" spans="2:13" s="219" customFormat="1" x14ac:dyDescent="0.25">
      <c r="B748" s="218"/>
      <c r="C748" s="218"/>
      <c r="D748" s="218"/>
      <c r="E748" s="218"/>
      <c r="F748" s="218"/>
      <c r="G748" s="218"/>
      <c r="H748" s="218"/>
      <c r="I748" s="218"/>
      <c r="J748" s="218"/>
      <c r="K748" s="221"/>
      <c r="L748" s="218"/>
      <c r="M748" s="267"/>
    </row>
    <row r="749" spans="2:13" s="219" customFormat="1" x14ac:dyDescent="0.25">
      <c r="B749" s="218"/>
      <c r="C749" s="218"/>
      <c r="D749" s="218"/>
      <c r="E749" s="218"/>
      <c r="F749" s="218"/>
      <c r="G749" s="218"/>
      <c r="H749" s="218"/>
      <c r="I749" s="218"/>
      <c r="J749" s="218"/>
      <c r="K749" s="221"/>
      <c r="L749" s="218"/>
      <c r="M749" s="267"/>
    </row>
    <row r="750" spans="2:13" s="219" customFormat="1" x14ac:dyDescent="0.25">
      <c r="B750" s="218"/>
      <c r="C750" s="218"/>
      <c r="D750" s="218"/>
      <c r="E750" s="218"/>
      <c r="F750" s="218"/>
      <c r="G750" s="218"/>
      <c r="H750" s="218"/>
      <c r="I750" s="218"/>
      <c r="J750" s="218"/>
      <c r="K750" s="221"/>
      <c r="L750" s="218"/>
      <c r="M750" s="267"/>
    </row>
    <row r="751" spans="2:13" s="219" customFormat="1" x14ac:dyDescent="0.25">
      <c r="B751" s="218"/>
      <c r="C751" s="218"/>
      <c r="D751" s="218"/>
      <c r="E751" s="218"/>
      <c r="F751" s="218"/>
      <c r="G751" s="218"/>
      <c r="H751" s="218"/>
      <c r="I751" s="218"/>
      <c r="J751" s="218"/>
      <c r="K751" s="221"/>
      <c r="L751" s="218"/>
      <c r="M751" s="267"/>
    </row>
    <row r="752" spans="2:13" s="219" customFormat="1" x14ac:dyDescent="0.25">
      <c r="B752" s="218"/>
      <c r="C752" s="218"/>
      <c r="D752" s="218"/>
      <c r="E752" s="218"/>
      <c r="F752" s="218"/>
      <c r="G752" s="218"/>
      <c r="H752" s="218"/>
      <c r="I752" s="218"/>
      <c r="J752" s="218"/>
      <c r="K752" s="221"/>
      <c r="L752" s="218"/>
      <c r="M752" s="267"/>
    </row>
    <row r="753" spans="2:13" s="219" customFormat="1" x14ac:dyDescent="0.25">
      <c r="B753" s="218"/>
      <c r="C753" s="218"/>
      <c r="D753" s="218"/>
      <c r="E753" s="218"/>
      <c r="F753" s="218"/>
      <c r="G753" s="218"/>
      <c r="H753" s="218"/>
      <c r="I753" s="218"/>
      <c r="J753" s="218"/>
      <c r="K753" s="221"/>
      <c r="L753" s="218"/>
      <c r="M753" s="267"/>
    </row>
    <row r="754" spans="2:13" s="219" customFormat="1" x14ac:dyDescent="0.25">
      <c r="B754" s="218"/>
      <c r="C754" s="218"/>
      <c r="D754" s="218"/>
      <c r="E754" s="218"/>
      <c r="F754" s="218"/>
      <c r="G754" s="218"/>
      <c r="H754" s="218"/>
      <c r="I754" s="218"/>
      <c r="J754" s="218"/>
      <c r="K754" s="221"/>
      <c r="L754" s="218"/>
      <c r="M754" s="267"/>
    </row>
    <row r="755" spans="2:13" s="219" customFormat="1" x14ac:dyDescent="0.25">
      <c r="B755" s="218"/>
      <c r="C755" s="218"/>
      <c r="D755" s="218"/>
      <c r="E755" s="218"/>
      <c r="F755" s="218"/>
      <c r="G755" s="218"/>
      <c r="H755" s="218"/>
      <c r="I755" s="218"/>
      <c r="J755" s="218"/>
      <c r="K755" s="221"/>
      <c r="L755" s="218"/>
      <c r="M755" s="267"/>
    </row>
    <row r="756" spans="2:13" s="219" customFormat="1" x14ac:dyDescent="0.25">
      <c r="B756" s="218"/>
      <c r="C756" s="218"/>
      <c r="D756" s="218"/>
      <c r="E756" s="218"/>
      <c r="F756" s="218"/>
      <c r="G756" s="218"/>
      <c r="H756" s="218"/>
      <c r="I756" s="218"/>
      <c r="J756" s="218"/>
      <c r="K756" s="221"/>
      <c r="L756" s="218"/>
      <c r="M756" s="267"/>
    </row>
    <row r="757" spans="2:13" s="219" customFormat="1" x14ac:dyDescent="0.25">
      <c r="B757" s="218"/>
      <c r="C757" s="218"/>
      <c r="D757" s="218"/>
      <c r="E757" s="218"/>
      <c r="F757" s="218"/>
      <c r="G757" s="218"/>
      <c r="H757" s="218"/>
      <c r="I757" s="218"/>
      <c r="J757" s="218"/>
      <c r="K757" s="221"/>
      <c r="L757" s="218"/>
      <c r="M757" s="267"/>
    </row>
    <row r="758" spans="2:13" s="219" customFormat="1" x14ac:dyDescent="0.25">
      <c r="B758" s="218"/>
      <c r="C758" s="218"/>
      <c r="D758" s="218"/>
      <c r="E758" s="218"/>
      <c r="F758" s="218"/>
      <c r="G758" s="218"/>
      <c r="H758" s="218"/>
      <c r="I758" s="218"/>
      <c r="J758" s="218"/>
      <c r="K758" s="221"/>
      <c r="L758" s="218"/>
      <c r="M758" s="267"/>
    </row>
    <row r="759" spans="2:13" s="219" customFormat="1" x14ac:dyDescent="0.25">
      <c r="B759" s="218"/>
      <c r="C759" s="218"/>
      <c r="D759" s="218"/>
      <c r="E759" s="218"/>
      <c r="F759" s="218"/>
      <c r="G759" s="218"/>
      <c r="H759" s="218"/>
      <c r="I759" s="218"/>
      <c r="J759" s="218"/>
      <c r="K759" s="221"/>
      <c r="L759" s="218"/>
      <c r="M759" s="267"/>
    </row>
    <row r="760" spans="2:13" s="219" customFormat="1" x14ac:dyDescent="0.25">
      <c r="B760" s="218"/>
      <c r="C760" s="218"/>
      <c r="D760" s="218"/>
      <c r="E760" s="218"/>
      <c r="F760" s="218"/>
      <c r="G760" s="218"/>
      <c r="H760" s="218"/>
      <c r="I760" s="218"/>
      <c r="J760" s="218"/>
      <c r="K760" s="221"/>
      <c r="L760" s="218"/>
      <c r="M760" s="267"/>
    </row>
    <row r="761" spans="2:13" s="219" customFormat="1" x14ac:dyDescent="0.25">
      <c r="B761" s="218"/>
      <c r="C761" s="218"/>
      <c r="D761" s="218"/>
      <c r="E761" s="218"/>
      <c r="F761" s="218"/>
      <c r="G761" s="218"/>
      <c r="H761" s="218"/>
      <c r="I761" s="218"/>
      <c r="J761" s="218"/>
      <c r="K761" s="221"/>
      <c r="L761" s="218"/>
      <c r="M761" s="267"/>
    </row>
    <row r="762" spans="2:13" s="219" customFormat="1" x14ac:dyDescent="0.25">
      <c r="B762" s="218"/>
      <c r="C762" s="218"/>
      <c r="D762" s="218"/>
      <c r="E762" s="218"/>
      <c r="F762" s="218"/>
      <c r="G762" s="218"/>
      <c r="H762" s="218"/>
      <c r="I762" s="218"/>
      <c r="J762" s="218"/>
      <c r="K762" s="221"/>
      <c r="L762" s="218"/>
      <c r="M762" s="267"/>
    </row>
    <row r="763" spans="2:13" s="219" customFormat="1" x14ac:dyDescent="0.25">
      <c r="B763" s="218"/>
      <c r="C763" s="218"/>
      <c r="D763" s="218"/>
      <c r="E763" s="218"/>
      <c r="F763" s="218"/>
      <c r="G763" s="218"/>
      <c r="H763" s="218"/>
      <c r="I763" s="218"/>
      <c r="J763" s="218"/>
      <c r="K763" s="221"/>
      <c r="L763" s="218"/>
      <c r="M763" s="267"/>
    </row>
    <row r="764" spans="2:13" s="219" customFormat="1" x14ac:dyDescent="0.25">
      <c r="B764" s="218"/>
      <c r="C764" s="218"/>
      <c r="D764" s="218"/>
      <c r="E764" s="218"/>
      <c r="F764" s="218"/>
      <c r="G764" s="218"/>
      <c r="H764" s="218"/>
      <c r="I764" s="218"/>
      <c r="J764" s="218"/>
      <c r="K764" s="221"/>
      <c r="L764" s="218"/>
      <c r="M764" s="267"/>
    </row>
    <row r="765" spans="2:13" s="219" customFormat="1" x14ac:dyDescent="0.25">
      <c r="B765" s="218"/>
      <c r="C765" s="218"/>
      <c r="D765" s="218"/>
      <c r="E765" s="218"/>
      <c r="F765" s="218"/>
      <c r="G765" s="218"/>
      <c r="H765" s="218"/>
      <c r="I765" s="218"/>
      <c r="J765" s="218"/>
      <c r="K765" s="221"/>
      <c r="L765" s="218"/>
      <c r="M765" s="267"/>
    </row>
    <row r="766" spans="2:13" s="219" customFormat="1" x14ac:dyDescent="0.25">
      <c r="B766" s="218"/>
      <c r="C766" s="218"/>
      <c r="D766" s="218"/>
      <c r="E766" s="218"/>
      <c r="F766" s="218"/>
      <c r="G766" s="218"/>
      <c r="H766" s="218"/>
      <c r="I766" s="218"/>
      <c r="J766" s="218"/>
      <c r="K766" s="221"/>
      <c r="L766" s="218"/>
      <c r="M766" s="267"/>
    </row>
    <row r="767" spans="2:13" s="219" customFormat="1" x14ac:dyDescent="0.25">
      <c r="B767" s="218"/>
      <c r="C767" s="218"/>
      <c r="D767" s="218"/>
      <c r="E767" s="218"/>
      <c r="F767" s="218"/>
      <c r="G767" s="218"/>
      <c r="H767" s="218"/>
      <c r="I767" s="218"/>
      <c r="J767" s="218"/>
      <c r="K767" s="221"/>
      <c r="L767" s="218"/>
      <c r="M767" s="267"/>
    </row>
    <row r="768" spans="2:13" s="219" customFormat="1" x14ac:dyDescent="0.25">
      <c r="B768" s="218"/>
      <c r="C768" s="218"/>
      <c r="D768" s="218"/>
      <c r="E768" s="218"/>
      <c r="F768" s="218"/>
      <c r="G768" s="218"/>
      <c r="H768" s="218"/>
      <c r="I768" s="218"/>
      <c r="J768" s="218"/>
      <c r="K768" s="221"/>
      <c r="L768" s="218"/>
      <c r="M768" s="267"/>
    </row>
    <row r="769" spans="2:13" s="219" customFormat="1" x14ac:dyDescent="0.25">
      <c r="B769" s="218"/>
      <c r="C769" s="218"/>
      <c r="D769" s="218"/>
      <c r="E769" s="218"/>
      <c r="F769" s="218"/>
      <c r="G769" s="218"/>
      <c r="H769" s="218"/>
      <c r="I769" s="218"/>
      <c r="J769" s="218"/>
      <c r="K769" s="221"/>
      <c r="L769" s="218"/>
      <c r="M769" s="267"/>
    </row>
    <row r="770" spans="2:13" s="219" customFormat="1" x14ac:dyDescent="0.25">
      <c r="B770" s="218"/>
      <c r="C770" s="218"/>
      <c r="D770" s="218"/>
      <c r="E770" s="218"/>
      <c r="F770" s="218"/>
      <c r="G770" s="218"/>
      <c r="H770" s="218"/>
      <c r="I770" s="218"/>
      <c r="J770" s="218"/>
      <c r="K770" s="221"/>
      <c r="L770" s="218"/>
      <c r="M770" s="267"/>
    </row>
    <row r="771" spans="2:13" s="219" customFormat="1" x14ac:dyDescent="0.25">
      <c r="B771" s="218"/>
      <c r="C771" s="218"/>
      <c r="D771" s="218"/>
      <c r="E771" s="218"/>
      <c r="F771" s="218"/>
      <c r="G771" s="218"/>
      <c r="H771" s="218"/>
      <c r="I771" s="218"/>
      <c r="J771" s="218"/>
      <c r="K771" s="221"/>
      <c r="L771" s="218"/>
      <c r="M771" s="267"/>
    </row>
    <row r="772" spans="2:13" s="219" customFormat="1" x14ac:dyDescent="0.25">
      <c r="B772" s="218"/>
      <c r="C772" s="218"/>
      <c r="D772" s="218"/>
      <c r="E772" s="218"/>
      <c r="F772" s="218"/>
      <c r="G772" s="218"/>
      <c r="H772" s="218"/>
      <c r="I772" s="218"/>
      <c r="J772" s="218"/>
      <c r="K772" s="221"/>
      <c r="L772" s="218"/>
      <c r="M772" s="267"/>
    </row>
    <row r="773" spans="2:13" s="219" customFormat="1" x14ac:dyDescent="0.25">
      <c r="B773" s="218"/>
      <c r="C773" s="218"/>
      <c r="D773" s="218"/>
      <c r="E773" s="218"/>
      <c r="F773" s="218"/>
      <c r="G773" s="218"/>
      <c r="H773" s="218"/>
      <c r="I773" s="218"/>
      <c r="J773" s="218"/>
      <c r="K773" s="221"/>
      <c r="L773" s="218"/>
      <c r="M773" s="267"/>
    </row>
    <row r="774" spans="2:13" s="219" customFormat="1" x14ac:dyDescent="0.25">
      <c r="B774" s="218"/>
      <c r="C774" s="218"/>
      <c r="D774" s="218"/>
      <c r="E774" s="218"/>
      <c r="F774" s="218"/>
      <c r="G774" s="218"/>
      <c r="H774" s="218"/>
      <c r="I774" s="218"/>
      <c r="J774" s="218"/>
      <c r="K774" s="221"/>
      <c r="L774" s="218"/>
      <c r="M774" s="267"/>
    </row>
    <row r="775" spans="2:13" s="219" customFormat="1" x14ac:dyDescent="0.25">
      <c r="B775" s="218"/>
      <c r="C775" s="218"/>
      <c r="D775" s="218"/>
      <c r="E775" s="218"/>
      <c r="F775" s="218"/>
      <c r="G775" s="218"/>
      <c r="H775" s="218"/>
      <c r="I775" s="218"/>
      <c r="J775" s="218"/>
      <c r="K775" s="221"/>
      <c r="L775" s="218"/>
      <c r="M775" s="267"/>
    </row>
    <row r="776" spans="2:13" s="219" customFormat="1" x14ac:dyDescent="0.25">
      <c r="B776" s="218"/>
      <c r="C776" s="218"/>
      <c r="D776" s="218"/>
      <c r="E776" s="218"/>
      <c r="F776" s="218"/>
      <c r="G776" s="218"/>
      <c r="H776" s="218"/>
      <c r="I776" s="218"/>
      <c r="J776" s="218"/>
      <c r="K776" s="221"/>
      <c r="L776" s="218"/>
      <c r="M776" s="267"/>
    </row>
    <row r="777" spans="2:13" s="219" customFormat="1" x14ac:dyDescent="0.25">
      <c r="B777" s="218"/>
      <c r="C777" s="218"/>
      <c r="D777" s="218"/>
      <c r="E777" s="218"/>
      <c r="F777" s="218"/>
      <c r="G777" s="218"/>
      <c r="H777" s="218"/>
      <c r="I777" s="218"/>
      <c r="J777" s="218"/>
      <c r="K777" s="221"/>
      <c r="L777" s="218"/>
      <c r="M777" s="267"/>
    </row>
    <row r="778" spans="2:13" s="219" customFormat="1" x14ac:dyDescent="0.25">
      <c r="B778" s="218"/>
      <c r="C778" s="218"/>
      <c r="D778" s="218"/>
      <c r="E778" s="218"/>
      <c r="F778" s="218"/>
      <c r="G778" s="218"/>
      <c r="H778" s="218"/>
      <c r="I778" s="218"/>
      <c r="J778" s="218"/>
      <c r="K778" s="221"/>
      <c r="L778" s="218"/>
      <c r="M778" s="267"/>
    </row>
    <row r="779" spans="2:13" s="219" customFormat="1" x14ac:dyDescent="0.25">
      <c r="B779" s="218"/>
      <c r="C779" s="218"/>
      <c r="D779" s="218"/>
      <c r="E779" s="218"/>
      <c r="F779" s="218"/>
      <c r="G779" s="218"/>
      <c r="H779" s="218"/>
      <c r="I779" s="218"/>
      <c r="J779" s="218"/>
      <c r="K779" s="221"/>
      <c r="L779" s="218"/>
      <c r="M779" s="267"/>
    </row>
    <row r="780" spans="2:13" s="219" customFormat="1" x14ac:dyDescent="0.25">
      <c r="B780" s="218"/>
      <c r="C780" s="218"/>
      <c r="D780" s="218"/>
      <c r="E780" s="218"/>
      <c r="F780" s="218"/>
      <c r="G780" s="218"/>
      <c r="H780" s="218"/>
      <c r="I780" s="218"/>
      <c r="J780" s="218"/>
      <c r="K780" s="221"/>
      <c r="L780" s="218"/>
      <c r="M780" s="267"/>
    </row>
    <row r="781" spans="2:13" s="219" customFormat="1" x14ac:dyDescent="0.25">
      <c r="B781" s="218"/>
      <c r="C781" s="218"/>
      <c r="D781" s="218"/>
      <c r="E781" s="218"/>
      <c r="F781" s="218"/>
      <c r="G781" s="218"/>
      <c r="H781" s="218"/>
      <c r="I781" s="218"/>
      <c r="J781" s="218"/>
      <c r="K781" s="221"/>
      <c r="L781" s="218"/>
      <c r="M781" s="267"/>
    </row>
    <row r="782" spans="2:13" s="219" customFormat="1" x14ac:dyDescent="0.25">
      <c r="B782" s="218"/>
      <c r="C782" s="218"/>
      <c r="D782" s="218"/>
      <c r="E782" s="218"/>
      <c r="F782" s="218"/>
      <c r="G782" s="218"/>
      <c r="H782" s="218"/>
      <c r="I782" s="218"/>
      <c r="J782" s="218"/>
      <c r="K782" s="221"/>
      <c r="L782" s="218"/>
      <c r="M782" s="267"/>
    </row>
    <row r="783" spans="2:13" s="219" customFormat="1" x14ac:dyDescent="0.25">
      <c r="B783" s="218"/>
      <c r="C783" s="218"/>
      <c r="D783" s="218"/>
      <c r="E783" s="218"/>
      <c r="F783" s="218"/>
      <c r="G783" s="218"/>
      <c r="H783" s="218"/>
      <c r="I783" s="218"/>
      <c r="J783" s="218"/>
      <c r="K783" s="221"/>
      <c r="L783" s="218"/>
      <c r="M783" s="267"/>
    </row>
    <row r="784" spans="2:13" s="219" customFormat="1" x14ac:dyDescent="0.25">
      <c r="B784" s="218"/>
      <c r="C784" s="218"/>
      <c r="D784" s="218"/>
      <c r="E784" s="218"/>
      <c r="F784" s="218"/>
      <c r="G784" s="218"/>
      <c r="H784" s="218"/>
      <c r="I784" s="218"/>
      <c r="J784" s="218"/>
      <c r="K784" s="221"/>
      <c r="L784" s="218"/>
      <c r="M784" s="267"/>
    </row>
    <row r="785" spans="2:13" s="219" customFormat="1" x14ac:dyDescent="0.25">
      <c r="B785" s="218"/>
      <c r="C785" s="218"/>
      <c r="D785" s="218"/>
      <c r="E785" s="218"/>
      <c r="F785" s="218"/>
      <c r="G785" s="218"/>
      <c r="H785" s="218"/>
      <c r="I785" s="218"/>
      <c r="J785" s="218"/>
      <c r="K785" s="221"/>
      <c r="L785" s="218"/>
      <c r="M785" s="267"/>
    </row>
    <row r="786" spans="2:13" s="219" customFormat="1" x14ac:dyDescent="0.25">
      <c r="B786" s="218"/>
      <c r="C786" s="218"/>
      <c r="D786" s="218"/>
      <c r="E786" s="218"/>
      <c r="F786" s="218"/>
      <c r="G786" s="218"/>
      <c r="H786" s="218"/>
      <c r="I786" s="218"/>
      <c r="J786" s="218"/>
      <c r="K786" s="221"/>
      <c r="L786" s="218"/>
      <c r="M786" s="267"/>
    </row>
    <row r="787" spans="2:13" s="219" customFormat="1" x14ac:dyDescent="0.25">
      <c r="B787" s="218"/>
      <c r="C787" s="218"/>
      <c r="D787" s="218"/>
      <c r="E787" s="218"/>
      <c r="F787" s="218"/>
      <c r="G787" s="218"/>
      <c r="H787" s="218"/>
      <c r="I787" s="218"/>
      <c r="J787" s="218"/>
      <c r="K787" s="221"/>
      <c r="L787" s="218"/>
      <c r="M787" s="267"/>
    </row>
    <row r="788" spans="2:13" s="219" customFormat="1" x14ac:dyDescent="0.25">
      <c r="B788" s="218"/>
      <c r="C788" s="218"/>
      <c r="D788" s="218"/>
      <c r="E788" s="218"/>
      <c r="F788" s="218"/>
      <c r="G788" s="218"/>
      <c r="H788" s="218"/>
      <c r="I788" s="218"/>
      <c r="J788" s="218"/>
      <c r="K788" s="221"/>
      <c r="L788" s="218"/>
      <c r="M788" s="267"/>
    </row>
    <row r="789" spans="2:13" s="219" customFormat="1" x14ac:dyDescent="0.25">
      <c r="B789" s="218"/>
      <c r="C789" s="218"/>
      <c r="D789" s="218"/>
      <c r="E789" s="218"/>
      <c r="F789" s="218"/>
      <c r="G789" s="218"/>
      <c r="H789" s="218"/>
      <c r="I789" s="218"/>
      <c r="J789" s="218"/>
      <c r="K789" s="221"/>
      <c r="L789" s="218"/>
      <c r="M789" s="267"/>
    </row>
    <row r="790" spans="2:13" s="219" customFormat="1" x14ac:dyDescent="0.25">
      <c r="B790" s="218"/>
      <c r="C790" s="218"/>
      <c r="D790" s="218"/>
      <c r="E790" s="218"/>
      <c r="F790" s="218"/>
      <c r="G790" s="218"/>
      <c r="H790" s="218"/>
      <c r="I790" s="218"/>
      <c r="J790" s="218"/>
      <c r="K790" s="221"/>
      <c r="L790" s="218"/>
      <c r="M790" s="267"/>
    </row>
    <row r="791" spans="2:13" s="219" customFormat="1" x14ac:dyDescent="0.25">
      <c r="B791" s="218"/>
      <c r="C791" s="218"/>
      <c r="D791" s="218"/>
      <c r="E791" s="218"/>
      <c r="F791" s="218"/>
      <c r="G791" s="218"/>
      <c r="H791" s="218"/>
      <c r="I791" s="218"/>
      <c r="J791" s="218"/>
      <c r="K791" s="221"/>
      <c r="L791" s="218"/>
      <c r="M791" s="267"/>
    </row>
    <row r="792" spans="2:13" s="219" customFormat="1" x14ac:dyDescent="0.25">
      <c r="B792" s="218"/>
      <c r="C792" s="218"/>
      <c r="D792" s="218"/>
      <c r="E792" s="218"/>
      <c r="F792" s="218"/>
      <c r="G792" s="218"/>
      <c r="H792" s="218"/>
      <c r="I792" s="218"/>
      <c r="J792" s="218"/>
      <c r="K792" s="221"/>
      <c r="L792" s="218"/>
      <c r="M792" s="267"/>
    </row>
    <row r="793" spans="2:13" s="219" customFormat="1" x14ac:dyDescent="0.25">
      <c r="B793" s="218"/>
      <c r="C793" s="218"/>
      <c r="D793" s="218"/>
      <c r="E793" s="218"/>
      <c r="F793" s="218"/>
      <c r="G793" s="218"/>
      <c r="H793" s="218"/>
      <c r="I793" s="218"/>
      <c r="J793" s="218"/>
      <c r="K793" s="221"/>
      <c r="L793" s="218"/>
      <c r="M793" s="267"/>
    </row>
    <row r="794" spans="2:13" s="219" customFormat="1" x14ac:dyDescent="0.25">
      <c r="B794" s="218"/>
      <c r="C794" s="218"/>
      <c r="D794" s="218"/>
      <c r="E794" s="218"/>
      <c r="F794" s="218"/>
      <c r="G794" s="218"/>
      <c r="H794" s="218"/>
      <c r="I794" s="218"/>
      <c r="J794" s="218"/>
      <c r="K794" s="221"/>
      <c r="L794" s="218"/>
      <c r="M794" s="267"/>
    </row>
    <row r="795" spans="2:13" s="219" customFormat="1" x14ac:dyDescent="0.25">
      <c r="B795" s="218"/>
      <c r="C795" s="218"/>
      <c r="D795" s="218"/>
      <c r="E795" s="218"/>
      <c r="F795" s="218"/>
      <c r="G795" s="218"/>
      <c r="H795" s="218"/>
      <c r="I795" s="218"/>
      <c r="J795" s="218"/>
      <c r="K795" s="221"/>
      <c r="L795" s="218"/>
      <c r="M795" s="267"/>
    </row>
    <row r="796" spans="2:13" s="219" customFormat="1" x14ac:dyDescent="0.25">
      <c r="B796" s="218"/>
      <c r="C796" s="218"/>
      <c r="D796" s="218"/>
      <c r="E796" s="218"/>
      <c r="F796" s="218"/>
      <c r="G796" s="218"/>
      <c r="H796" s="218"/>
      <c r="I796" s="218"/>
      <c r="J796" s="218"/>
      <c r="K796" s="221"/>
      <c r="L796" s="218"/>
      <c r="M796" s="267"/>
    </row>
    <row r="797" spans="2:13" s="219" customFormat="1" x14ac:dyDescent="0.25">
      <c r="B797" s="218"/>
      <c r="C797" s="218"/>
      <c r="D797" s="218"/>
      <c r="E797" s="218"/>
      <c r="F797" s="218"/>
      <c r="G797" s="218"/>
      <c r="H797" s="218"/>
      <c r="I797" s="218"/>
      <c r="J797" s="218"/>
      <c r="K797" s="221"/>
      <c r="L797" s="218"/>
      <c r="M797" s="267"/>
    </row>
    <row r="798" spans="2:13" s="219" customFormat="1" x14ac:dyDescent="0.25">
      <c r="B798" s="218"/>
      <c r="C798" s="218"/>
      <c r="D798" s="218"/>
      <c r="E798" s="218"/>
      <c r="F798" s="218"/>
      <c r="G798" s="218"/>
      <c r="H798" s="218"/>
      <c r="I798" s="218"/>
      <c r="J798" s="218"/>
      <c r="K798" s="221"/>
      <c r="L798" s="218"/>
      <c r="M798" s="267"/>
    </row>
    <row r="799" spans="2:13" s="219" customFormat="1" x14ac:dyDescent="0.25">
      <c r="B799" s="218"/>
      <c r="C799" s="218"/>
      <c r="D799" s="218"/>
      <c r="E799" s="218"/>
      <c r="F799" s="218"/>
      <c r="G799" s="218"/>
      <c r="H799" s="218"/>
      <c r="I799" s="218"/>
      <c r="J799" s="218"/>
      <c r="K799" s="221"/>
      <c r="L799" s="218"/>
      <c r="M799" s="267"/>
    </row>
    <row r="800" spans="2:13" s="219" customFormat="1" x14ac:dyDescent="0.25">
      <c r="B800" s="218"/>
      <c r="C800" s="218"/>
      <c r="D800" s="218"/>
      <c r="E800" s="218"/>
      <c r="F800" s="218"/>
      <c r="G800" s="218"/>
      <c r="H800" s="218"/>
      <c r="I800" s="218"/>
      <c r="J800" s="218"/>
      <c r="K800" s="221"/>
      <c r="L800" s="218"/>
      <c r="M800" s="267"/>
    </row>
    <row r="801" spans="2:13" s="219" customFormat="1" x14ac:dyDescent="0.25">
      <c r="B801" s="218"/>
      <c r="C801" s="218"/>
      <c r="D801" s="218"/>
      <c r="E801" s="218"/>
      <c r="F801" s="218"/>
      <c r="G801" s="218"/>
      <c r="H801" s="218"/>
      <c r="I801" s="218"/>
      <c r="J801" s="218"/>
      <c r="K801" s="221"/>
      <c r="L801" s="218"/>
      <c r="M801" s="267"/>
    </row>
    <row r="802" spans="2:13" s="219" customFormat="1" x14ac:dyDescent="0.25">
      <c r="B802" s="218"/>
      <c r="C802" s="218"/>
      <c r="D802" s="218"/>
      <c r="E802" s="218"/>
      <c r="F802" s="218"/>
      <c r="G802" s="218"/>
      <c r="H802" s="218"/>
      <c r="I802" s="218"/>
      <c r="J802" s="218"/>
      <c r="K802" s="221"/>
      <c r="L802" s="218"/>
      <c r="M802" s="267"/>
    </row>
    <row r="803" spans="2:13" s="219" customFormat="1" x14ac:dyDescent="0.25">
      <c r="B803" s="218"/>
      <c r="C803" s="218"/>
      <c r="D803" s="218"/>
      <c r="E803" s="218"/>
      <c r="F803" s="218"/>
      <c r="G803" s="218"/>
      <c r="H803" s="218"/>
      <c r="I803" s="218"/>
      <c r="J803" s="218"/>
      <c r="K803" s="221"/>
      <c r="L803" s="218"/>
      <c r="M803" s="267"/>
    </row>
    <row r="804" spans="2:13" s="219" customFormat="1" x14ac:dyDescent="0.25">
      <c r="B804" s="218"/>
      <c r="C804" s="218"/>
      <c r="D804" s="218"/>
      <c r="E804" s="218"/>
      <c r="F804" s="218"/>
      <c r="G804" s="218"/>
      <c r="H804" s="218"/>
      <c r="I804" s="218"/>
      <c r="J804" s="218"/>
      <c r="K804" s="221"/>
      <c r="L804" s="218"/>
      <c r="M804" s="267"/>
    </row>
    <row r="805" spans="2:13" s="219" customFormat="1" x14ac:dyDescent="0.25">
      <c r="B805" s="218"/>
      <c r="C805" s="218"/>
      <c r="D805" s="218"/>
      <c r="E805" s="218"/>
      <c r="F805" s="218"/>
      <c r="G805" s="218"/>
      <c r="H805" s="218"/>
      <c r="I805" s="218"/>
      <c r="J805" s="218"/>
      <c r="K805" s="221"/>
      <c r="L805" s="218"/>
      <c r="M805" s="267"/>
    </row>
    <row r="806" spans="2:13" s="219" customFormat="1" x14ac:dyDescent="0.25">
      <c r="B806" s="218"/>
      <c r="C806" s="218"/>
      <c r="D806" s="218"/>
      <c r="E806" s="218"/>
      <c r="F806" s="218"/>
      <c r="G806" s="218"/>
      <c r="H806" s="218"/>
      <c r="I806" s="218"/>
      <c r="J806" s="218"/>
      <c r="K806" s="221"/>
      <c r="L806" s="218"/>
      <c r="M806" s="267"/>
    </row>
    <row r="807" spans="2:13" s="219" customFormat="1" x14ac:dyDescent="0.25">
      <c r="B807" s="218"/>
      <c r="C807" s="218"/>
      <c r="D807" s="218"/>
      <c r="E807" s="218"/>
      <c r="F807" s="218"/>
      <c r="G807" s="218"/>
      <c r="H807" s="218"/>
      <c r="I807" s="218"/>
      <c r="J807" s="218"/>
      <c r="K807" s="221"/>
      <c r="L807" s="218"/>
      <c r="M807" s="267"/>
    </row>
    <row r="808" spans="2:13" s="219" customFormat="1" x14ac:dyDescent="0.25">
      <c r="B808" s="218"/>
      <c r="C808" s="218"/>
      <c r="D808" s="218"/>
      <c r="E808" s="218"/>
      <c r="F808" s="218"/>
      <c r="G808" s="218"/>
      <c r="H808" s="218"/>
      <c r="I808" s="218"/>
      <c r="J808" s="218"/>
      <c r="K808" s="221"/>
      <c r="L808" s="218"/>
      <c r="M808" s="267"/>
    </row>
    <row r="809" spans="2:13" s="219" customFormat="1" x14ac:dyDescent="0.25">
      <c r="B809" s="218"/>
      <c r="C809" s="218"/>
      <c r="D809" s="218"/>
      <c r="E809" s="218"/>
      <c r="F809" s="218"/>
      <c r="G809" s="218"/>
      <c r="H809" s="218"/>
      <c r="I809" s="218"/>
      <c r="J809" s="218"/>
      <c r="K809" s="221"/>
      <c r="L809" s="218"/>
      <c r="M809" s="267"/>
    </row>
    <row r="810" spans="2:13" s="219" customFormat="1" x14ac:dyDescent="0.25">
      <c r="B810" s="218"/>
      <c r="C810" s="218"/>
      <c r="D810" s="218"/>
      <c r="E810" s="218"/>
      <c r="F810" s="218"/>
      <c r="G810" s="218"/>
      <c r="H810" s="218"/>
      <c r="I810" s="218"/>
      <c r="J810" s="218"/>
      <c r="K810" s="221"/>
      <c r="L810" s="218"/>
      <c r="M810" s="267"/>
    </row>
    <row r="811" spans="2:13" s="219" customFormat="1" x14ac:dyDescent="0.25">
      <c r="B811" s="218"/>
      <c r="C811" s="218"/>
      <c r="D811" s="218"/>
      <c r="E811" s="218"/>
      <c r="F811" s="218"/>
      <c r="G811" s="218"/>
      <c r="H811" s="218"/>
      <c r="I811" s="218"/>
      <c r="J811" s="218"/>
      <c r="K811" s="221"/>
      <c r="L811" s="218"/>
      <c r="M811" s="267"/>
    </row>
    <row r="812" spans="2:13" s="219" customFormat="1" x14ac:dyDescent="0.25">
      <c r="B812" s="218"/>
      <c r="C812" s="218"/>
      <c r="D812" s="218"/>
      <c r="E812" s="218"/>
      <c r="F812" s="218"/>
      <c r="G812" s="218"/>
      <c r="H812" s="218"/>
      <c r="I812" s="218"/>
      <c r="J812" s="218"/>
      <c r="K812" s="221"/>
      <c r="L812" s="218"/>
      <c r="M812" s="267"/>
    </row>
    <row r="813" spans="2:13" s="219" customFormat="1" x14ac:dyDescent="0.25">
      <c r="B813" s="218"/>
      <c r="C813" s="218"/>
      <c r="D813" s="218"/>
      <c r="E813" s="218"/>
      <c r="F813" s="218"/>
      <c r="G813" s="218"/>
      <c r="H813" s="218"/>
      <c r="I813" s="218"/>
      <c r="J813" s="218"/>
      <c r="K813" s="221"/>
      <c r="L813" s="218"/>
      <c r="M813" s="267"/>
    </row>
    <row r="814" spans="2:13" s="219" customFormat="1" x14ac:dyDescent="0.25">
      <c r="B814" s="218"/>
      <c r="C814" s="218"/>
      <c r="D814" s="218"/>
      <c r="E814" s="218"/>
      <c r="F814" s="218"/>
      <c r="G814" s="218"/>
      <c r="H814" s="218"/>
      <c r="I814" s="218"/>
      <c r="J814" s="218"/>
      <c r="K814" s="221"/>
      <c r="L814" s="218"/>
      <c r="M814" s="267"/>
    </row>
    <row r="815" spans="2:13" s="219" customFormat="1" x14ac:dyDescent="0.25">
      <c r="B815" s="218"/>
      <c r="C815" s="218"/>
      <c r="D815" s="218"/>
      <c r="E815" s="218"/>
      <c r="F815" s="218"/>
      <c r="G815" s="218"/>
      <c r="H815" s="218"/>
      <c r="I815" s="218"/>
      <c r="J815" s="218"/>
      <c r="K815" s="221"/>
      <c r="L815" s="218"/>
      <c r="M815" s="267"/>
    </row>
    <row r="816" spans="2:13" s="219" customFormat="1" x14ac:dyDescent="0.25">
      <c r="B816" s="218"/>
      <c r="C816" s="218"/>
      <c r="D816" s="218"/>
      <c r="E816" s="218"/>
      <c r="F816" s="218"/>
      <c r="G816" s="218"/>
      <c r="H816" s="218"/>
      <c r="I816" s="218"/>
      <c r="J816" s="218"/>
      <c r="K816" s="221"/>
      <c r="L816" s="218"/>
      <c r="M816" s="267"/>
    </row>
    <row r="817" spans="2:13" s="219" customFormat="1" x14ac:dyDescent="0.25">
      <c r="B817" s="218"/>
      <c r="C817" s="218"/>
      <c r="D817" s="218"/>
      <c r="E817" s="218"/>
      <c r="F817" s="218"/>
      <c r="G817" s="218"/>
      <c r="H817" s="218"/>
      <c r="I817" s="218"/>
      <c r="J817" s="218"/>
      <c r="K817" s="221"/>
      <c r="L817" s="218"/>
      <c r="M817" s="267"/>
    </row>
    <row r="818" spans="2:13" s="219" customFormat="1" x14ac:dyDescent="0.25">
      <c r="B818" s="218"/>
      <c r="C818" s="218"/>
      <c r="D818" s="218"/>
      <c r="E818" s="218"/>
      <c r="F818" s="218"/>
      <c r="G818" s="218"/>
      <c r="H818" s="218"/>
      <c r="I818" s="218"/>
      <c r="J818" s="218"/>
      <c r="K818" s="221"/>
      <c r="L818" s="218"/>
      <c r="M818" s="267"/>
    </row>
    <row r="819" spans="2:13" s="219" customFormat="1" x14ac:dyDescent="0.25">
      <c r="B819" s="218"/>
      <c r="C819" s="218"/>
      <c r="D819" s="218"/>
      <c r="E819" s="218"/>
      <c r="F819" s="218"/>
      <c r="G819" s="218"/>
      <c r="H819" s="218"/>
      <c r="I819" s="218"/>
      <c r="J819" s="218"/>
      <c r="K819" s="221"/>
      <c r="L819" s="218"/>
      <c r="M819" s="267"/>
    </row>
    <row r="820" spans="2:13" s="219" customFormat="1" x14ac:dyDescent="0.25">
      <c r="B820" s="218"/>
      <c r="C820" s="218"/>
      <c r="D820" s="218"/>
      <c r="E820" s="218"/>
      <c r="F820" s="218"/>
      <c r="G820" s="218"/>
      <c r="H820" s="218"/>
      <c r="I820" s="218"/>
      <c r="J820" s="218"/>
      <c r="K820" s="221"/>
      <c r="L820" s="218"/>
      <c r="M820" s="267"/>
    </row>
    <row r="821" spans="2:13" s="219" customFormat="1" x14ac:dyDescent="0.25">
      <c r="B821" s="218"/>
      <c r="C821" s="218"/>
      <c r="D821" s="218"/>
      <c r="E821" s="218"/>
      <c r="F821" s="218"/>
      <c r="G821" s="218"/>
      <c r="H821" s="218"/>
      <c r="I821" s="218"/>
      <c r="J821" s="218"/>
      <c r="K821" s="221"/>
      <c r="L821" s="218"/>
      <c r="M821" s="267"/>
    </row>
    <row r="822" spans="2:13" s="219" customFormat="1" x14ac:dyDescent="0.25">
      <c r="B822" s="218"/>
      <c r="C822" s="218"/>
      <c r="D822" s="218"/>
      <c r="E822" s="218"/>
      <c r="F822" s="218"/>
      <c r="G822" s="218"/>
      <c r="H822" s="218"/>
      <c r="I822" s="218"/>
      <c r="J822" s="218"/>
      <c r="K822" s="221"/>
      <c r="L822" s="218"/>
      <c r="M822" s="267"/>
    </row>
    <row r="823" spans="2:13" s="219" customFormat="1" x14ac:dyDescent="0.25">
      <c r="B823" s="218"/>
      <c r="C823" s="218"/>
      <c r="D823" s="218"/>
      <c r="E823" s="218"/>
      <c r="F823" s="218"/>
      <c r="G823" s="218"/>
      <c r="H823" s="218"/>
      <c r="I823" s="218"/>
      <c r="J823" s="218"/>
      <c r="K823" s="221"/>
      <c r="L823" s="218"/>
      <c r="M823" s="267"/>
    </row>
    <row r="824" spans="2:13" s="219" customFormat="1" x14ac:dyDescent="0.25">
      <c r="B824" s="218"/>
      <c r="C824" s="218"/>
      <c r="D824" s="218"/>
      <c r="E824" s="218"/>
      <c r="F824" s="218"/>
      <c r="G824" s="218"/>
      <c r="H824" s="218"/>
      <c r="I824" s="218"/>
      <c r="J824" s="218"/>
      <c r="K824" s="221"/>
      <c r="L824" s="218"/>
      <c r="M824" s="267"/>
    </row>
    <row r="825" spans="2:13" s="219" customFormat="1" x14ac:dyDescent="0.25">
      <c r="B825" s="218"/>
      <c r="C825" s="218"/>
      <c r="D825" s="218"/>
      <c r="E825" s="218"/>
      <c r="F825" s="218"/>
      <c r="G825" s="218"/>
      <c r="H825" s="218"/>
      <c r="I825" s="218"/>
      <c r="J825" s="218"/>
      <c r="K825" s="221"/>
      <c r="L825" s="218"/>
      <c r="M825" s="267"/>
    </row>
    <row r="826" spans="2:13" s="219" customFormat="1" x14ac:dyDescent="0.25">
      <c r="B826" s="218"/>
      <c r="C826" s="218"/>
      <c r="D826" s="218"/>
      <c r="E826" s="218"/>
      <c r="F826" s="218"/>
      <c r="G826" s="218"/>
      <c r="H826" s="218"/>
      <c r="I826" s="218"/>
      <c r="J826" s="218"/>
      <c r="K826" s="221"/>
      <c r="L826" s="218"/>
      <c r="M826" s="267"/>
    </row>
    <row r="827" spans="2:13" s="219" customFormat="1" x14ac:dyDescent="0.25">
      <c r="B827" s="218"/>
      <c r="C827" s="218"/>
      <c r="D827" s="218"/>
      <c r="E827" s="218"/>
      <c r="F827" s="218"/>
      <c r="G827" s="218"/>
      <c r="H827" s="218"/>
      <c r="I827" s="218"/>
      <c r="J827" s="218"/>
      <c r="K827" s="221"/>
      <c r="L827" s="218"/>
      <c r="M827" s="267"/>
    </row>
    <row r="828" spans="2:13" s="219" customFormat="1" x14ac:dyDescent="0.25">
      <c r="B828" s="218"/>
      <c r="C828" s="218"/>
      <c r="D828" s="218"/>
      <c r="E828" s="218"/>
      <c r="F828" s="218"/>
      <c r="G828" s="218"/>
      <c r="H828" s="218"/>
      <c r="I828" s="218"/>
      <c r="J828" s="218"/>
      <c r="K828" s="221"/>
      <c r="L828" s="218"/>
      <c r="M828" s="267"/>
    </row>
    <row r="829" spans="2:13" s="219" customFormat="1" x14ac:dyDescent="0.25">
      <c r="B829" s="218"/>
      <c r="C829" s="218"/>
      <c r="D829" s="218"/>
      <c r="E829" s="218"/>
      <c r="F829" s="218"/>
      <c r="G829" s="218"/>
      <c r="H829" s="218"/>
      <c r="I829" s="218"/>
      <c r="J829" s="218"/>
      <c r="K829" s="221"/>
      <c r="L829" s="218"/>
      <c r="M829" s="267"/>
    </row>
    <row r="830" spans="2:13" s="219" customFormat="1" x14ac:dyDescent="0.25">
      <c r="B830" s="218"/>
      <c r="C830" s="218"/>
      <c r="D830" s="218"/>
      <c r="E830" s="218"/>
      <c r="F830" s="218"/>
      <c r="G830" s="218"/>
      <c r="H830" s="218"/>
      <c r="I830" s="218"/>
      <c r="J830" s="218"/>
      <c r="K830" s="221"/>
      <c r="L830" s="218"/>
      <c r="M830" s="267"/>
    </row>
    <row r="831" spans="2:13" s="219" customFormat="1" x14ac:dyDescent="0.25">
      <c r="B831" s="218"/>
      <c r="C831" s="218"/>
      <c r="D831" s="218"/>
      <c r="E831" s="218"/>
      <c r="F831" s="218"/>
      <c r="G831" s="218"/>
      <c r="H831" s="218"/>
      <c r="I831" s="218"/>
      <c r="J831" s="218"/>
      <c r="K831" s="221"/>
      <c r="L831" s="218"/>
      <c r="M831" s="267"/>
    </row>
    <row r="832" spans="2:13" s="219" customFormat="1" x14ac:dyDescent="0.25">
      <c r="B832" s="218"/>
      <c r="C832" s="218"/>
      <c r="D832" s="218"/>
      <c r="E832" s="218"/>
      <c r="F832" s="218"/>
      <c r="G832" s="218"/>
      <c r="H832" s="218"/>
      <c r="I832" s="218"/>
      <c r="J832" s="218"/>
      <c r="K832" s="221"/>
      <c r="L832" s="218"/>
      <c r="M832" s="267"/>
    </row>
    <row r="833" spans="2:13" s="219" customFormat="1" x14ac:dyDescent="0.25">
      <c r="B833" s="218"/>
      <c r="C833" s="218"/>
      <c r="D833" s="218"/>
      <c r="E833" s="218"/>
      <c r="F833" s="218"/>
      <c r="G833" s="218"/>
      <c r="H833" s="218"/>
      <c r="I833" s="218"/>
      <c r="J833" s="218"/>
      <c r="K833" s="221"/>
      <c r="L833" s="218"/>
      <c r="M833" s="267"/>
    </row>
    <row r="834" spans="2:13" s="219" customFormat="1" x14ac:dyDescent="0.25">
      <c r="B834" s="218"/>
      <c r="C834" s="218"/>
      <c r="D834" s="218"/>
      <c r="E834" s="218"/>
      <c r="F834" s="218"/>
      <c r="G834" s="218"/>
      <c r="H834" s="218"/>
      <c r="I834" s="218"/>
      <c r="J834" s="218"/>
      <c r="K834" s="221"/>
      <c r="L834" s="218"/>
      <c r="M834" s="267"/>
    </row>
    <row r="835" spans="2:13" s="219" customFormat="1" x14ac:dyDescent="0.25">
      <c r="B835" s="218"/>
      <c r="C835" s="218"/>
      <c r="D835" s="218"/>
      <c r="E835" s="218"/>
      <c r="F835" s="218"/>
      <c r="G835" s="218"/>
      <c r="H835" s="218"/>
      <c r="I835" s="218"/>
      <c r="J835" s="218"/>
      <c r="K835" s="221"/>
      <c r="L835" s="218"/>
      <c r="M835" s="267"/>
    </row>
    <row r="836" spans="2:13" s="219" customFormat="1" x14ac:dyDescent="0.25">
      <c r="B836" s="218"/>
      <c r="C836" s="218"/>
      <c r="D836" s="218"/>
      <c r="E836" s="218"/>
      <c r="F836" s="218"/>
      <c r="G836" s="218"/>
      <c r="H836" s="218"/>
      <c r="I836" s="218"/>
      <c r="J836" s="218"/>
      <c r="K836" s="221"/>
      <c r="L836" s="218"/>
      <c r="M836" s="267"/>
    </row>
    <row r="837" spans="2:13" s="219" customFormat="1" x14ac:dyDescent="0.25">
      <c r="B837" s="218"/>
      <c r="C837" s="218"/>
      <c r="D837" s="218"/>
      <c r="E837" s="218"/>
      <c r="F837" s="218"/>
      <c r="G837" s="218"/>
      <c r="H837" s="218"/>
      <c r="I837" s="218"/>
      <c r="J837" s="218"/>
      <c r="K837" s="221"/>
      <c r="L837" s="218"/>
      <c r="M837" s="267"/>
    </row>
    <row r="838" spans="2:13" s="219" customFormat="1" x14ac:dyDescent="0.25">
      <c r="B838" s="218"/>
      <c r="C838" s="218"/>
      <c r="D838" s="218"/>
      <c r="E838" s="218"/>
      <c r="F838" s="218"/>
      <c r="G838" s="218"/>
      <c r="H838" s="218"/>
      <c r="I838" s="218"/>
      <c r="J838" s="218"/>
      <c r="K838" s="221"/>
      <c r="L838" s="218"/>
      <c r="M838" s="267"/>
    </row>
    <row r="839" spans="2:13" s="219" customFormat="1" x14ac:dyDescent="0.25">
      <c r="B839" s="218"/>
      <c r="C839" s="218"/>
      <c r="D839" s="218"/>
      <c r="E839" s="218"/>
      <c r="F839" s="218"/>
      <c r="G839" s="218"/>
      <c r="H839" s="218"/>
      <c r="I839" s="218"/>
      <c r="J839" s="218"/>
      <c r="K839" s="221"/>
      <c r="L839" s="218"/>
      <c r="M839" s="267"/>
    </row>
    <row r="840" spans="2:13" s="219" customFormat="1" x14ac:dyDescent="0.25">
      <c r="B840" s="218"/>
      <c r="C840" s="218"/>
      <c r="D840" s="218"/>
      <c r="E840" s="218"/>
      <c r="F840" s="218"/>
      <c r="G840" s="218"/>
      <c r="H840" s="218"/>
      <c r="I840" s="218"/>
      <c r="J840" s="218"/>
      <c r="K840" s="221"/>
      <c r="L840" s="218"/>
      <c r="M840" s="267"/>
    </row>
    <row r="841" spans="2:13" s="219" customFormat="1" x14ac:dyDescent="0.25">
      <c r="B841" s="218"/>
      <c r="C841" s="218"/>
      <c r="D841" s="218"/>
      <c r="E841" s="218"/>
      <c r="F841" s="218"/>
      <c r="G841" s="218"/>
      <c r="H841" s="218"/>
      <c r="I841" s="218"/>
      <c r="J841" s="218"/>
      <c r="K841" s="221"/>
      <c r="L841" s="218"/>
      <c r="M841" s="267"/>
    </row>
    <row r="842" spans="2:13" s="219" customFormat="1" x14ac:dyDescent="0.25">
      <c r="B842" s="218"/>
      <c r="C842" s="218"/>
      <c r="D842" s="218"/>
      <c r="E842" s="218"/>
      <c r="F842" s="218"/>
      <c r="G842" s="218"/>
      <c r="H842" s="218"/>
      <c r="I842" s="218"/>
      <c r="J842" s="218"/>
      <c r="K842" s="221"/>
      <c r="L842" s="218"/>
      <c r="M842" s="267"/>
    </row>
    <row r="843" spans="2:13" s="219" customFormat="1" x14ac:dyDescent="0.25">
      <c r="B843" s="218"/>
      <c r="C843" s="218"/>
      <c r="D843" s="218"/>
      <c r="E843" s="218"/>
      <c r="F843" s="218"/>
      <c r="G843" s="218"/>
      <c r="H843" s="218"/>
      <c r="I843" s="218"/>
      <c r="J843" s="218"/>
      <c r="K843" s="221"/>
      <c r="L843" s="218"/>
      <c r="M843" s="267"/>
    </row>
    <row r="844" spans="2:13" s="219" customFormat="1" x14ac:dyDescent="0.25">
      <c r="B844" s="218"/>
      <c r="C844" s="218"/>
      <c r="D844" s="218"/>
      <c r="E844" s="218"/>
      <c r="F844" s="218"/>
      <c r="G844" s="218"/>
      <c r="H844" s="218"/>
      <c r="I844" s="218"/>
      <c r="J844" s="218"/>
      <c r="K844" s="221"/>
      <c r="L844" s="218"/>
      <c r="M844" s="267"/>
    </row>
    <row r="845" spans="2:13" s="219" customFormat="1" x14ac:dyDescent="0.25">
      <c r="B845" s="218"/>
      <c r="C845" s="218"/>
      <c r="D845" s="218"/>
      <c r="E845" s="218"/>
      <c r="F845" s="218"/>
      <c r="G845" s="218"/>
      <c r="H845" s="218"/>
      <c r="I845" s="218"/>
      <c r="J845" s="218"/>
      <c r="K845" s="221"/>
      <c r="L845" s="218"/>
      <c r="M845" s="267"/>
    </row>
    <row r="846" spans="2:13" s="219" customFormat="1" x14ac:dyDescent="0.25">
      <c r="B846" s="218"/>
      <c r="C846" s="218"/>
      <c r="D846" s="218"/>
      <c r="E846" s="218"/>
      <c r="F846" s="218"/>
      <c r="G846" s="218"/>
      <c r="H846" s="218"/>
      <c r="I846" s="218"/>
      <c r="J846" s="218"/>
      <c r="K846" s="221"/>
      <c r="L846" s="218"/>
      <c r="M846" s="267"/>
    </row>
    <row r="847" spans="2:13" s="219" customFormat="1" x14ac:dyDescent="0.25">
      <c r="B847" s="218"/>
      <c r="C847" s="218"/>
      <c r="D847" s="218"/>
      <c r="E847" s="218"/>
      <c r="F847" s="218"/>
      <c r="G847" s="218"/>
      <c r="H847" s="218"/>
      <c r="I847" s="218"/>
      <c r="J847" s="218"/>
      <c r="K847" s="221"/>
      <c r="L847" s="218"/>
      <c r="M847" s="267"/>
    </row>
    <row r="848" spans="2:13" s="219" customFormat="1" x14ac:dyDescent="0.25">
      <c r="B848" s="218"/>
      <c r="C848" s="218"/>
      <c r="D848" s="218"/>
      <c r="E848" s="218"/>
      <c r="F848" s="218"/>
      <c r="G848" s="218"/>
      <c r="H848" s="218"/>
      <c r="I848" s="218"/>
      <c r="J848" s="218"/>
      <c r="K848" s="221"/>
      <c r="L848" s="218"/>
      <c r="M848" s="267"/>
    </row>
    <row r="849" spans="2:13" s="219" customFormat="1" x14ac:dyDescent="0.25">
      <c r="B849" s="218"/>
      <c r="C849" s="218"/>
      <c r="D849" s="218"/>
      <c r="E849" s="218"/>
      <c r="F849" s="218"/>
      <c r="G849" s="218"/>
      <c r="H849" s="218"/>
      <c r="I849" s="218"/>
      <c r="J849" s="218"/>
      <c r="K849" s="221"/>
      <c r="L849" s="218"/>
      <c r="M849" s="267"/>
    </row>
    <row r="850" spans="2:13" s="219" customFormat="1" x14ac:dyDescent="0.25">
      <c r="B850" s="218"/>
      <c r="C850" s="218"/>
      <c r="D850" s="218"/>
      <c r="E850" s="218"/>
      <c r="F850" s="218"/>
      <c r="G850" s="218"/>
      <c r="H850" s="218"/>
      <c r="I850" s="218"/>
      <c r="J850" s="218"/>
      <c r="K850" s="221"/>
      <c r="L850" s="218"/>
      <c r="M850" s="267"/>
    </row>
    <row r="851" spans="2:13" s="219" customFormat="1" x14ac:dyDescent="0.25">
      <c r="B851" s="218"/>
      <c r="C851" s="218"/>
      <c r="D851" s="218"/>
      <c r="E851" s="218"/>
      <c r="F851" s="218"/>
      <c r="G851" s="218"/>
      <c r="H851" s="218"/>
      <c r="I851" s="218"/>
      <c r="J851" s="218"/>
      <c r="K851" s="221"/>
      <c r="L851" s="218"/>
      <c r="M851" s="267"/>
    </row>
    <row r="852" spans="2:13" s="219" customFormat="1" x14ac:dyDescent="0.25">
      <c r="B852" s="218"/>
      <c r="C852" s="218"/>
      <c r="D852" s="218"/>
      <c r="E852" s="218"/>
      <c r="F852" s="218"/>
      <c r="G852" s="218"/>
      <c r="H852" s="218"/>
      <c r="I852" s="218"/>
      <c r="J852" s="218"/>
      <c r="K852" s="221"/>
      <c r="L852" s="218"/>
      <c r="M852" s="267"/>
    </row>
    <row r="853" spans="2:13" s="219" customFormat="1" x14ac:dyDescent="0.25">
      <c r="B853" s="218"/>
      <c r="C853" s="218"/>
      <c r="D853" s="218"/>
      <c r="E853" s="218"/>
      <c r="F853" s="218"/>
      <c r="G853" s="218"/>
      <c r="H853" s="218"/>
      <c r="I853" s="218"/>
      <c r="J853" s="218"/>
      <c r="K853" s="221"/>
      <c r="L853" s="218"/>
      <c r="M853" s="267"/>
    </row>
    <row r="854" spans="2:13" s="219" customFormat="1" x14ac:dyDescent="0.25">
      <c r="B854" s="218"/>
      <c r="C854" s="218"/>
      <c r="D854" s="218"/>
      <c r="E854" s="218"/>
      <c r="F854" s="218"/>
      <c r="G854" s="218"/>
      <c r="H854" s="218"/>
      <c r="I854" s="218"/>
      <c r="J854" s="218"/>
      <c r="K854" s="221"/>
      <c r="L854" s="218"/>
      <c r="M854" s="267"/>
    </row>
    <row r="855" spans="2:13" s="219" customFormat="1" x14ac:dyDescent="0.25">
      <c r="B855" s="218"/>
      <c r="C855" s="218"/>
      <c r="D855" s="218"/>
      <c r="E855" s="218"/>
      <c r="F855" s="218"/>
      <c r="G855" s="218"/>
      <c r="H855" s="218"/>
      <c r="I855" s="218"/>
      <c r="J855" s="218"/>
      <c r="K855" s="221"/>
      <c r="L855" s="218"/>
      <c r="M855" s="267"/>
    </row>
    <row r="856" spans="2:13" s="219" customFormat="1" x14ac:dyDescent="0.25">
      <c r="B856" s="218"/>
      <c r="C856" s="218"/>
      <c r="D856" s="218"/>
      <c r="E856" s="218"/>
      <c r="F856" s="218"/>
      <c r="G856" s="218"/>
      <c r="H856" s="218"/>
      <c r="I856" s="218"/>
      <c r="J856" s="218"/>
      <c r="K856" s="221"/>
      <c r="L856" s="218"/>
      <c r="M856" s="267"/>
    </row>
    <row r="857" spans="2:13" s="219" customFormat="1" x14ac:dyDescent="0.25">
      <c r="B857" s="218"/>
      <c r="C857" s="218"/>
      <c r="D857" s="218"/>
      <c r="E857" s="218"/>
      <c r="F857" s="218"/>
      <c r="G857" s="218"/>
      <c r="H857" s="218"/>
      <c r="I857" s="218"/>
      <c r="J857" s="218"/>
      <c r="K857" s="221"/>
      <c r="L857" s="218"/>
      <c r="M857" s="267"/>
    </row>
    <row r="858" spans="2:13" s="219" customFormat="1" x14ac:dyDescent="0.25">
      <c r="B858" s="218"/>
      <c r="C858" s="218"/>
      <c r="D858" s="218"/>
      <c r="E858" s="218"/>
      <c r="F858" s="218"/>
      <c r="G858" s="218"/>
      <c r="H858" s="218"/>
      <c r="I858" s="218"/>
      <c r="J858" s="218"/>
      <c r="K858" s="221"/>
      <c r="L858" s="218"/>
      <c r="M858" s="267"/>
    </row>
    <row r="859" spans="2:13" s="219" customFormat="1" x14ac:dyDescent="0.25">
      <c r="B859" s="218"/>
      <c r="C859" s="218"/>
      <c r="D859" s="218"/>
      <c r="E859" s="218"/>
      <c r="F859" s="218"/>
      <c r="G859" s="218"/>
      <c r="H859" s="218"/>
      <c r="I859" s="218"/>
      <c r="J859" s="218"/>
      <c r="K859" s="221"/>
      <c r="L859" s="218"/>
      <c r="M859" s="267"/>
    </row>
    <row r="860" spans="2:13" s="219" customFormat="1" x14ac:dyDescent="0.25">
      <c r="B860" s="218"/>
      <c r="C860" s="218"/>
      <c r="D860" s="218"/>
      <c r="E860" s="218"/>
      <c r="F860" s="218"/>
      <c r="G860" s="218"/>
      <c r="H860" s="218"/>
      <c r="I860" s="218"/>
      <c r="J860" s="218"/>
      <c r="K860" s="221"/>
      <c r="L860" s="218"/>
      <c r="M860" s="267"/>
    </row>
    <row r="861" spans="2:13" s="219" customFormat="1" x14ac:dyDescent="0.25">
      <c r="B861" s="218"/>
      <c r="C861" s="218"/>
      <c r="D861" s="218"/>
      <c r="E861" s="218"/>
      <c r="F861" s="218"/>
      <c r="G861" s="218"/>
      <c r="H861" s="218"/>
      <c r="I861" s="218"/>
      <c r="J861" s="218"/>
      <c r="K861" s="221"/>
      <c r="L861" s="218"/>
      <c r="M861" s="267"/>
    </row>
    <row r="862" spans="2:13" s="219" customFormat="1" x14ac:dyDescent="0.25">
      <c r="B862" s="218"/>
      <c r="C862" s="218"/>
      <c r="D862" s="218"/>
      <c r="E862" s="218"/>
      <c r="F862" s="218"/>
      <c r="G862" s="218"/>
      <c r="H862" s="218"/>
      <c r="I862" s="218"/>
      <c r="J862" s="218"/>
      <c r="K862" s="221"/>
      <c r="L862" s="218"/>
      <c r="M862" s="267"/>
    </row>
    <row r="863" spans="2:13" s="219" customFormat="1" x14ac:dyDescent="0.25">
      <c r="B863" s="218"/>
      <c r="C863" s="218"/>
      <c r="D863" s="218"/>
      <c r="E863" s="218"/>
      <c r="F863" s="218"/>
      <c r="G863" s="218"/>
      <c r="H863" s="218"/>
      <c r="I863" s="218"/>
      <c r="J863" s="218"/>
      <c r="K863" s="221"/>
      <c r="L863" s="218"/>
      <c r="M863" s="267"/>
    </row>
    <row r="864" spans="2:13" s="219" customFormat="1" x14ac:dyDescent="0.25">
      <c r="B864" s="218"/>
      <c r="C864" s="218"/>
      <c r="D864" s="218"/>
      <c r="E864" s="218"/>
      <c r="F864" s="218"/>
      <c r="G864" s="218"/>
      <c r="H864" s="218"/>
      <c r="I864" s="218"/>
      <c r="J864" s="218"/>
      <c r="K864" s="221"/>
      <c r="L864" s="218"/>
      <c r="M864" s="267"/>
    </row>
    <row r="865" spans="2:13" s="219" customFormat="1" x14ac:dyDescent="0.25">
      <c r="B865" s="218"/>
      <c r="C865" s="218"/>
      <c r="D865" s="218"/>
      <c r="E865" s="218"/>
      <c r="F865" s="218"/>
      <c r="G865" s="218"/>
      <c r="H865" s="218"/>
      <c r="I865" s="218"/>
      <c r="J865" s="218"/>
      <c r="K865" s="221"/>
      <c r="L865" s="218"/>
      <c r="M865" s="267"/>
    </row>
    <row r="866" spans="2:13" s="219" customFormat="1" x14ac:dyDescent="0.25">
      <c r="B866" s="218"/>
      <c r="C866" s="218"/>
      <c r="D866" s="218"/>
      <c r="E866" s="218"/>
      <c r="F866" s="218"/>
      <c r="G866" s="218"/>
      <c r="H866" s="218"/>
      <c r="I866" s="218"/>
      <c r="J866" s="218"/>
      <c r="K866" s="221"/>
      <c r="L866" s="218"/>
      <c r="M866" s="267"/>
    </row>
    <row r="867" spans="2:13" s="219" customFormat="1" x14ac:dyDescent="0.25">
      <c r="B867" s="218"/>
      <c r="C867" s="218"/>
      <c r="D867" s="218"/>
      <c r="E867" s="218"/>
      <c r="F867" s="218"/>
      <c r="G867" s="218"/>
      <c r="H867" s="218"/>
      <c r="I867" s="218"/>
      <c r="J867" s="218"/>
      <c r="K867" s="221"/>
      <c r="L867" s="218"/>
      <c r="M867" s="267"/>
    </row>
    <row r="868" spans="2:13" s="219" customFormat="1" x14ac:dyDescent="0.25">
      <c r="B868" s="218"/>
      <c r="C868" s="218"/>
      <c r="D868" s="218"/>
      <c r="E868" s="218"/>
      <c r="F868" s="218"/>
      <c r="G868" s="218"/>
      <c r="H868" s="218"/>
      <c r="I868" s="218"/>
      <c r="J868" s="218"/>
      <c r="K868" s="221"/>
      <c r="L868" s="218"/>
      <c r="M868" s="267"/>
    </row>
    <row r="869" spans="2:13" s="219" customFormat="1" x14ac:dyDescent="0.25">
      <c r="B869" s="218"/>
      <c r="C869" s="218"/>
      <c r="D869" s="218"/>
      <c r="E869" s="218"/>
      <c r="F869" s="218"/>
      <c r="G869" s="218"/>
      <c r="H869" s="218"/>
      <c r="I869" s="218"/>
      <c r="J869" s="218"/>
      <c r="K869" s="221"/>
      <c r="L869" s="218"/>
      <c r="M869" s="267"/>
    </row>
    <row r="870" spans="2:13" s="219" customFormat="1" x14ac:dyDescent="0.25">
      <c r="B870" s="218"/>
      <c r="C870" s="218"/>
      <c r="D870" s="218"/>
      <c r="E870" s="218"/>
      <c r="F870" s="218"/>
      <c r="G870" s="218"/>
      <c r="H870" s="218"/>
      <c r="I870" s="218"/>
      <c r="J870" s="218"/>
      <c r="K870" s="221"/>
      <c r="L870" s="218"/>
      <c r="M870" s="267"/>
    </row>
    <row r="871" spans="2:13" s="219" customFormat="1" x14ac:dyDescent="0.25">
      <c r="B871" s="218"/>
      <c r="C871" s="218"/>
      <c r="D871" s="218"/>
      <c r="E871" s="218"/>
      <c r="F871" s="218"/>
      <c r="G871" s="218"/>
      <c r="H871" s="218"/>
      <c r="I871" s="218"/>
      <c r="J871" s="218"/>
      <c r="K871" s="221"/>
      <c r="L871" s="218"/>
      <c r="M871" s="267"/>
    </row>
    <row r="872" spans="2:13" s="219" customFormat="1" x14ac:dyDescent="0.25">
      <c r="B872" s="218"/>
      <c r="C872" s="218"/>
      <c r="D872" s="218"/>
      <c r="E872" s="218"/>
      <c r="F872" s="218"/>
      <c r="G872" s="218"/>
      <c r="H872" s="218"/>
      <c r="I872" s="218"/>
      <c r="J872" s="218"/>
      <c r="K872" s="221"/>
      <c r="L872" s="218"/>
      <c r="M872" s="267"/>
    </row>
    <row r="873" spans="2:13" s="219" customFormat="1" x14ac:dyDescent="0.25">
      <c r="B873" s="218"/>
      <c r="C873" s="218"/>
      <c r="D873" s="218"/>
      <c r="E873" s="218"/>
      <c r="F873" s="218"/>
      <c r="G873" s="218"/>
      <c r="H873" s="218"/>
      <c r="I873" s="218"/>
      <c r="J873" s="218"/>
      <c r="K873" s="221"/>
      <c r="L873" s="218"/>
      <c r="M873" s="267"/>
    </row>
    <row r="874" spans="2:13" s="219" customFormat="1" x14ac:dyDescent="0.25">
      <c r="B874" s="218"/>
      <c r="C874" s="218"/>
      <c r="D874" s="218"/>
      <c r="E874" s="218"/>
      <c r="F874" s="218"/>
      <c r="G874" s="218"/>
      <c r="H874" s="218"/>
      <c r="I874" s="218"/>
      <c r="J874" s="218"/>
      <c r="K874" s="221"/>
      <c r="L874" s="218"/>
      <c r="M874" s="267"/>
    </row>
    <row r="875" spans="2:13" s="219" customFormat="1" x14ac:dyDescent="0.25">
      <c r="B875" s="218"/>
      <c r="C875" s="218"/>
      <c r="D875" s="218"/>
      <c r="E875" s="218"/>
      <c r="F875" s="218"/>
      <c r="G875" s="218"/>
      <c r="H875" s="218"/>
      <c r="I875" s="218"/>
      <c r="J875" s="218"/>
      <c r="K875" s="221"/>
      <c r="L875" s="218"/>
      <c r="M875" s="267"/>
    </row>
    <row r="876" spans="2:13" s="219" customFormat="1" x14ac:dyDescent="0.25">
      <c r="B876" s="218"/>
      <c r="C876" s="218"/>
      <c r="D876" s="218"/>
      <c r="E876" s="218"/>
      <c r="F876" s="218"/>
      <c r="G876" s="218"/>
      <c r="H876" s="218"/>
      <c r="I876" s="218"/>
      <c r="J876" s="218"/>
      <c r="K876" s="221"/>
      <c r="L876" s="218"/>
      <c r="M876" s="267"/>
    </row>
    <row r="877" spans="2:13" s="219" customFormat="1" x14ac:dyDescent="0.25">
      <c r="B877" s="218"/>
      <c r="C877" s="218"/>
      <c r="D877" s="218"/>
      <c r="E877" s="218"/>
      <c r="F877" s="218"/>
      <c r="G877" s="218"/>
      <c r="H877" s="218"/>
      <c r="I877" s="218"/>
      <c r="J877" s="218"/>
      <c r="K877" s="221"/>
      <c r="L877" s="218"/>
      <c r="M877" s="267"/>
    </row>
    <row r="878" spans="2:13" s="219" customFormat="1" x14ac:dyDescent="0.25">
      <c r="B878" s="218"/>
      <c r="C878" s="218"/>
      <c r="D878" s="218"/>
      <c r="E878" s="218"/>
      <c r="F878" s="218"/>
      <c r="G878" s="218"/>
      <c r="H878" s="218"/>
      <c r="I878" s="218"/>
      <c r="J878" s="218"/>
      <c r="K878" s="221"/>
      <c r="L878" s="218"/>
      <c r="M878" s="267"/>
    </row>
    <row r="879" spans="2:13" s="219" customFormat="1" x14ac:dyDescent="0.25">
      <c r="B879" s="218"/>
      <c r="C879" s="218"/>
      <c r="D879" s="218"/>
      <c r="E879" s="218"/>
      <c r="F879" s="218"/>
      <c r="G879" s="218"/>
      <c r="H879" s="218"/>
      <c r="I879" s="218"/>
      <c r="J879" s="218"/>
      <c r="K879" s="221"/>
      <c r="L879" s="218"/>
      <c r="M879" s="267"/>
    </row>
    <row r="880" spans="2:13" s="219" customFormat="1" x14ac:dyDescent="0.25">
      <c r="B880" s="218"/>
      <c r="C880" s="218"/>
      <c r="D880" s="218"/>
      <c r="E880" s="218"/>
      <c r="F880" s="218"/>
      <c r="G880" s="218"/>
      <c r="H880" s="218"/>
      <c r="I880" s="218"/>
      <c r="J880" s="218"/>
      <c r="K880" s="221"/>
      <c r="L880" s="218"/>
      <c r="M880" s="267"/>
    </row>
    <row r="881" spans="2:13" s="219" customFormat="1" x14ac:dyDescent="0.25">
      <c r="B881" s="218"/>
      <c r="C881" s="218"/>
      <c r="D881" s="218"/>
      <c r="E881" s="218"/>
      <c r="F881" s="218"/>
      <c r="G881" s="218"/>
      <c r="H881" s="218"/>
      <c r="I881" s="218"/>
      <c r="J881" s="218"/>
      <c r="K881" s="221"/>
      <c r="L881" s="218"/>
      <c r="M881" s="267"/>
    </row>
    <row r="882" spans="2:13" s="219" customFormat="1" x14ac:dyDescent="0.25">
      <c r="B882" s="218"/>
      <c r="C882" s="218"/>
      <c r="D882" s="218"/>
      <c r="E882" s="218"/>
      <c r="F882" s="218"/>
      <c r="G882" s="218"/>
      <c r="H882" s="218"/>
      <c r="I882" s="218"/>
      <c r="J882" s="218"/>
      <c r="K882" s="221"/>
      <c r="L882" s="218"/>
      <c r="M882" s="267"/>
    </row>
    <row r="883" spans="2:13" s="219" customFormat="1" x14ac:dyDescent="0.25">
      <c r="B883" s="218"/>
      <c r="C883" s="218"/>
      <c r="D883" s="218"/>
      <c r="E883" s="218"/>
      <c r="F883" s="218"/>
      <c r="G883" s="218"/>
      <c r="H883" s="218"/>
      <c r="I883" s="218"/>
      <c r="J883" s="218"/>
      <c r="K883" s="221"/>
      <c r="L883" s="218"/>
      <c r="M883" s="267"/>
    </row>
    <row r="884" spans="2:13" s="219" customFormat="1" x14ac:dyDescent="0.25">
      <c r="B884" s="218"/>
      <c r="C884" s="218"/>
      <c r="D884" s="218"/>
      <c r="E884" s="218"/>
      <c r="F884" s="218"/>
      <c r="G884" s="218"/>
      <c r="H884" s="218"/>
      <c r="I884" s="218"/>
      <c r="J884" s="218"/>
      <c r="K884" s="221"/>
      <c r="L884" s="218"/>
      <c r="M884" s="267"/>
    </row>
    <row r="885" spans="2:13" s="219" customFormat="1" x14ac:dyDescent="0.25">
      <c r="B885" s="218"/>
      <c r="C885" s="218"/>
      <c r="D885" s="218"/>
      <c r="E885" s="218"/>
      <c r="F885" s="218"/>
      <c r="G885" s="218"/>
      <c r="H885" s="218"/>
      <c r="I885" s="218"/>
      <c r="J885" s="218"/>
      <c r="K885" s="221"/>
      <c r="L885" s="218"/>
      <c r="M885" s="267"/>
    </row>
    <row r="886" spans="2:13" s="219" customFormat="1" x14ac:dyDescent="0.25">
      <c r="B886" s="218"/>
      <c r="C886" s="218"/>
      <c r="D886" s="218"/>
      <c r="E886" s="218"/>
      <c r="F886" s="218"/>
      <c r="G886" s="218"/>
      <c r="H886" s="218"/>
      <c r="I886" s="218"/>
      <c r="J886" s="218"/>
      <c r="K886" s="221"/>
      <c r="L886" s="218"/>
      <c r="M886" s="267"/>
    </row>
    <row r="887" spans="2:13" s="219" customFormat="1" x14ac:dyDescent="0.25">
      <c r="B887" s="218"/>
      <c r="C887" s="218"/>
      <c r="D887" s="218"/>
      <c r="E887" s="218"/>
      <c r="F887" s="218"/>
      <c r="G887" s="218"/>
      <c r="H887" s="218"/>
      <c r="I887" s="218"/>
      <c r="J887" s="218"/>
      <c r="K887" s="221"/>
      <c r="L887" s="218"/>
      <c r="M887" s="267"/>
    </row>
    <row r="888" spans="2:13" s="219" customFormat="1" x14ac:dyDescent="0.25">
      <c r="B888" s="218"/>
      <c r="C888" s="218"/>
      <c r="D888" s="218"/>
      <c r="E888" s="218"/>
      <c r="F888" s="218"/>
      <c r="G888" s="218"/>
      <c r="H888" s="218"/>
      <c r="I888" s="218"/>
      <c r="J888" s="218"/>
      <c r="K888" s="221"/>
      <c r="L888" s="218"/>
      <c r="M888" s="267"/>
    </row>
    <row r="889" spans="2:13" s="219" customFormat="1" x14ac:dyDescent="0.25">
      <c r="B889" s="218"/>
      <c r="C889" s="218"/>
      <c r="D889" s="218"/>
      <c r="E889" s="218"/>
      <c r="F889" s="218"/>
      <c r="G889" s="218"/>
      <c r="H889" s="218"/>
      <c r="I889" s="218"/>
      <c r="J889" s="218"/>
      <c r="K889" s="221"/>
      <c r="L889" s="218"/>
      <c r="M889" s="267"/>
    </row>
    <row r="890" spans="2:13" s="219" customFormat="1" x14ac:dyDescent="0.25">
      <c r="B890" s="218"/>
      <c r="C890" s="218"/>
      <c r="D890" s="218"/>
      <c r="E890" s="218"/>
      <c r="F890" s="218"/>
      <c r="G890" s="218"/>
      <c r="H890" s="218"/>
      <c r="I890" s="218"/>
      <c r="J890" s="218"/>
      <c r="K890" s="221"/>
      <c r="L890" s="218"/>
      <c r="M890" s="267"/>
    </row>
    <row r="891" spans="2:13" s="219" customFormat="1" x14ac:dyDescent="0.25">
      <c r="B891" s="218"/>
      <c r="C891" s="218"/>
      <c r="D891" s="218"/>
      <c r="E891" s="218"/>
      <c r="F891" s="218"/>
      <c r="G891" s="218"/>
      <c r="H891" s="218"/>
      <c r="I891" s="218"/>
      <c r="J891" s="218"/>
      <c r="K891" s="221"/>
      <c r="L891" s="218"/>
      <c r="M891" s="267"/>
    </row>
    <row r="892" spans="2:13" s="219" customFormat="1" x14ac:dyDescent="0.25">
      <c r="B892" s="218"/>
      <c r="C892" s="218"/>
      <c r="D892" s="218"/>
      <c r="E892" s="218"/>
      <c r="F892" s="218"/>
      <c r="G892" s="218"/>
      <c r="H892" s="218"/>
      <c r="I892" s="218"/>
      <c r="J892" s="218"/>
      <c r="K892" s="221"/>
      <c r="L892" s="218"/>
      <c r="M892" s="267"/>
    </row>
    <row r="893" spans="2:13" s="219" customFormat="1" x14ac:dyDescent="0.25">
      <c r="B893" s="218"/>
      <c r="C893" s="218"/>
      <c r="D893" s="218"/>
      <c r="E893" s="218"/>
      <c r="F893" s="218"/>
      <c r="G893" s="218"/>
      <c r="H893" s="218"/>
      <c r="I893" s="218"/>
      <c r="J893" s="218"/>
      <c r="K893" s="221"/>
      <c r="L893" s="218"/>
      <c r="M893" s="267"/>
    </row>
    <row r="894" spans="2:13" s="219" customFormat="1" x14ac:dyDescent="0.25">
      <c r="B894" s="218"/>
      <c r="C894" s="218"/>
      <c r="D894" s="218"/>
      <c r="E894" s="218"/>
      <c r="F894" s="218"/>
      <c r="G894" s="218"/>
      <c r="H894" s="218"/>
      <c r="I894" s="218"/>
      <c r="J894" s="218"/>
      <c r="K894" s="221"/>
      <c r="L894" s="218"/>
      <c r="M894" s="267"/>
    </row>
    <row r="895" spans="2:13" s="219" customFormat="1" x14ac:dyDescent="0.25">
      <c r="B895" s="218"/>
      <c r="C895" s="218"/>
      <c r="D895" s="218"/>
      <c r="E895" s="218"/>
      <c r="F895" s="218"/>
      <c r="G895" s="218"/>
      <c r="H895" s="218"/>
      <c r="I895" s="218"/>
      <c r="J895" s="218"/>
      <c r="K895" s="221"/>
      <c r="L895" s="218"/>
      <c r="M895" s="267"/>
    </row>
    <row r="896" spans="2:13" s="219" customFormat="1" x14ac:dyDescent="0.25">
      <c r="B896" s="218"/>
      <c r="C896" s="218"/>
      <c r="D896" s="218"/>
      <c r="E896" s="218"/>
      <c r="F896" s="218"/>
      <c r="G896" s="218"/>
      <c r="H896" s="218"/>
      <c r="I896" s="218"/>
      <c r="J896" s="218"/>
      <c r="K896" s="221"/>
      <c r="L896" s="218"/>
      <c r="M896" s="267"/>
    </row>
    <row r="897" spans="2:13" s="219" customFormat="1" x14ac:dyDescent="0.25">
      <c r="B897" s="218"/>
      <c r="C897" s="218"/>
      <c r="D897" s="218"/>
      <c r="E897" s="218"/>
      <c r="F897" s="218"/>
      <c r="G897" s="218"/>
      <c r="H897" s="218"/>
      <c r="I897" s="218"/>
      <c r="J897" s="218"/>
      <c r="K897" s="221"/>
      <c r="L897" s="218"/>
      <c r="M897" s="267"/>
    </row>
    <row r="898" spans="2:13" s="219" customFormat="1" x14ac:dyDescent="0.25">
      <c r="B898" s="218"/>
      <c r="C898" s="218"/>
      <c r="D898" s="218"/>
      <c r="E898" s="218"/>
      <c r="F898" s="218"/>
      <c r="G898" s="218"/>
      <c r="H898" s="218"/>
      <c r="I898" s="218"/>
      <c r="J898" s="218"/>
      <c r="K898" s="221"/>
      <c r="L898" s="218"/>
      <c r="M898" s="267"/>
    </row>
    <row r="899" spans="2:13" s="219" customFormat="1" x14ac:dyDescent="0.25">
      <c r="B899" s="218"/>
      <c r="C899" s="218"/>
      <c r="D899" s="218"/>
      <c r="E899" s="218"/>
      <c r="F899" s="218"/>
      <c r="G899" s="218"/>
      <c r="H899" s="218"/>
      <c r="I899" s="218"/>
      <c r="J899" s="218"/>
      <c r="K899" s="221"/>
      <c r="L899" s="218"/>
      <c r="M899" s="267"/>
    </row>
    <row r="900" spans="2:13" s="219" customFormat="1" x14ac:dyDescent="0.25">
      <c r="B900" s="218"/>
      <c r="C900" s="218"/>
      <c r="D900" s="218"/>
      <c r="E900" s="218"/>
      <c r="F900" s="218"/>
      <c r="G900" s="218"/>
      <c r="H900" s="218"/>
      <c r="I900" s="218"/>
      <c r="J900" s="218"/>
      <c r="K900" s="221"/>
      <c r="L900" s="218"/>
      <c r="M900" s="267"/>
    </row>
    <row r="901" spans="2:13" s="219" customFormat="1" x14ac:dyDescent="0.25">
      <c r="B901" s="218"/>
      <c r="C901" s="218"/>
      <c r="D901" s="218"/>
      <c r="E901" s="218"/>
      <c r="F901" s="218"/>
      <c r="G901" s="218"/>
      <c r="H901" s="218"/>
      <c r="I901" s="218"/>
      <c r="J901" s="218"/>
      <c r="K901" s="221"/>
      <c r="L901" s="218"/>
      <c r="M901" s="267"/>
    </row>
    <row r="902" spans="2:13" s="219" customFormat="1" x14ac:dyDescent="0.25">
      <c r="B902" s="218"/>
      <c r="C902" s="218"/>
      <c r="D902" s="218"/>
      <c r="E902" s="218"/>
      <c r="F902" s="218"/>
      <c r="G902" s="218"/>
      <c r="H902" s="218"/>
      <c r="I902" s="218"/>
      <c r="J902" s="218"/>
      <c r="K902" s="221"/>
      <c r="L902" s="218"/>
      <c r="M902" s="267"/>
    </row>
    <row r="903" spans="2:13" s="219" customFormat="1" x14ac:dyDescent="0.25">
      <c r="B903" s="218"/>
      <c r="C903" s="218"/>
      <c r="D903" s="218"/>
      <c r="E903" s="218"/>
      <c r="F903" s="218"/>
      <c r="G903" s="218"/>
      <c r="H903" s="218"/>
      <c r="I903" s="218"/>
      <c r="J903" s="218"/>
      <c r="K903" s="221"/>
      <c r="L903" s="218"/>
      <c r="M903" s="267"/>
    </row>
    <row r="904" spans="2:13" s="219" customFormat="1" x14ac:dyDescent="0.25">
      <c r="B904" s="218"/>
      <c r="C904" s="218"/>
      <c r="D904" s="218"/>
      <c r="E904" s="218"/>
      <c r="F904" s="218"/>
      <c r="G904" s="218"/>
      <c r="H904" s="218"/>
      <c r="I904" s="218"/>
      <c r="J904" s="218"/>
      <c r="K904" s="221"/>
      <c r="L904" s="218"/>
      <c r="M904" s="267"/>
    </row>
    <row r="905" spans="2:13" s="219" customFormat="1" x14ac:dyDescent="0.25">
      <c r="B905" s="218"/>
      <c r="C905" s="218"/>
      <c r="D905" s="218"/>
      <c r="E905" s="218"/>
      <c r="F905" s="218"/>
      <c r="G905" s="218"/>
      <c r="H905" s="218"/>
      <c r="I905" s="218"/>
      <c r="J905" s="218"/>
      <c r="K905" s="221"/>
      <c r="L905" s="218"/>
      <c r="M905" s="267"/>
    </row>
    <row r="906" spans="2:13" s="219" customFormat="1" x14ac:dyDescent="0.25">
      <c r="B906" s="218"/>
      <c r="C906" s="218"/>
      <c r="D906" s="218"/>
      <c r="E906" s="218"/>
      <c r="F906" s="218"/>
      <c r="G906" s="218"/>
      <c r="H906" s="218"/>
      <c r="I906" s="218"/>
      <c r="J906" s="218"/>
      <c r="K906" s="221"/>
      <c r="L906" s="218"/>
      <c r="M906" s="267"/>
    </row>
    <row r="907" spans="2:13" s="219" customFormat="1" x14ac:dyDescent="0.25">
      <c r="B907" s="218"/>
      <c r="C907" s="218"/>
      <c r="D907" s="218"/>
      <c r="E907" s="218"/>
      <c r="F907" s="218"/>
      <c r="G907" s="218"/>
      <c r="H907" s="218"/>
      <c r="I907" s="218"/>
      <c r="J907" s="218"/>
      <c r="K907" s="221"/>
      <c r="L907" s="218"/>
      <c r="M907" s="267"/>
    </row>
    <row r="908" spans="2:13" s="219" customFormat="1" x14ac:dyDescent="0.25">
      <c r="B908" s="218"/>
      <c r="C908" s="218"/>
      <c r="D908" s="218"/>
      <c r="E908" s="218"/>
      <c r="F908" s="218"/>
      <c r="G908" s="218"/>
      <c r="H908" s="218"/>
      <c r="I908" s="218"/>
      <c r="J908" s="218"/>
      <c r="K908" s="221"/>
      <c r="L908" s="218"/>
      <c r="M908" s="267"/>
    </row>
    <row r="909" spans="2:13" s="219" customFormat="1" x14ac:dyDescent="0.25">
      <c r="B909" s="218"/>
      <c r="C909" s="218"/>
      <c r="D909" s="218"/>
      <c r="E909" s="218"/>
      <c r="F909" s="218"/>
      <c r="G909" s="218"/>
      <c r="H909" s="218"/>
      <c r="I909" s="218"/>
      <c r="J909" s="218"/>
      <c r="K909" s="221"/>
      <c r="L909" s="218"/>
      <c r="M909" s="267"/>
    </row>
    <row r="910" spans="2:13" s="219" customFormat="1" x14ac:dyDescent="0.25">
      <c r="B910" s="218"/>
      <c r="C910" s="218"/>
      <c r="D910" s="218"/>
      <c r="E910" s="218"/>
      <c r="F910" s="218"/>
      <c r="G910" s="218"/>
      <c r="H910" s="218"/>
      <c r="I910" s="218"/>
      <c r="J910" s="218"/>
      <c r="K910" s="221"/>
      <c r="L910" s="218"/>
      <c r="M910" s="267"/>
    </row>
    <row r="911" spans="2:13" s="219" customFormat="1" x14ac:dyDescent="0.25">
      <c r="B911" s="218"/>
      <c r="C911" s="218"/>
      <c r="D911" s="218"/>
      <c r="E911" s="218"/>
      <c r="F911" s="218"/>
      <c r="G911" s="218"/>
      <c r="H911" s="218"/>
      <c r="I911" s="218"/>
      <c r="J911" s="218"/>
      <c r="K911" s="221"/>
      <c r="L911" s="218"/>
      <c r="M911" s="267"/>
    </row>
    <row r="912" spans="2:13" s="219" customFormat="1" x14ac:dyDescent="0.25">
      <c r="B912" s="218"/>
      <c r="C912" s="218"/>
      <c r="D912" s="218"/>
      <c r="E912" s="218"/>
      <c r="F912" s="218"/>
      <c r="G912" s="218"/>
      <c r="H912" s="218"/>
      <c r="I912" s="218"/>
      <c r="J912" s="218"/>
      <c r="K912" s="221"/>
      <c r="L912" s="218"/>
      <c r="M912" s="267"/>
    </row>
    <row r="913" spans="2:13" s="219" customFormat="1" x14ac:dyDescent="0.25">
      <c r="B913" s="218"/>
      <c r="C913" s="218"/>
      <c r="D913" s="218"/>
      <c r="E913" s="218"/>
      <c r="F913" s="218"/>
      <c r="G913" s="218"/>
      <c r="H913" s="218"/>
      <c r="I913" s="218"/>
      <c r="J913" s="218"/>
      <c r="K913" s="221"/>
      <c r="L913" s="218"/>
      <c r="M913" s="267"/>
    </row>
    <row r="914" spans="2:13" s="219" customFormat="1" x14ac:dyDescent="0.25">
      <c r="B914" s="218"/>
      <c r="C914" s="218"/>
      <c r="D914" s="218"/>
      <c r="E914" s="218"/>
      <c r="F914" s="218"/>
      <c r="G914" s="218"/>
      <c r="H914" s="218"/>
      <c r="I914" s="218"/>
      <c r="J914" s="218"/>
      <c r="K914" s="221"/>
      <c r="L914" s="218"/>
      <c r="M914" s="267"/>
    </row>
    <row r="915" spans="2:13" s="219" customFormat="1" x14ac:dyDescent="0.25">
      <c r="B915" s="218"/>
      <c r="C915" s="218"/>
      <c r="D915" s="218"/>
      <c r="E915" s="218"/>
      <c r="F915" s="218"/>
      <c r="G915" s="218"/>
      <c r="H915" s="218"/>
      <c r="I915" s="218"/>
      <c r="J915" s="218"/>
      <c r="K915" s="221"/>
      <c r="L915" s="218"/>
      <c r="M915" s="267"/>
    </row>
    <row r="916" spans="2:13" s="219" customFormat="1" x14ac:dyDescent="0.25">
      <c r="B916" s="218"/>
      <c r="C916" s="218"/>
      <c r="D916" s="218"/>
      <c r="E916" s="218"/>
      <c r="F916" s="218"/>
      <c r="G916" s="218"/>
      <c r="H916" s="218"/>
      <c r="I916" s="218"/>
      <c r="J916" s="218"/>
      <c r="K916" s="221"/>
      <c r="L916" s="218"/>
      <c r="M916" s="267"/>
    </row>
    <row r="917" spans="2:13" s="219" customFormat="1" x14ac:dyDescent="0.25">
      <c r="B917" s="218"/>
      <c r="C917" s="218"/>
      <c r="D917" s="218"/>
      <c r="E917" s="218"/>
      <c r="F917" s="218"/>
      <c r="G917" s="218"/>
      <c r="H917" s="218"/>
      <c r="I917" s="218"/>
      <c r="J917" s="218"/>
      <c r="K917" s="221"/>
      <c r="L917" s="218"/>
      <c r="M917" s="267"/>
    </row>
    <row r="918" spans="2:13" s="219" customFormat="1" x14ac:dyDescent="0.25">
      <c r="B918" s="218"/>
      <c r="C918" s="218"/>
      <c r="D918" s="218"/>
      <c r="E918" s="218"/>
      <c r="F918" s="218"/>
      <c r="G918" s="218"/>
      <c r="H918" s="218"/>
      <c r="I918" s="218"/>
      <c r="J918" s="218"/>
      <c r="K918" s="221"/>
      <c r="L918" s="218"/>
      <c r="M918" s="267"/>
    </row>
    <row r="919" spans="2:13" s="219" customFormat="1" x14ac:dyDescent="0.25">
      <c r="B919" s="218"/>
      <c r="C919" s="218"/>
      <c r="D919" s="218"/>
      <c r="E919" s="218"/>
      <c r="F919" s="218"/>
      <c r="G919" s="218"/>
      <c r="H919" s="218"/>
      <c r="I919" s="218"/>
      <c r="J919" s="218"/>
      <c r="K919" s="221"/>
      <c r="L919" s="218"/>
      <c r="M919" s="267"/>
    </row>
    <row r="920" spans="2:13" s="219" customFormat="1" x14ac:dyDescent="0.25">
      <c r="B920" s="218"/>
      <c r="C920" s="218"/>
      <c r="D920" s="218"/>
      <c r="E920" s="218"/>
      <c r="F920" s="218"/>
      <c r="G920" s="218"/>
      <c r="H920" s="218"/>
      <c r="I920" s="218"/>
      <c r="J920" s="218"/>
      <c r="K920" s="221"/>
      <c r="L920" s="218"/>
      <c r="M920" s="267"/>
    </row>
    <row r="921" spans="2:13" s="219" customFormat="1" x14ac:dyDescent="0.25">
      <c r="B921" s="218"/>
      <c r="C921" s="218"/>
      <c r="D921" s="218"/>
      <c r="E921" s="218"/>
      <c r="F921" s="218"/>
      <c r="G921" s="218"/>
      <c r="H921" s="218"/>
      <c r="I921" s="218"/>
      <c r="J921" s="218"/>
      <c r="K921" s="221"/>
      <c r="L921" s="218"/>
      <c r="M921" s="267"/>
    </row>
    <row r="922" spans="2:13" s="219" customFormat="1" x14ac:dyDescent="0.25">
      <c r="B922" s="218"/>
      <c r="C922" s="218"/>
      <c r="D922" s="218"/>
      <c r="E922" s="218"/>
      <c r="F922" s="218"/>
      <c r="G922" s="218"/>
      <c r="H922" s="218"/>
      <c r="I922" s="218"/>
      <c r="J922" s="218"/>
      <c r="K922" s="221"/>
      <c r="L922" s="218"/>
      <c r="M922" s="267"/>
    </row>
    <row r="923" spans="2:13" s="219" customFormat="1" x14ac:dyDescent="0.25">
      <c r="B923" s="218"/>
      <c r="C923" s="218"/>
      <c r="D923" s="218"/>
      <c r="E923" s="218"/>
      <c r="F923" s="218"/>
      <c r="G923" s="218"/>
      <c r="H923" s="218"/>
      <c r="I923" s="218"/>
      <c r="J923" s="218"/>
      <c r="K923" s="221"/>
      <c r="L923" s="218"/>
      <c r="M923" s="267"/>
    </row>
    <row r="924" spans="2:13" s="219" customFormat="1" x14ac:dyDescent="0.25">
      <c r="B924" s="218"/>
      <c r="C924" s="218"/>
      <c r="D924" s="218"/>
      <c r="E924" s="218"/>
      <c r="F924" s="218"/>
      <c r="G924" s="218"/>
      <c r="H924" s="218"/>
      <c r="I924" s="218"/>
      <c r="J924" s="218"/>
      <c r="K924" s="221"/>
      <c r="L924" s="218"/>
      <c r="M924" s="267"/>
    </row>
    <row r="925" spans="2:13" s="219" customFormat="1" x14ac:dyDescent="0.25">
      <c r="B925" s="218"/>
      <c r="C925" s="218"/>
      <c r="D925" s="218"/>
      <c r="E925" s="218"/>
      <c r="F925" s="218"/>
      <c r="G925" s="218"/>
      <c r="H925" s="218"/>
      <c r="I925" s="218"/>
      <c r="J925" s="218"/>
      <c r="K925" s="221"/>
      <c r="L925" s="218"/>
      <c r="M925" s="267"/>
    </row>
    <row r="926" spans="2:13" s="219" customFormat="1" x14ac:dyDescent="0.25">
      <c r="B926" s="218"/>
      <c r="C926" s="218"/>
      <c r="D926" s="218"/>
      <c r="E926" s="218"/>
      <c r="F926" s="218"/>
      <c r="G926" s="218"/>
      <c r="H926" s="218"/>
      <c r="I926" s="218"/>
      <c r="J926" s="218"/>
      <c r="K926" s="221"/>
      <c r="L926" s="218"/>
      <c r="M926" s="267"/>
    </row>
    <row r="927" spans="2:13" s="219" customFormat="1" x14ac:dyDescent="0.25">
      <c r="B927" s="218"/>
      <c r="C927" s="218"/>
      <c r="D927" s="218"/>
      <c r="E927" s="218"/>
      <c r="F927" s="218"/>
      <c r="G927" s="218"/>
      <c r="H927" s="218"/>
      <c r="I927" s="218"/>
      <c r="J927" s="218"/>
      <c r="K927" s="221"/>
      <c r="L927" s="218"/>
      <c r="M927" s="267"/>
    </row>
    <row r="928" spans="2:13" s="219" customFormat="1" x14ac:dyDescent="0.25">
      <c r="B928" s="218"/>
      <c r="C928" s="218"/>
      <c r="D928" s="218"/>
      <c r="E928" s="218"/>
      <c r="F928" s="218"/>
      <c r="G928" s="218"/>
      <c r="H928" s="218"/>
      <c r="I928" s="218"/>
      <c r="J928" s="218"/>
      <c r="K928" s="221"/>
      <c r="L928" s="218"/>
      <c r="M928" s="267"/>
    </row>
    <row r="929" spans="2:13" s="219" customFormat="1" x14ac:dyDescent="0.25">
      <c r="B929" s="218"/>
      <c r="C929" s="218"/>
      <c r="D929" s="218"/>
      <c r="E929" s="218"/>
      <c r="F929" s="218"/>
      <c r="G929" s="218"/>
      <c r="H929" s="218"/>
      <c r="I929" s="218"/>
      <c r="J929" s="218"/>
      <c r="K929" s="221"/>
      <c r="L929" s="218"/>
      <c r="M929" s="267"/>
    </row>
    <row r="930" spans="2:13" s="219" customFormat="1" x14ac:dyDescent="0.25">
      <c r="B930" s="218"/>
      <c r="C930" s="218"/>
      <c r="D930" s="218"/>
      <c r="E930" s="218"/>
      <c r="F930" s="218"/>
      <c r="G930" s="218"/>
      <c r="H930" s="218"/>
      <c r="I930" s="218"/>
      <c r="J930" s="218"/>
      <c r="K930" s="221"/>
      <c r="L930" s="218"/>
      <c r="M930" s="267"/>
    </row>
    <row r="931" spans="2:13" s="219" customFormat="1" x14ac:dyDescent="0.25">
      <c r="B931" s="218"/>
      <c r="C931" s="218"/>
      <c r="D931" s="218"/>
      <c r="E931" s="218"/>
      <c r="F931" s="218"/>
      <c r="G931" s="218"/>
      <c r="H931" s="218"/>
      <c r="I931" s="218"/>
      <c r="J931" s="218"/>
      <c r="K931" s="221"/>
      <c r="L931" s="218"/>
      <c r="M931" s="267"/>
    </row>
    <row r="932" spans="2:13" s="219" customFormat="1" x14ac:dyDescent="0.25">
      <c r="B932" s="218"/>
      <c r="C932" s="218"/>
      <c r="D932" s="218"/>
      <c r="E932" s="218"/>
      <c r="F932" s="218"/>
      <c r="G932" s="218"/>
      <c r="H932" s="218"/>
      <c r="I932" s="218"/>
      <c r="J932" s="218"/>
      <c r="K932" s="221"/>
      <c r="L932" s="218"/>
      <c r="M932" s="267"/>
    </row>
    <row r="933" spans="2:13" s="219" customFormat="1" x14ac:dyDescent="0.25">
      <c r="B933" s="218"/>
      <c r="C933" s="218"/>
      <c r="D933" s="218"/>
      <c r="E933" s="218"/>
      <c r="F933" s="218"/>
      <c r="G933" s="218"/>
      <c r="H933" s="218"/>
      <c r="I933" s="218"/>
      <c r="J933" s="218"/>
      <c r="K933" s="221"/>
      <c r="L933" s="218"/>
      <c r="M933" s="267"/>
    </row>
    <row r="934" spans="2:13" s="219" customFormat="1" x14ac:dyDescent="0.25">
      <c r="B934" s="218"/>
      <c r="C934" s="218"/>
      <c r="D934" s="218"/>
      <c r="E934" s="218"/>
      <c r="F934" s="218"/>
      <c r="G934" s="218"/>
      <c r="H934" s="218"/>
      <c r="I934" s="218"/>
      <c r="J934" s="218"/>
      <c r="K934" s="221"/>
      <c r="L934" s="218"/>
      <c r="M934" s="267"/>
    </row>
    <row r="935" spans="2:13" s="219" customFormat="1" x14ac:dyDescent="0.25">
      <c r="B935" s="218"/>
      <c r="C935" s="218"/>
      <c r="D935" s="218"/>
      <c r="E935" s="218"/>
      <c r="F935" s="218"/>
      <c r="G935" s="218"/>
      <c r="H935" s="218"/>
      <c r="I935" s="218"/>
      <c r="J935" s="218"/>
      <c r="K935" s="221"/>
      <c r="L935" s="218"/>
      <c r="M935" s="267"/>
    </row>
    <row r="936" spans="2:13" s="219" customFormat="1" x14ac:dyDescent="0.25">
      <c r="B936" s="218"/>
      <c r="C936" s="218"/>
      <c r="D936" s="218"/>
      <c r="E936" s="218"/>
      <c r="F936" s="218"/>
      <c r="G936" s="218"/>
      <c r="H936" s="218"/>
      <c r="I936" s="218"/>
      <c r="J936" s="218"/>
      <c r="K936" s="221"/>
      <c r="L936" s="218"/>
      <c r="M936" s="267"/>
    </row>
    <row r="937" spans="2:13" s="219" customFormat="1" x14ac:dyDescent="0.25">
      <c r="B937" s="218"/>
      <c r="C937" s="218"/>
      <c r="D937" s="218"/>
      <c r="E937" s="218"/>
      <c r="F937" s="218"/>
      <c r="G937" s="218"/>
      <c r="H937" s="218"/>
      <c r="I937" s="218"/>
      <c r="J937" s="218"/>
      <c r="K937" s="221"/>
      <c r="L937" s="218"/>
      <c r="M937" s="267"/>
    </row>
    <row r="938" spans="2:13" s="219" customFormat="1" x14ac:dyDescent="0.25">
      <c r="B938" s="218"/>
      <c r="C938" s="218"/>
      <c r="D938" s="218"/>
      <c r="E938" s="218"/>
      <c r="F938" s="218"/>
      <c r="G938" s="218"/>
      <c r="H938" s="218"/>
      <c r="I938" s="218"/>
      <c r="J938" s="218"/>
      <c r="K938" s="221"/>
      <c r="L938" s="218"/>
      <c r="M938" s="267"/>
    </row>
    <row r="939" spans="2:13" s="219" customFormat="1" x14ac:dyDescent="0.25">
      <c r="B939" s="218"/>
      <c r="C939" s="218"/>
      <c r="D939" s="218"/>
      <c r="E939" s="218"/>
      <c r="F939" s="218"/>
      <c r="G939" s="218"/>
      <c r="H939" s="218"/>
      <c r="I939" s="218"/>
      <c r="J939" s="218"/>
      <c r="K939" s="221"/>
      <c r="L939" s="218"/>
      <c r="M939" s="267"/>
    </row>
    <row r="940" spans="2:13" s="219" customFormat="1" x14ac:dyDescent="0.25">
      <c r="B940" s="218"/>
      <c r="C940" s="218"/>
      <c r="D940" s="218"/>
      <c r="E940" s="218"/>
      <c r="F940" s="218"/>
      <c r="G940" s="218"/>
      <c r="H940" s="218"/>
      <c r="I940" s="218"/>
      <c r="J940" s="218"/>
      <c r="K940" s="221"/>
      <c r="L940" s="218"/>
      <c r="M940" s="267"/>
    </row>
    <row r="941" spans="2:13" s="219" customFormat="1" x14ac:dyDescent="0.25">
      <c r="B941" s="218"/>
      <c r="C941" s="218"/>
      <c r="D941" s="218"/>
      <c r="E941" s="218"/>
      <c r="F941" s="218"/>
      <c r="G941" s="218"/>
      <c r="H941" s="218"/>
      <c r="I941" s="218"/>
      <c r="J941" s="218"/>
      <c r="K941" s="221"/>
      <c r="L941" s="218"/>
      <c r="M941" s="267"/>
    </row>
    <row r="942" spans="2:13" s="219" customFormat="1" x14ac:dyDescent="0.25">
      <c r="B942" s="218"/>
      <c r="C942" s="218"/>
      <c r="D942" s="218"/>
      <c r="E942" s="218"/>
      <c r="F942" s="218"/>
      <c r="G942" s="218"/>
      <c r="H942" s="218"/>
      <c r="I942" s="218"/>
      <c r="J942" s="218"/>
      <c r="K942" s="221"/>
      <c r="L942" s="218"/>
      <c r="M942" s="267"/>
    </row>
    <row r="943" spans="2:13" s="219" customFormat="1" x14ac:dyDescent="0.25">
      <c r="B943" s="218"/>
      <c r="C943" s="218"/>
      <c r="D943" s="218"/>
      <c r="E943" s="218"/>
      <c r="F943" s="218"/>
      <c r="G943" s="218"/>
      <c r="H943" s="218"/>
      <c r="I943" s="218"/>
      <c r="J943" s="218"/>
      <c r="K943" s="221"/>
      <c r="L943" s="218"/>
      <c r="M943" s="267"/>
    </row>
    <row r="944" spans="2:13" s="219" customFormat="1" x14ac:dyDescent="0.25">
      <c r="B944" s="218"/>
      <c r="C944" s="218"/>
      <c r="D944" s="218"/>
      <c r="E944" s="218"/>
      <c r="F944" s="218"/>
      <c r="G944" s="218"/>
      <c r="H944" s="218"/>
      <c r="I944" s="218"/>
      <c r="J944" s="218"/>
      <c r="K944" s="221"/>
      <c r="L944" s="218"/>
      <c r="M944" s="267"/>
    </row>
    <row r="945" spans="2:13" s="219" customFormat="1" x14ac:dyDescent="0.25">
      <c r="B945" s="218"/>
      <c r="C945" s="218"/>
      <c r="D945" s="218"/>
      <c r="E945" s="218"/>
      <c r="F945" s="218"/>
      <c r="G945" s="218"/>
      <c r="H945" s="218"/>
      <c r="I945" s="218"/>
      <c r="J945" s="218"/>
      <c r="K945" s="221"/>
      <c r="L945" s="218"/>
      <c r="M945" s="267"/>
    </row>
    <row r="946" spans="2:13" s="219" customFormat="1" x14ac:dyDescent="0.25">
      <c r="B946" s="218"/>
      <c r="C946" s="218"/>
      <c r="D946" s="218"/>
      <c r="E946" s="218"/>
      <c r="F946" s="218"/>
      <c r="G946" s="218"/>
      <c r="H946" s="218"/>
      <c r="I946" s="218"/>
      <c r="J946" s="218"/>
      <c r="K946" s="221"/>
      <c r="L946" s="218"/>
      <c r="M946" s="267"/>
    </row>
    <row r="947" spans="2:13" s="219" customFormat="1" x14ac:dyDescent="0.25">
      <c r="B947" s="218"/>
      <c r="C947" s="218"/>
      <c r="D947" s="218"/>
      <c r="E947" s="218"/>
      <c r="F947" s="218"/>
      <c r="G947" s="218"/>
      <c r="H947" s="218"/>
      <c r="I947" s="218"/>
      <c r="J947" s="218"/>
      <c r="K947" s="221"/>
      <c r="L947" s="218"/>
      <c r="M947" s="267"/>
    </row>
    <row r="948" spans="2:13" s="219" customFormat="1" x14ac:dyDescent="0.25">
      <c r="B948" s="218"/>
      <c r="C948" s="218"/>
      <c r="D948" s="218"/>
      <c r="E948" s="218"/>
      <c r="F948" s="218"/>
      <c r="G948" s="218"/>
      <c r="H948" s="218"/>
      <c r="I948" s="218"/>
      <c r="J948" s="218"/>
      <c r="K948" s="221"/>
      <c r="L948" s="218"/>
      <c r="M948" s="267"/>
    </row>
    <row r="949" spans="2:13" s="219" customFormat="1" x14ac:dyDescent="0.25">
      <c r="B949" s="218"/>
      <c r="C949" s="218"/>
      <c r="D949" s="218"/>
      <c r="E949" s="218"/>
      <c r="F949" s="218"/>
      <c r="G949" s="218"/>
      <c r="H949" s="218"/>
      <c r="I949" s="218"/>
      <c r="J949" s="218"/>
      <c r="K949" s="221"/>
      <c r="L949" s="218"/>
      <c r="M949" s="267"/>
    </row>
    <row r="950" spans="2:13" s="219" customFormat="1" x14ac:dyDescent="0.25">
      <c r="B950" s="218"/>
      <c r="C950" s="218"/>
      <c r="D950" s="218"/>
      <c r="E950" s="218"/>
      <c r="F950" s="218"/>
      <c r="G950" s="218"/>
      <c r="H950" s="218"/>
      <c r="I950" s="218"/>
      <c r="J950" s="218"/>
      <c r="K950" s="221"/>
      <c r="L950" s="218"/>
      <c r="M950" s="267"/>
    </row>
    <row r="951" spans="2:13" s="219" customFormat="1" x14ac:dyDescent="0.25">
      <c r="B951" s="218"/>
      <c r="C951" s="218"/>
      <c r="D951" s="218"/>
      <c r="E951" s="218"/>
      <c r="F951" s="218"/>
      <c r="G951" s="218"/>
      <c r="H951" s="218"/>
      <c r="I951" s="218"/>
      <c r="J951" s="218"/>
      <c r="K951" s="221"/>
      <c r="L951" s="218"/>
      <c r="M951" s="267"/>
    </row>
    <row r="952" spans="2:13" s="219" customFormat="1" x14ac:dyDescent="0.25">
      <c r="B952" s="218"/>
      <c r="C952" s="218"/>
      <c r="D952" s="218"/>
      <c r="E952" s="218"/>
      <c r="F952" s="218"/>
      <c r="G952" s="218"/>
      <c r="H952" s="218"/>
      <c r="I952" s="218"/>
      <c r="J952" s="218"/>
      <c r="K952" s="221"/>
      <c r="L952" s="218"/>
      <c r="M952" s="267"/>
    </row>
    <row r="953" spans="2:13" s="219" customFormat="1" x14ac:dyDescent="0.25">
      <c r="B953" s="218"/>
      <c r="C953" s="218"/>
      <c r="D953" s="218"/>
      <c r="E953" s="218"/>
      <c r="F953" s="218"/>
      <c r="G953" s="218"/>
      <c r="H953" s="218"/>
      <c r="I953" s="218"/>
      <c r="J953" s="218"/>
      <c r="K953" s="221"/>
      <c r="L953" s="218"/>
      <c r="M953" s="267"/>
    </row>
    <row r="954" spans="2:13" s="219" customFormat="1" x14ac:dyDescent="0.25">
      <c r="B954" s="218"/>
      <c r="C954" s="218"/>
      <c r="D954" s="218"/>
      <c r="E954" s="218"/>
      <c r="F954" s="218"/>
      <c r="G954" s="218"/>
      <c r="H954" s="218"/>
      <c r="I954" s="218"/>
      <c r="J954" s="218"/>
      <c r="K954" s="221"/>
      <c r="L954" s="218"/>
      <c r="M954" s="267"/>
    </row>
    <row r="955" spans="2:13" s="219" customFormat="1" x14ac:dyDescent="0.25">
      <c r="B955" s="218"/>
      <c r="C955" s="218"/>
      <c r="D955" s="218"/>
      <c r="E955" s="218"/>
      <c r="F955" s="218"/>
      <c r="G955" s="218"/>
      <c r="H955" s="218"/>
      <c r="I955" s="218"/>
      <c r="J955" s="218"/>
      <c r="K955" s="221"/>
      <c r="L955" s="218"/>
      <c r="M955" s="267"/>
    </row>
    <row r="956" spans="2:13" s="219" customFormat="1" x14ac:dyDescent="0.25">
      <c r="B956" s="218"/>
      <c r="C956" s="218"/>
      <c r="D956" s="218"/>
      <c r="E956" s="218"/>
      <c r="F956" s="218"/>
      <c r="G956" s="218"/>
      <c r="H956" s="218"/>
      <c r="I956" s="218"/>
      <c r="J956" s="218"/>
      <c r="K956" s="221"/>
      <c r="L956" s="218"/>
      <c r="M956" s="267"/>
    </row>
    <row r="957" spans="2:13" s="219" customFormat="1" x14ac:dyDescent="0.25">
      <c r="B957" s="218"/>
      <c r="C957" s="218"/>
      <c r="D957" s="218"/>
      <c r="E957" s="218"/>
      <c r="F957" s="218"/>
      <c r="G957" s="218"/>
      <c r="H957" s="218"/>
      <c r="I957" s="218"/>
      <c r="J957" s="218"/>
      <c r="K957" s="221"/>
      <c r="L957" s="218"/>
      <c r="M957" s="267"/>
    </row>
    <row r="958" spans="2:13" s="219" customFormat="1" x14ac:dyDescent="0.25">
      <c r="B958" s="218"/>
      <c r="C958" s="218"/>
      <c r="D958" s="218"/>
      <c r="E958" s="218"/>
      <c r="F958" s="218"/>
      <c r="G958" s="218"/>
      <c r="H958" s="218"/>
      <c r="I958" s="218"/>
      <c r="J958" s="218"/>
      <c r="K958" s="221"/>
      <c r="L958" s="218"/>
      <c r="M958" s="267"/>
    </row>
    <row r="959" spans="2:13" s="219" customFormat="1" x14ac:dyDescent="0.25">
      <c r="B959" s="218"/>
      <c r="C959" s="218"/>
      <c r="D959" s="218"/>
      <c r="E959" s="218"/>
      <c r="F959" s="218"/>
      <c r="G959" s="218"/>
      <c r="H959" s="218"/>
      <c r="I959" s="218"/>
      <c r="J959" s="218"/>
      <c r="K959" s="221"/>
      <c r="L959" s="218"/>
      <c r="M959" s="267"/>
    </row>
    <row r="960" spans="2:13" s="219" customFormat="1" x14ac:dyDescent="0.25">
      <c r="B960" s="218"/>
      <c r="C960" s="218"/>
      <c r="D960" s="218"/>
      <c r="E960" s="218"/>
      <c r="F960" s="218"/>
      <c r="G960" s="218"/>
      <c r="H960" s="218"/>
      <c r="I960" s="218"/>
      <c r="J960" s="218"/>
      <c r="K960" s="221"/>
      <c r="L960" s="218"/>
      <c r="M960" s="267"/>
    </row>
    <row r="961" spans="2:13" s="219" customFormat="1" x14ac:dyDescent="0.25">
      <c r="B961" s="218"/>
      <c r="C961" s="218"/>
      <c r="D961" s="218"/>
      <c r="E961" s="218"/>
      <c r="F961" s="218"/>
      <c r="G961" s="218"/>
      <c r="H961" s="218"/>
      <c r="I961" s="218"/>
      <c r="J961" s="218"/>
      <c r="K961" s="221"/>
      <c r="L961" s="218"/>
      <c r="M961" s="267"/>
    </row>
    <row r="962" spans="2:13" s="219" customFormat="1" x14ac:dyDescent="0.25">
      <c r="B962" s="218"/>
      <c r="C962" s="218"/>
      <c r="D962" s="218"/>
      <c r="E962" s="218"/>
      <c r="F962" s="218"/>
      <c r="G962" s="218"/>
      <c r="H962" s="218"/>
      <c r="I962" s="218"/>
      <c r="J962" s="218"/>
      <c r="K962" s="221"/>
      <c r="L962" s="218"/>
      <c r="M962" s="267"/>
    </row>
    <row r="963" spans="2:13" s="219" customFormat="1" x14ac:dyDescent="0.25">
      <c r="B963" s="218"/>
      <c r="C963" s="218"/>
      <c r="D963" s="218"/>
      <c r="E963" s="218"/>
      <c r="F963" s="218"/>
      <c r="G963" s="218"/>
      <c r="H963" s="218"/>
      <c r="I963" s="218"/>
      <c r="J963" s="218"/>
      <c r="K963" s="221"/>
      <c r="L963" s="218"/>
      <c r="M963" s="267"/>
    </row>
    <row r="964" spans="2:13" s="219" customFormat="1" x14ac:dyDescent="0.25">
      <c r="B964" s="218"/>
      <c r="C964" s="218"/>
      <c r="D964" s="218"/>
      <c r="E964" s="218"/>
      <c r="F964" s="218"/>
      <c r="G964" s="218"/>
      <c r="H964" s="218"/>
      <c r="I964" s="218"/>
      <c r="J964" s="218"/>
      <c r="K964" s="221"/>
      <c r="L964" s="218"/>
      <c r="M964" s="267"/>
    </row>
    <row r="965" spans="2:13" s="219" customFormat="1" x14ac:dyDescent="0.25">
      <c r="B965" s="218"/>
      <c r="C965" s="218"/>
      <c r="D965" s="218"/>
      <c r="E965" s="218"/>
      <c r="F965" s="218"/>
      <c r="G965" s="218"/>
      <c r="H965" s="218"/>
      <c r="I965" s="218"/>
      <c r="J965" s="218"/>
      <c r="K965" s="221"/>
      <c r="L965" s="218"/>
      <c r="M965" s="267"/>
    </row>
    <row r="966" spans="2:13" s="219" customFormat="1" x14ac:dyDescent="0.25">
      <c r="B966" s="218"/>
      <c r="C966" s="218"/>
      <c r="D966" s="218"/>
      <c r="E966" s="218"/>
      <c r="F966" s="218"/>
      <c r="G966" s="218"/>
      <c r="H966" s="218"/>
      <c r="I966" s="218"/>
      <c r="J966" s="218"/>
      <c r="K966" s="221"/>
      <c r="L966" s="218"/>
      <c r="M966" s="267"/>
    </row>
    <row r="967" spans="2:13" s="219" customFormat="1" x14ac:dyDescent="0.25">
      <c r="B967" s="218"/>
      <c r="C967" s="218"/>
      <c r="D967" s="218"/>
      <c r="E967" s="218"/>
      <c r="F967" s="218"/>
      <c r="G967" s="218"/>
      <c r="H967" s="218"/>
      <c r="I967" s="218"/>
      <c r="J967" s="218"/>
      <c r="K967" s="221"/>
      <c r="L967" s="218"/>
      <c r="M967" s="267"/>
    </row>
    <row r="968" spans="2:13" s="219" customFormat="1" x14ac:dyDescent="0.25">
      <c r="B968" s="218"/>
      <c r="C968" s="218"/>
      <c r="D968" s="218"/>
      <c r="E968" s="218"/>
      <c r="F968" s="218"/>
      <c r="G968" s="218"/>
      <c r="H968" s="218"/>
      <c r="I968" s="218"/>
      <c r="J968" s="218"/>
      <c r="K968" s="221"/>
      <c r="L968" s="218"/>
      <c r="M968" s="267"/>
    </row>
    <row r="969" spans="2:13" s="219" customFormat="1" x14ac:dyDescent="0.25">
      <c r="B969" s="218"/>
      <c r="C969" s="218"/>
      <c r="D969" s="218"/>
      <c r="E969" s="218"/>
      <c r="F969" s="218"/>
      <c r="G969" s="218"/>
      <c r="H969" s="218"/>
      <c r="I969" s="218"/>
      <c r="J969" s="218"/>
      <c r="K969" s="221"/>
      <c r="L969" s="218"/>
      <c r="M969" s="267"/>
    </row>
    <row r="970" spans="2:13" s="219" customFormat="1" x14ac:dyDescent="0.25">
      <c r="B970" s="218"/>
      <c r="C970" s="218"/>
      <c r="D970" s="218"/>
      <c r="E970" s="218"/>
      <c r="F970" s="218"/>
      <c r="G970" s="218"/>
      <c r="H970" s="218"/>
      <c r="I970" s="218"/>
      <c r="J970" s="218"/>
      <c r="K970" s="221"/>
      <c r="L970" s="218"/>
      <c r="M970" s="267"/>
    </row>
    <row r="971" spans="2:13" s="219" customFormat="1" x14ac:dyDescent="0.25">
      <c r="B971" s="218"/>
      <c r="C971" s="218"/>
      <c r="D971" s="218"/>
      <c r="E971" s="218"/>
      <c r="F971" s="218"/>
      <c r="G971" s="218"/>
      <c r="H971" s="218"/>
      <c r="I971" s="218"/>
      <c r="J971" s="218"/>
      <c r="K971" s="221"/>
      <c r="L971" s="218"/>
      <c r="M971" s="267"/>
    </row>
    <row r="972" spans="2:13" s="219" customFormat="1" x14ac:dyDescent="0.25">
      <c r="B972" s="218"/>
      <c r="C972" s="218"/>
      <c r="D972" s="218"/>
      <c r="E972" s="218"/>
      <c r="F972" s="218"/>
      <c r="G972" s="218"/>
      <c r="H972" s="218"/>
      <c r="I972" s="218"/>
      <c r="J972" s="218"/>
      <c r="K972" s="221"/>
      <c r="L972" s="218"/>
      <c r="M972" s="267"/>
    </row>
    <row r="973" spans="2:13" s="219" customFormat="1" x14ac:dyDescent="0.25">
      <c r="B973" s="218"/>
      <c r="C973" s="218"/>
      <c r="D973" s="218"/>
      <c r="E973" s="218"/>
      <c r="F973" s="218"/>
      <c r="G973" s="218"/>
      <c r="H973" s="218"/>
      <c r="I973" s="218"/>
      <c r="J973" s="218"/>
      <c r="K973" s="221"/>
      <c r="L973" s="218"/>
      <c r="M973" s="267"/>
    </row>
    <row r="974" spans="2:13" s="219" customFormat="1" x14ac:dyDescent="0.25">
      <c r="B974" s="218"/>
      <c r="C974" s="218"/>
      <c r="D974" s="218"/>
      <c r="E974" s="218"/>
      <c r="F974" s="218"/>
      <c r="G974" s="218"/>
      <c r="H974" s="218"/>
      <c r="I974" s="218"/>
      <c r="J974" s="218"/>
      <c r="K974" s="221"/>
      <c r="L974" s="218"/>
      <c r="M974" s="267"/>
    </row>
    <row r="975" spans="2:13" s="219" customFormat="1" x14ac:dyDescent="0.25">
      <c r="B975" s="218"/>
      <c r="C975" s="218"/>
      <c r="D975" s="218"/>
      <c r="E975" s="218"/>
      <c r="F975" s="218"/>
      <c r="G975" s="218"/>
      <c r="H975" s="218"/>
      <c r="I975" s="218"/>
      <c r="J975" s="218"/>
      <c r="K975" s="221"/>
      <c r="L975" s="218"/>
      <c r="M975" s="267"/>
    </row>
    <row r="976" spans="2:13" s="219" customFormat="1" x14ac:dyDescent="0.25">
      <c r="B976" s="218"/>
      <c r="C976" s="218"/>
      <c r="D976" s="218"/>
      <c r="E976" s="218"/>
      <c r="F976" s="218"/>
      <c r="G976" s="218"/>
      <c r="H976" s="218"/>
      <c r="I976" s="218"/>
      <c r="J976" s="218"/>
      <c r="K976" s="221"/>
      <c r="L976" s="218"/>
      <c r="M976" s="267"/>
    </row>
    <row r="977" spans="2:13" s="219" customFormat="1" x14ac:dyDescent="0.25">
      <c r="B977" s="218"/>
      <c r="C977" s="218"/>
      <c r="D977" s="218"/>
      <c r="E977" s="218"/>
      <c r="F977" s="218"/>
      <c r="G977" s="218"/>
      <c r="H977" s="218"/>
      <c r="I977" s="218"/>
      <c r="J977" s="218"/>
      <c r="K977" s="221"/>
      <c r="L977" s="218"/>
      <c r="M977" s="267"/>
    </row>
    <row r="978" spans="2:13" s="219" customFormat="1" x14ac:dyDescent="0.25">
      <c r="B978" s="218"/>
      <c r="C978" s="218"/>
      <c r="D978" s="218"/>
      <c r="E978" s="218"/>
      <c r="F978" s="218"/>
      <c r="G978" s="218"/>
      <c r="H978" s="218"/>
      <c r="I978" s="218"/>
      <c r="J978" s="218"/>
      <c r="K978" s="221"/>
      <c r="L978" s="218"/>
      <c r="M978" s="267"/>
    </row>
    <row r="979" spans="2:13" s="219" customFormat="1" x14ac:dyDescent="0.25">
      <c r="B979" s="218"/>
      <c r="C979" s="218"/>
      <c r="D979" s="218"/>
      <c r="E979" s="218"/>
      <c r="F979" s="218"/>
      <c r="G979" s="218"/>
      <c r="H979" s="218"/>
      <c r="I979" s="218"/>
      <c r="J979" s="218"/>
      <c r="K979" s="221"/>
      <c r="L979" s="218"/>
      <c r="M979" s="267"/>
    </row>
    <row r="980" spans="2:13" s="219" customFormat="1" x14ac:dyDescent="0.25">
      <c r="B980" s="218"/>
      <c r="C980" s="218"/>
      <c r="D980" s="218"/>
      <c r="E980" s="218"/>
      <c r="F980" s="218"/>
      <c r="G980" s="218"/>
      <c r="H980" s="218"/>
      <c r="I980" s="218"/>
      <c r="J980" s="218"/>
      <c r="K980" s="221"/>
      <c r="L980" s="218"/>
      <c r="M980" s="267"/>
    </row>
    <row r="981" spans="2:13" s="219" customFormat="1" x14ac:dyDescent="0.25">
      <c r="B981" s="218"/>
      <c r="C981" s="218"/>
      <c r="D981" s="218"/>
      <c r="E981" s="218"/>
      <c r="F981" s="218"/>
      <c r="G981" s="218"/>
      <c r="H981" s="218"/>
      <c r="I981" s="218"/>
      <c r="J981" s="218"/>
      <c r="K981" s="221"/>
      <c r="L981" s="218"/>
      <c r="M981" s="267"/>
    </row>
    <row r="982" spans="2:13" s="219" customFormat="1" x14ac:dyDescent="0.25">
      <c r="B982" s="218"/>
      <c r="C982" s="218"/>
      <c r="D982" s="218"/>
      <c r="E982" s="218"/>
      <c r="F982" s="218"/>
      <c r="G982" s="218"/>
      <c r="H982" s="218"/>
      <c r="I982" s="218"/>
      <c r="J982" s="218"/>
      <c r="K982" s="221"/>
      <c r="L982" s="218"/>
      <c r="M982" s="267"/>
    </row>
    <row r="983" spans="2:13" s="219" customFormat="1" x14ac:dyDescent="0.25">
      <c r="B983" s="218"/>
      <c r="C983" s="218"/>
      <c r="D983" s="218"/>
      <c r="E983" s="218"/>
      <c r="F983" s="218"/>
      <c r="G983" s="218"/>
      <c r="H983" s="218"/>
      <c r="I983" s="218"/>
      <c r="J983" s="218"/>
      <c r="K983" s="221"/>
      <c r="L983" s="218"/>
      <c r="M983" s="267"/>
    </row>
    <row r="984" spans="2:13" s="219" customFormat="1" x14ac:dyDescent="0.25">
      <c r="B984" s="218"/>
      <c r="C984" s="218"/>
      <c r="D984" s="218"/>
      <c r="E984" s="218"/>
      <c r="F984" s="218"/>
      <c r="G984" s="218"/>
      <c r="H984" s="218"/>
      <c r="I984" s="218"/>
      <c r="J984" s="218"/>
      <c r="K984" s="221"/>
      <c r="L984" s="218"/>
      <c r="M984" s="267"/>
    </row>
    <row r="985" spans="2:13" s="219" customFormat="1" x14ac:dyDescent="0.25">
      <c r="B985" s="218"/>
      <c r="C985" s="218"/>
      <c r="D985" s="218"/>
      <c r="E985" s="218"/>
      <c r="F985" s="218"/>
      <c r="G985" s="218"/>
      <c r="H985" s="218"/>
      <c r="I985" s="218"/>
      <c r="J985" s="218"/>
      <c r="K985" s="221"/>
      <c r="L985" s="218"/>
      <c r="M985" s="267"/>
    </row>
    <row r="986" spans="2:13" s="219" customFormat="1" x14ac:dyDescent="0.25">
      <c r="B986" s="218"/>
      <c r="C986" s="218"/>
      <c r="D986" s="218"/>
      <c r="E986" s="218"/>
      <c r="F986" s="218"/>
      <c r="G986" s="218"/>
      <c r="H986" s="218"/>
      <c r="I986" s="218"/>
      <c r="J986" s="218"/>
      <c r="K986" s="221"/>
      <c r="L986" s="218"/>
      <c r="M986" s="267"/>
    </row>
    <row r="987" spans="2:13" s="219" customFormat="1" x14ac:dyDescent="0.25">
      <c r="B987" s="218"/>
      <c r="C987" s="218"/>
      <c r="D987" s="218"/>
      <c r="E987" s="218"/>
      <c r="F987" s="218"/>
      <c r="G987" s="218"/>
      <c r="H987" s="218"/>
      <c r="I987" s="218"/>
      <c r="J987" s="218"/>
      <c r="K987" s="221"/>
      <c r="L987" s="218"/>
      <c r="M987" s="267"/>
    </row>
    <row r="988" spans="2:13" s="219" customFormat="1" x14ac:dyDescent="0.25">
      <c r="B988" s="218"/>
      <c r="C988" s="218"/>
      <c r="D988" s="218"/>
      <c r="E988" s="218"/>
      <c r="F988" s="218"/>
      <c r="G988" s="218"/>
      <c r="H988" s="218"/>
      <c r="I988" s="218"/>
      <c r="J988" s="218"/>
      <c r="K988" s="221"/>
      <c r="L988" s="218"/>
      <c r="M988" s="267"/>
    </row>
    <row r="989" spans="2:13" s="219" customFormat="1" x14ac:dyDescent="0.25">
      <c r="B989" s="218"/>
      <c r="C989" s="218"/>
      <c r="D989" s="218"/>
      <c r="E989" s="218"/>
      <c r="F989" s="218"/>
      <c r="G989" s="218"/>
      <c r="H989" s="218"/>
      <c r="I989" s="218"/>
      <c r="J989" s="218"/>
      <c r="K989" s="221"/>
      <c r="L989" s="218"/>
      <c r="M989" s="267"/>
    </row>
    <row r="990" spans="2:13" s="219" customFormat="1" x14ac:dyDescent="0.25">
      <c r="B990" s="218"/>
      <c r="C990" s="218"/>
      <c r="D990" s="218"/>
      <c r="E990" s="218"/>
      <c r="F990" s="218"/>
      <c r="G990" s="218"/>
      <c r="H990" s="218"/>
      <c r="I990" s="218"/>
      <c r="J990" s="218"/>
      <c r="K990" s="221"/>
      <c r="L990" s="218"/>
      <c r="M990" s="267"/>
    </row>
    <row r="991" spans="2:13" s="219" customFormat="1" x14ac:dyDescent="0.25">
      <c r="B991" s="218"/>
      <c r="C991" s="218"/>
      <c r="D991" s="218"/>
      <c r="E991" s="218"/>
      <c r="F991" s="218"/>
      <c r="G991" s="218"/>
      <c r="H991" s="218"/>
      <c r="I991" s="218"/>
      <c r="J991" s="218"/>
      <c r="K991" s="221"/>
      <c r="L991" s="218"/>
      <c r="M991" s="267"/>
    </row>
    <row r="992" spans="2:13" s="219" customFormat="1" x14ac:dyDescent="0.25">
      <c r="B992" s="218"/>
      <c r="C992" s="218"/>
      <c r="D992" s="218"/>
      <c r="E992" s="218"/>
      <c r="F992" s="218"/>
      <c r="G992" s="218"/>
      <c r="H992" s="218"/>
      <c r="I992" s="218"/>
      <c r="J992" s="218"/>
      <c r="K992" s="221"/>
      <c r="L992" s="218"/>
      <c r="M992" s="267"/>
    </row>
    <row r="993" spans="2:13" s="219" customFormat="1" x14ac:dyDescent="0.25">
      <c r="B993" s="218"/>
      <c r="C993" s="218"/>
      <c r="D993" s="218"/>
      <c r="E993" s="218"/>
      <c r="F993" s="218"/>
      <c r="G993" s="218"/>
      <c r="H993" s="218"/>
      <c r="I993" s="218"/>
      <c r="J993" s="218"/>
      <c r="K993" s="221"/>
      <c r="L993" s="218"/>
      <c r="M993" s="267"/>
    </row>
    <row r="994" spans="2:13" s="219" customFormat="1" x14ac:dyDescent="0.25">
      <c r="B994" s="218"/>
      <c r="C994" s="218"/>
      <c r="D994" s="218"/>
      <c r="E994" s="218"/>
      <c r="F994" s="218"/>
      <c r="G994" s="218"/>
      <c r="H994" s="218"/>
      <c r="I994" s="218"/>
      <c r="J994" s="218"/>
      <c r="K994" s="221"/>
      <c r="L994" s="218"/>
      <c r="M994" s="267"/>
    </row>
    <row r="995" spans="2:13" s="219" customFormat="1" x14ac:dyDescent="0.25">
      <c r="B995" s="218"/>
      <c r="C995" s="218"/>
      <c r="D995" s="218"/>
      <c r="E995" s="218"/>
      <c r="F995" s="218"/>
      <c r="G995" s="218"/>
      <c r="H995" s="218"/>
      <c r="I995" s="218"/>
      <c r="J995" s="218"/>
      <c r="K995" s="221"/>
      <c r="L995" s="218"/>
      <c r="M995" s="267"/>
    </row>
    <row r="996" spans="2:13" s="219" customFormat="1" x14ac:dyDescent="0.25">
      <c r="B996" s="218"/>
      <c r="C996" s="218"/>
      <c r="D996" s="218"/>
      <c r="E996" s="218"/>
      <c r="F996" s="218"/>
      <c r="G996" s="218"/>
      <c r="H996" s="218"/>
      <c r="I996" s="218"/>
      <c r="J996" s="218"/>
      <c r="K996" s="221"/>
      <c r="L996" s="218"/>
      <c r="M996" s="267"/>
    </row>
    <row r="997" spans="2:13" s="219" customFormat="1" x14ac:dyDescent="0.25">
      <c r="B997" s="218"/>
      <c r="C997" s="218"/>
      <c r="D997" s="218"/>
      <c r="E997" s="218"/>
      <c r="F997" s="218"/>
      <c r="G997" s="218"/>
      <c r="H997" s="218"/>
      <c r="I997" s="218"/>
      <c r="J997" s="218"/>
      <c r="K997" s="221"/>
      <c r="L997" s="218"/>
      <c r="M997" s="267"/>
    </row>
    <row r="998" spans="2:13" s="219" customFormat="1" x14ac:dyDescent="0.25">
      <c r="B998" s="218"/>
      <c r="C998" s="218"/>
      <c r="D998" s="218"/>
      <c r="E998" s="218"/>
      <c r="F998" s="218"/>
      <c r="G998" s="218"/>
      <c r="H998" s="218"/>
      <c r="I998" s="218"/>
      <c r="J998" s="218"/>
      <c r="K998" s="221"/>
      <c r="L998" s="218"/>
      <c r="M998" s="267"/>
    </row>
    <row r="999" spans="2:13" s="219" customFormat="1" x14ac:dyDescent="0.25">
      <c r="B999" s="218"/>
      <c r="C999" s="218"/>
      <c r="D999" s="218"/>
      <c r="E999" s="218"/>
      <c r="F999" s="218"/>
      <c r="G999" s="218"/>
      <c r="H999" s="218"/>
      <c r="I999" s="218"/>
      <c r="J999" s="218"/>
      <c r="K999" s="221"/>
      <c r="L999" s="218"/>
      <c r="M999" s="267"/>
    </row>
    <row r="1000" spans="2:13" s="219" customFormat="1" x14ac:dyDescent="0.25">
      <c r="B1000" s="218"/>
      <c r="C1000" s="218"/>
      <c r="D1000" s="218"/>
      <c r="E1000" s="218"/>
      <c r="F1000" s="218"/>
      <c r="G1000" s="218"/>
      <c r="H1000" s="218"/>
      <c r="I1000" s="218"/>
      <c r="J1000" s="218"/>
      <c r="K1000" s="221"/>
      <c r="L1000" s="218"/>
      <c r="M1000" s="267"/>
    </row>
    <row r="1001" spans="2:13" s="219" customFormat="1" x14ac:dyDescent="0.25">
      <c r="B1001" s="218"/>
      <c r="C1001" s="218"/>
      <c r="D1001" s="218"/>
      <c r="E1001" s="218"/>
      <c r="F1001" s="218"/>
      <c r="G1001" s="218"/>
      <c r="H1001" s="218"/>
      <c r="I1001" s="218"/>
      <c r="J1001" s="218"/>
      <c r="K1001" s="221"/>
      <c r="L1001" s="218"/>
      <c r="M1001" s="267"/>
    </row>
    <row r="1002" spans="2:13" s="219" customFormat="1" x14ac:dyDescent="0.25">
      <c r="B1002" s="218"/>
      <c r="C1002" s="218"/>
      <c r="D1002" s="218"/>
      <c r="E1002" s="218"/>
      <c r="F1002" s="218"/>
      <c r="G1002" s="218"/>
      <c r="H1002" s="218"/>
      <c r="I1002" s="218"/>
      <c r="J1002" s="218"/>
      <c r="K1002" s="221"/>
      <c r="L1002" s="218"/>
      <c r="M1002" s="267"/>
    </row>
    <row r="1003" spans="2:13" s="219" customFormat="1" x14ac:dyDescent="0.25">
      <c r="B1003" s="218"/>
      <c r="C1003" s="218"/>
      <c r="D1003" s="218"/>
      <c r="E1003" s="218"/>
      <c r="F1003" s="218"/>
      <c r="G1003" s="218"/>
      <c r="H1003" s="218"/>
      <c r="I1003" s="218"/>
      <c r="J1003" s="218"/>
      <c r="K1003" s="221"/>
      <c r="L1003" s="218"/>
      <c r="M1003" s="267"/>
    </row>
    <row r="1004" spans="2:13" s="219" customFormat="1" x14ac:dyDescent="0.25">
      <c r="B1004" s="218"/>
      <c r="C1004" s="218"/>
      <c r="D1004" s="218"/>
      <c r="E1004" s="218"/>
      <c r="F1004" s="218"/>
      <c r="G1004" s="218"/>
      <c r="H1004" s="218"/>
      <c r="I1004" s="218"/>
      <c r="J1004" s="218"/>
      <c r="K1004" s="221"/>
      <c r="L1004" s="218"/>
      <c r="M1004" s="267"/>
    </row>
    <row r="1005" spans="2:13" s="219" customFormat="1" x14ac:dyDescent="0.25">
      <c r="B1005" s="218"/>
      <c r="C1005" s="218"/>
      <c r="D1005" s="218"/>
      <c r="E1005" s="218"/>
      <c r="F1005" s="218"/>
      <c r="G1005" s="218"/>
      <c r="H1005" s="218"/>
      <c r="I1005" s="218"/>
      <c r="J1005" s="218"/>
      <c r="K1005" s="221"/>
      <c r="L1005" s="218"/>
      <c r="M1005" s="267"/>
    </row>
    <row r="1006" spans="2:13" s="219" customFormat="1" x14ac:dyDescent="0.25">
      <c r="B1006" s="218"/>
      <c r="C1006" s="218"/>
      <c r="D1006" s="218"/>
      <c r="E1006" s="218"/>
      <c r="F1006" s="218"/>
      <c r="G1006" s="218"/>
      <c r="H1006" s="218"/>
      <c r="I1006" s="218"/>
      <c r="J1006" s="218"/>
      <c r="K1006" s="221"/>
      <c r="L1006" s="218"/>
      <c r="M1006" s="267"/>
    </row>
    <row r="1007" spans="2:13" s="219" customFormat="1" x14ac:dyDescent="0.25">
      <c r="B1007" s="218"/>
      <c r="C1007" s="218"/>
      <c r="D1007" s="218"/>
      <c r="E1007" s="218"/>
      <c r="F1007" s="218"/>
      <c r="G1007" s="218"/>
      <c r="H1007" s="218"/>
      <c r="I1007" s="218"/>
      <c r="J1007" s="218"/>
      <c r="K1007" s="221"/>
      <c r="L1007" s="218"/>
      <c r="M1007" s="267"/>
    </row>
    <row r="1008" spans="2:13" s="219" customFormat="1" x14ac:dyDescent="0.25">
      <c r="B1008" s="218"/>
      <c r="C1008" s="218"/>
      <c r="D1008" s="218"/>
      <c r="E1008" s="218"/>
      <c r="F1008" s="218"/>
      <c r="G1008" s="218"/>
      <c r="H1008" s="218"/>
      <c r="I1008" s="218"/>
      <c r="J1008" s="218"/>
      <c r="K1008" s="221"/>
      <c r="L1008" s="218"/>
      <c r="M1008" s="267"/>
    </row>
    <row r="1009" spans="2:13" s="219" customFormat="1" x14ac:dyDescent="0.25">
      <c r="B1009" s="218"/>
      <c r="C1009" s="218"/>
      <c r="D1009" s="218"/>
      <c r="E1009" s="218"/>
      <c r="F1009" s="218"/>
      <c r="G1009" s="218"/>
      <c r="H1009" s="218"/>
      <c r="I1009" s="218"/>
      <c r="J1009" s="218"/>
      <c r="K1009" s="221"/>
      <c r="L1009" s="218"/>
      <c r="M1009" s="267"/>
    </row>
    <row r="1010" spans="2:13" s="219" customFormat="1" x14ac:dyDescent="0.25">
      <c r="B1010" s="218"/>
      <c r="C1010" s="218"/>
      <c r="D1010" s="218"/>
      <c r="E1010" s="218"/>
      <c r="F1010" s="218"/>
      <c r="G1010" s="218"/>
      <c r="H1010" s="218"/>
      <c r="I1010" s="218"/>
      <c r="J1010" s="218"/>
      <c r="K1010" s="221"/>
      <c r="L1010" s="218"/>
      <c r="M1010" s="267"/>
    </row>
    <row r="1011" spans="2:13" s="219" customFormat="1" x14ac:dyDescent="0.25">
      <c r="B1011" s="218"/>
      <c r="C1011" s="218"/>
      <c r="D1011" s="218"/>
      <c r="E1011" s="218"/>
      <c r="F1011" s="218"/>
      <c r="G1011" s="218"/>
      <c r="H1011" s="218"/>
      <c r="I1011" s="218"/>
      <c r="J1011" s="218"/>
      <c r="K1011" s="221"/>
      <c r="L1011" s="218"/>
      <c r="M1011" s="267"/>
    </row>
    <row r="1012" spans="2:13" s="219" customFormat="1" x14ac:dyDescent="0.25">
      <c r="B1012" s="218"/>
      <c r="C1012" s="218"/>
      <c r="D1012" s="218"/>
      <c r="E1012" s="218"/>
      <c r="F1012" s="218"/>
      <c r="G1012" s="218"/>
      <c r="H1012" s="218"/>
      <c r="I1012" s="218"/>
      <c r="J1012" s="218"/>
      <c r="K1012" s="221"/>
      <c r="L1012" s="218"/>
      <c r="M1012" s="267"/>
    </row>
    <row r="1013" spans="2:13" s="219" customFormat="1" x14ac:dyDescent="0.25">
      <c r="B1013" s="218"/>
      <c r="C1013" s="218"/>
      <c r="D1013" s="218"/>
      <c r="E1013" s="218"/>
      <c r="F1013" s="218"/>
      <c r="G1013" s="218"/>
      <c r="H1013" s="218"/>
      <c r="I1013" s="218"/>
      <c r="J1013" s="218"/>
      <c r="K1013" s="221"/>
      <c r="L1013" s="218"/>
      <c r="M1013" s="267"/>
    </row>
    <row r="1014" spans="2:13" s="219" customFormat="1" x14ac:dyDescent="0.25">
      <c r="B1014" s="218"/>
      <c r="C1014" s="218"/>
      <c r="D1014" s="218"/>
      <c r="E1014" s="218"/>
      <c r="F1014" s="218"/>
      <c r="G1014" s="218"/>
      <c r="H1014" s="218"/>
      <c r="I1014" s="218"/>
      <c r="J1014" s="218"/>
      <c r="K1014" s="221"/>
      <c r="L1014" s="218"/>
      <c r="M1014" s="267"/>
    </row>
    <row r="1015" spans="2:13" s="219" customFormat="1" x14ac:dyDescent="0.25">
      <c r="B1015" s="218"/>
      <c r="C1015" s="218"/>
      <c r="D1015" s="218"/>
      <c r="E1015" s="218"/>
      <c r="F1015" s="218"/>
      <c r="G1015" s="218"/>
      <c r="H1015" s="218"/>
      <c r="I1015" s="218"/>
      <c r="J1015" s="218"/>
      <c r="K1015" s="221"/>
      <c r="L1015" s="218"/>
      <c r="M1015" s="267"/>
    </row>
    <row r="1016" spans="2:13" s="219" customFormat="1" x14ac:dyDescent="0.25">
      <c r="B1016" s="218"/>
      <c r="C1016" s="218"/>
      <c r="D1016" s="218"/>
      <c r="E1016" s="218"/>
      <c r="F1016" s="218"/>
      <c r="G1016" s="218"/>
      <c r="H1016" s="218"/>
      <c r="I1016" s="218"/>
      <c r="J1016" s="218"/>
      <c r="K1016" s="221"/>
      <c r="L1016" s="218"/>
      <c r="M1016" s="267"/>
    </row>
    <row r="1017" spans="2:13" s="219" customFormat="1" x14ac:dyDescent="0.25">
      <c r="B1017" s="218"/>
      <c r="C1017" s="218"/>
      <c r="D1017" s="218"/>
      <c r="E1017" s="218"/>
      <c r="F1017" s="218"/>
      <c r="G1017" s="218"/>
      <c r="H1017" s="218"/>
      <c r="I1017" s="218"/>
      <c r="J1017" s="218"/>
      <c r="K1017" s="221"/>
      <c r="L1017" s="218"/>
      <c r="M1017" s="267"/>
    </row>
    <row r="1018" spans="2:13" s="219" customFormat="1" x14ac:dyDescent="0.25">
      <c r="B1018" s="218"/>
      <c r="C1018" s="218"/>
      <c r="D1018" s="218"/>
      <c r="E1018" s="218"/>
      <c r="F1018" s="218"/>
      <c r="G1018" s="218"/>
      <c r="H1018" s="218"/>
      <c r="I1018" s="218"/>
      <c r="J1018" s="218"/>
      <c r="K1018" s="221"/>
      <c r="L1018" s="218"/>
      <c r="M1018" s="267"/>
    </row>
    <row r="1019" spans="2:13" s="219" customFormat="1" x14ac:dyDescent="0.25">
      <c r="B1019" s="218"/>
      <c r="C1019" s="218"/>
      <c r="D1019" s="218"/>
      <c r="E1019" s="218"/>
      <c r="F1019" s="218"/>
      <c r="G1019" s="218"/>
      <c r="H1019" s="218"/>
      <c r="I1019" s="218"/>
      <c r="J1019" s="218"/>
      <c r="K1019" s="221"/>
      <c r="L1019" s="218"/>
      <c r="M1019" s="267"/>
    </row>
    <row r="1020" spans="2:13" s="219" customFormat="1" x14ac:dyDescent="0.25">
      <c r="B1020" s="218"/>
      <c r="C1020" s="218"/>
      <c r="D1020" s="218"/>
      <c r="E1020" s="218"/>
      <c r="F1020" s="218"/>
      <c r="G1020" s="218"/>
      <c r="H1020" s="218"/>
      <c r="I1020" s="218"/>
      <c r="J1020" s="218"/>
      <c r="K1020" s="221"/>
      <c r="L1020" s="218"/>
      <c r="M1020" s="267"/>
    </row>
    <row r="1021" spans="2:13" s="219" customFormat="1" x14ac:dyDescent="0.25">
      <c r="B1021" s="218"/>
      <c r="C1021" s="218"/>
      <c r="D1021" s="218"/>
      <c r="E1021" s="218"/>
      <c r="F1021" s="218"/>
      <c r="G1021" s="218"/>
      <c r="H1021" s="218"/>
      <c r="I1021" s="218"/>
      <c r="J1021" s="218"/>
      <c r="K1021" s="221"/>
      <c r="L1021" s="218"/>
      <c r="M1021" s="267"/>
    </row>
    <row r="1022" spans="2:13" s="219" customFormat="1" x14ac:dyDescent="0.25">
      <c r="B1022" s="218"/>
      <c r="C1022" s="218"/>
      <c r="D1022" s="218"/>
      <c r="E1022" s="218"/>
      <c r="F1022" s="218"/>
      <c r="G1022" s="218"/>
      <c r="H1022" s="218"/>
      <c r="I1022" s="218"/>
      <c r="J1022" s="218"/>
      <c r="K1022" s="221"/>
      <c r="L1022" s="218"/>
      <c r="M1022" s="267"/>
    </row>
    <row r="1023" spans="2:13" s="219" customFormat="1" x14ac:dyDescent="0.25">
      <c r="B1023" s="218"/>
      <c r="C1023" s="218"/>
      <c r="D1023" s="218"/>
      <c r="E1023" s="218"/>
      <c r="F1023" s="218"/>
      <c r="G1023" s="218"/>
      <c r="H1023" s="218"/>
      <c r="I1023" s="218"/>
      <c r="J1023" s="218"/>
      <c r="K1023" s="221"/>
      <c r="L1023" s="218"/>
      <c r="M1023" s="267"/>
    </row>
    <row r="1024" spans="2:13" s="219" customFormat="1" x14ac:dyDescent="0.25">
      <c r="B1024" s="218"/>
      <c r="C1024" s="218"/>
      <c r="D1024" s="218"/>
      <c r="E1024" s="218"/>
      <c r="F1024" s="218"/>
      <c r="G1024" s="218"/>
      <c r="H1024" s="218"/>
      <c r="I1024" s="218"/>
      <c r="J1024" s="218"/>
      <c r="K1024" s="221"/>
      <c r="L1024" s="218"/>
      <c r="M1024" s="267"/>
    </row>
    <row r="1025" spans="2:13" s="219" customFormat="1" x14ac:dyDescent="0.25">
      <c r="B1025" s="218"/>
      <c r="C1025" s="218"/>
      <c r="D1025" s="218"/>
      <c r="E1025" s="218"/>
      <c r="F1025" s="218"/>
      <c r="G1025" s="218"/>
      <c r="H1025" s="218"/>
      <c r="I1025" s="218"/>
      <c r="J1025" s="218"/>
      <c r="K1025" s="221"/>
      <c r="L1025" s="218"/>
      <c r="M1025" s="267"/>
    </row>
    <row r="1026" spans="2:13" s="219" customFormat="1" x14ac:dyDescent="0.25">
      <c r="B1026" s="218"/>
      <c r="C1026" s="218"/>
      <c r="D1026" s="218"/>
      <c r="E1026" s="218"/>
      <c r="F1026" s="218"/>
      <c r="G1026" s="218"/>
      <c r="H1026" s="218"/>
      <c r="I1026" s="218"/>
      <c r="J1026" s="218"/>
      <c r="K1026" s="221"/>
      <c r="L1026" s="218"/>
      <c r="M1026" s="267"/>
    </row>
    <row r="1027" spans="2:13" s="219" customFormat="1" x14ac:dyDescent="0.25">
      <c r="B1027" s="218"/>
      <c r="C1027" s="218"/>
      <c r="D1027" s="218"/>
      <c r="E1027" s="218"/>
      <c r="F1027" s="218"/>
      <c r="G1027" s="218"/>
      <c r="H1027" s="218"/>
      <c r="I1027" s="218"/>
      <c r="J1027" s="218"/>
      <c r="K1027" s="221"/>
      <c r="L1027" s="218"/>
      <c r="M1027" s="267"/>
    </row>
    <row r="1028" spans="2:13" s="219" customFormat="1" x14ac:dyDescent="0.25">
      <c r="B1028" s="218"/>
      <c r="C1028" s="218"/>
      <c r="D1028" s="218"/>
      <c r="E1028" s="218"/>
      <c r="F1028" s="218"/>
      <c r="G1028" s="218"/>
      <c r="H1028" s="218"/>
      <c r="I1028" s="218"/>
      <c r="J1028" s="218"/>
      <c r="K1028" s="221"/>
      <c r="L1028" s="218"/>
      <c r="M1028" s="267"/>
    </row>
    <row r="1029" spans="2:13" s="219" customFormat="1" x14ac:dyDescent="0.25">
      <c r="B1029" s="218"/>
      <c r="C1029" s="218"/>
      <c r="D1029" s="218"/>
      <c r="E1029" s="218"/>
      <c r="F1029" s="218"/>
      <c r="G1029" s="218"/>
      <c r="H1029" s="218"/>
      <c r="I1029" s="218"/>
      <c r="J1029" s="218"/>
      <c r="K1029" s="221"/>
      <c r="L1029" s="218"/>
      <c r="M1029" s="267"/>
    </row>
    <row r="1030" spans="2:13" s="219" customFormat="1" x14ac:dyDescent="0.25">
      <c r="B1030" s="218"/>
      <c r="C1030" s="218"/>
      <c r="D1030" s="218"/>
      <c r="E1030" s="218"/>
      <c r="F1030" s="218"/>
      <c r="G1030" s="218"/>
      <c r="H1030" s="218"/>
      <c r="I1030" s="218"/>
      <c r="J1030" s="218"/>
      <c r="K1030" s="221"/>
      <c r="L1030" s="218"/>
      <c r="M1030" s="267"/>
    </row>
    <row r="1031" spans="2:13" s="219" customFormat="1" x14ac:dyDescent="0.25">
      <c r="B1031" s="218"/>
      <c r="C1031" s="218"/>
      <c r="D1031" s="218"/>
      <c r="E1031" s="218"/>
      <c r="F1031" s="218"/>
      <c r="G1031" s="218"/>
      <c r="H1031" s="218"/>
      <c r="I1031" s="218"/>
      <c r="J1031" s="218"/>
      <c r="K1031" s="221"/>
      <c r="L1031" s="218"/>
      <c r="M1031" s="267"/>
    </row>
    <row r="1032" spans="2:13" s="219" customFormat="1" x14ac:dyDescent="0.25">
      <c r="B1032" s="218"/>
      <c r="C1032" s="218"/>
      <c r="D1032" s="218"/>
      <c r="E1032" s="218"/>
      <c r="F1032" s="218"/>
      <c r="G1032" s="218"/>
      <c r="H1032" s="218"/>
      <c r="I1032" s="218"/>
      <c r="J1032" s="218"/>
      <c r="K1032" s="221"/>
      <c r="L1032" s="218"/>
      <c r="M1032" s="267"/>
    </row>
    <row r="1033" spans="2:13" s="219" customFormat="1" x14ac:dyDescent="0.25">
      <c r="B1033" s="218"/>
      <c r="C1033" s="218"/>
      <c r="D1033" s="218"/>
      <c r="E1033" s="218"/>
      <c r="F1033" s="218"/>
      <c r="G1033" s="218"/>
      <c r="H1033" s="218"/>
      <c r="I1033" s="218"/>
      <c r="J1033" s="218"/>
      <c r="K1033" s="221"/>
      <c r="L1033" s="218"/>
      <c r="M1033" s="267"/>
    </row>
    <row r="1034" spans="2:13" s="219" customFormat="1" x14ac:dyDescent="0.25">
      <c r="B1034" s="218"/>
      <c r="C1034" s="218"/>
      <c r="D1034" s="218"/>
      <c r="E1034" s="218"/>
      <c r="F1034" s="218"/>
      <c r="G1034" s="218"/>
      <c r="H1034" s="218"/>
      <c r="I1034" s="218"/>
      <c r="J1034" s="218"/>
      <c r="K1034" s="221"/>
      <c r="L1034" s="218"/>
      <c r="M1034" s="267"/>
    </row>
    <row r="1035" spans="2:13" s="219" customFormat="1" x14ac:dyDescent="0.25">
      <c r="B1035" s="218"/>
      <c r="C1035" s="218"/>
      <c r="D1035" s="218"/>
      <c r="E1035" s="218"/>
      <c r="F1035" s="218"/>
      <c r="G1035" s="218"/>
      <c r="H1035" s="218"/>
      <c r="I1035" s="218"/>
      <c r="J1035" s="218"/>
      <c r="K1035" s="221"/>
      <c r="L1035" s="218"/>
      <c r="M1035" s="267"/>
    </row>
    <row r="1036" spans="2:13" s="219" customFormat="1" x14ac:dyDescent="0.25">
      <c r="B1036" s="218"/>
      <c r="C1036" s="218"/>
      <c r="D1036" s="218"/>
      <c r="E1036" s="218"/>
      <c r="F1036" s="218"/>
      <c r="G1036" s="218"/>
      <c r="H1036" s="218"/>
      <c r="I1036" s="218"/>
      <c r="J1036" s="218"/>
      <c r="K1036" s="221"/>
      <c r="L1036" s="218"/>
      <c r="M1036" s="267"/>
    </row>
    <row r="1037" spans="2:13" s="219" customFormat="1" x14ac:dyDescent="0.25">
      <c r="B1037" s="218"/>
      <c r="C1037" s="218"/>
      <c r="D1037" s="218"/>
      <c r="E1037" s="218"/>
      <c r="F1037" s="218"/>
      <c r="G1037" s="218"/>
      <c r="H1037" s="218"/>
      <c r="I1037" s="218"/>
      <c r="J1037" s="218"/>
      <c r="K1037" s="221"/>
      <c r="L1037" s="218"/>
      <c r="M1037" s="267"/>
    </row>
  </sheetData>
  <conditionalFormatting sqref="F1:F9 F11:F1048576">
    <cfRule type="duplicateValues" dxfId="3"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0"/>
  <sheetViews>
    <sheetView workbookViewId="0"/>
  </sheetViews>
  <sheetFormatPr defaultRowHeight="15" x14ac:dyDescent="0.25"/>
  <cols>
    <col min="2" max="2" width="44.28515625" style="185" customWidth="1"/>
    <col min="3" max="3" width="13.7109375" style="185" customWidth="1"/>
    <col min="4" max="4" width="13.5703125" style="185" customWidth="1"/>
    <col min="5" max="5" width="12.85546875" style="185" customWidth="1"/>
    <col min="6" max="6" width="51" style="185" customWidth="1"/>
    <col min="7" max="10" width="17.5703125" style="185" customWidth="1"/>
    <col min="11" max="11" width="17.5703125" style="194" customWidth="1"/>
    <col min="12" max="12" width="48.7109375" style="185" customWidth="1"/>
    <col min="13" max="13" width="8.140625" style="184" customWidth="1"/>
    <col min="14" max="14" width="12" bestFit="1" customWidth="1"/>
    <col min="15" max="15" width="12" customWidth="1"/>
    <col min="16" max="16" width="21.5703125" customWidth="1"/>
    <col min="17" max="17" width="6.7109375" customWidth="1"/>
    <col min="18" max="19" width="3.28515625" customWidth="1"/>
    <col min="20" max="20" width="2.85546875" customWidth="1"/>
    <col min="21" max="21" width="3.7109375" customWidth="1"/>
    <col min="22" max="22" width="10.28515625" customWidth="1"/>
    <col min="23" max="23" width="3.140625" customWidth="1"/>
    <col min="24" max="28" width="2.7109375" customWidth="1"/>
    <col min="29" max="29" width="4.7109375" customWidth="1"/>
    <col min="30" max="30" width="10.28515625" customWidth="1"/>
    <col min="31" max="31" width="11.7109375" customWidth="1"/>
    <col min="32" max="32" width="12.7109375" customWidth="1"/>
    <col min="33" max="33" width="12.85546875" customWidth="1"/>
    <col min="34" max="34" width="4.42578125" customWidth="1"/>
    <col min="35" max="35" width="2.85546875" customWidth="1"/>
    <col min="37" max="37" width="2" customWidth="1"/>
    <col min="38" max="38" width="7.85546875" customWidth="1"/>
    <col min="39" max="39" width="6.42578125" customWidth="1"/>
    <col min="41" max="41" width="30" customWidth="1"/>
    <col min="42" max="42" width="10.42578125" customWidth="1"/>
    <col min="43" max="43" width="13.7109375" customWidth="1"/>
    <col min="44" max="44" width="14" customWidth="1"/>
    <col min="45" max="45" width="14.28515625" customWidth="1"/>
    <col min="46" max="46" width="12.5703125" customWidth="1"/>
    <col min="261" max="261" width="25.85546875" customWidth="1"/>
    <col min="262" max="263" width="11" customWidth="1"/>
    <col min="264" max="264" width="22.85546875" customWidth="1"/>
    <col min="265" max="266" width="11" customWidth="1"/>
    <col min="267" max="268" width="9.140625" customWidth="1"/>
    <col min="269" max="269" width="19" customWidth="1"/>
    <col min="517" max="517" width="25.85546875" customWidth="1"/>
    <col min="518" max="519" width="11" customWidth="1"/>
    <col min="520" max="520" width="22.85546875" customWidth="1"/>
    <col min="521" max="522" width="11" customWidth="1"/>
    <col min="523" max="524" width="9.140625" customWidth="1"/>
    <col min="525" max="525" width="19" customWidth="1"/>
    <col min="773" max="773" width="25.85546875" customWidth="1"/>
    <col min="774" max="775" width="11" customWidth="1"/>
    <col min="776" max="776" width="22.85546875" customWidth="1"/>
    <col min="777" max="778" width="11" customWidth="1"/>
    <col min="779" max="780" width="9.140625" customWidth="1"/>
    <col min="781" max="781" width="19" customWidth="1"/>
    <col min="1029" max="1029" width="25.85546875" customWidth="1"/>
    <col min="1030" max="1031" width="11" customWidth="1"/>
    <col min="1032" max="1032" width="22.85546875" customWidth="1"/>
    <col min="1033" max="1034" width="11" customWidth="1"/>
    <col min="1035" max="1036" width="9.140625" customWidth="1"/>
    <col min="1037" max="1037" width="19" customWidth="1"/>
    <col min="1285" max="1285" width="25.85546875" customWidth="1"/>
    <col min="1286" max="1287" width="11" customWidth="1"/>
    <col min="1288" max="1288" width="22.85546875" customWidth="1"/>
    <col min="1289" max="1290" width="11" customWidth="1"/>
    <col min="1291" max="1292" width="9.140625" customWidth="1"/>
    <col min="1293" max="1293" width="19" customWidth="1"/>
    <col min="1541" max="1541" width="25.85546875" customWidth="1"/>
    <col min="1542" max="1543" width="11" customWidth="1"/>
    <col min="1544" max="1544" width="22.85546875" customWidth="1"/>
    <col min="1545" max="1546" width="11" customWidth="1"/>
    <col min="1547" max="1548" width="9.140625" customWidth="1"/>
    <col min="1549" max="1549" width="19" customWidth="1"/>
    <col min="1797" max="1797" width="25.85546875" customWidth="1"/>
    <col min="1798" max="1799" width="11" customWidth="1"/>
    <col min="1800" max="1800" width="22.85546875" customWidth="1"/>
    <col min="1801" max="1802" width="11" customWidth="1"/>
    <col min="1803" max="1804" width="9.140625" customWidth="1"/>
    <col min="1805" max="1805" width="19" customWidth="1"/>
    <col min="2053" max="2053" width="25.85546875" customWidth="1"/>
    <col min="2054" max="2055" width="11" customWidth="1"/>
    <col min="2056" max="2056" width="22.85546875" customWidth="1"/>
    <col min="2057" max="2058" width="11" customWidth="1"/>
    <col min="2059" max="2060" width="9.140625" customWidth="1"/>
    <col min="2061" max="2061" width="19" customWidth="1"/>
    <col min="2309" max="2309" width="25.85546875" customWidth="1"/>
    <col min="2310" max="2311" width="11" customWidth="1"/>
    <col min="2312" max="2312" width="22.85546875" customWidth="1"/>
    <col min="2313" max="2314" width="11" customWidth="1"/>
    <col min="2315" max="2316" width="9.140625" customWidth="1"/>
    <col min="2317" max="2317" width="19" customWidth="1"/>
    <col min="2565" max="2565" width="25.85546875" customWidth="1"/>
    <col min="2566" max="2567" width="11" customWidth="1"/>
    <col min="2568" max="2568" width="22.85546875" customWidth="1"/>
    <col min="2569" max="2570" width="11" customWidth="1"/>
    <col min="2571" max="2572" width="9.140625" customWidth="1"/>
    <col min="2573" max="2573" width="19" customWidth="1"/>
    <col min="2821" max="2821" width="25.85546875" customWidth="1"/>
    <col min="2822" max="2823" width="11" customWidth="1"/>
    <col min="2824" max="2824" width="22.85546875" customWidth="1"/>
    <col min="2825" max="2826" width="11" customWidth="1"/>
    <col min="2827" max="2828" width="9.140625" customWidth="1"/>
    <col min="2829" max="2829" width="19" customWidth="1"/>
    <col min="3077" max="3077" width="25.85546875" customWidth="1"/>
    <col min="3078" max="3079" width="11" customWidth="1"/>
    <col min="3080" max="3080" width="22.85546875" customWidth="1"/>
    <col min="3081" max="3082" width="11" customWidth="1"/>
    <col min="3083" max="3084" width="9.140625" customWidth="1"/>
    <col min="3085" max="3085" width="19" customWidth="1"/>
    <col min="3333" max="3333" width="25.85546875" customWidth="1"/>
    <col min="3334" max="3335" width="11" customWidth="1"/>
    <col min="3336" max="3336" width="22.85546875" customWidth="1"/>
    <col min="3337" max="3338" width="11" customWidth="1"/>
    <col min="3339" max="3340" width="9.140625" customWidth="1"/>
    <col min="3341" max="3341" width="19" customWidth="1"/>
    <col min="3589" max="3589" width="25.85546875" customWidth="1"/>
    <col min="3590" max="3591" width="11" customWidth="1"/>
    <col min="3592" max="3592" width="22.85546875" customWidth="1"/>
    <col min="3593" max="3594" width="11" customWidth="1"/>
    <col min="3595" max="3596" width="9.140625" customWidth="1"/>
    <col min="3597" max="3597" width="19" customWidth="1"/>
    <col min="3845" max="3845" width="25.85546875" customWidth="1"/>
    <col min="3846" max="3847" width="11" customWidth="1"/>
    <col min="3848" max="3848" width="22.85546875" customWidth="1"/>
    <col min="3849" max="3850" width="11" customWidth="1"/>
    <col min="3851" max="3852" width="9.140625" customWidth="1"/>
    <col min="3853" max="3853" width="19" customWidth="1"/>
    <col min="4101" max="4101" width="25.85546875" customWidth="1"/>
    <col min="4102" max="4103" width="11" customWidth="1"/>
    <col min="4104" max="4104" width="22.85546875" customWidth="1"/>
    <col min="4105" max="4106" width="11" customWidth="1"/>
    <col min="4107" max="4108" width="9.140625" customWidth="1"/>
    <col min="4109" max="4109" width="19" customWidth="1"/>
    <col min="4357" max="4357" width="25.85546875" customWidth="1"/>
    <col min="4358" max="4359" width="11" customWidth="1"/>
    <col min="4360" max="4360" width="22.85546875" customWidth="1"/>
    <col min="4361" max="4362" width="11" customWidth="1"/>
    <col min="4363" max="4364" width="9.140625" customWidth="1"/>
    <col min="4365" max="4365" width="19" customWidth="1"/>
    <col min="4613" max="4613" width="25.85546875" customWidth="1"/>
    <col min="4614" max="4615" width="11" customWidth="1"/>
    <col min="4616" max="4616" width="22.85546875" customWidth="1"/>
    <col min="4617" max="4618" width="11" customWidth="1"/>
    <col min="4619" max="4620" width="9.140625" customWidth="1"/>
    <col min="4621" max="4621" width="19" customWidth="1"/>
    <col min="4869" max="4869" width="25.85546875" customWidth="1"/>
    <col min="4870" max="4871" width="11" customWidth="1"/>
    <col min="4872" max="4872" width="22.85546875" customWidth="1"/>
    <col min="4873" max="4874" width="11" customWidth="1"/>
    <col min="4875" max="4876" width="9.140625" customWidth="1"/>
    <col min="4877" max="4877" width="19" customWidth="1"/>
    <col min="5125" max="5125" width="25.85546875" customWidth="1"/>
    <col min="5126" max="5127" width="11" customWidth="1"/>
    <col min="5128" max="5128" width="22.85546875" customWidth="1"/>
    <col min="5129" max="5130" width="11" customWidth="1"/>
    <col min="5131" max="5132" width="9.140625" customWidth="1"/>
    <col min="5133" max="5133" width="19" customWidth="1"/>
    <col min="5381" max="5381" width="25.85546875" customWidth="1"/>
    <col min="5382" max="5383" width="11" customWidth="1"/>
    <col min="5384" max="5384" width="22.85546875" customWidth="1"/>
    <col min="5385" max="5386" width="11" customWidth="1"/>
    <col min="5387" max="5388" width="9.140625" customWidth="1"/>
    <col min="5389" max="5389" width="19" customWidth="1"/>
    <col min="5637" max="5637" width="25.85546875" customWidth="1"/>
    <col min="5638" max="5639" width="11" customWidth="1"/>
    <col min="5640" max="5640" width="22.85546875" customWidth="1"/>
    <col min="5641" max="5642" width="11" customWidth="1"/>
    <col min="5643" max="5644" width="9.140625" customWidth="1"/>
    <col min="5645" max="5645" width="19" customWidth="1"/>
    <col min="5893" max="5893" width="25.85546875" customWidth="1"/>
    <col min="5894" max="5895" width="11" customWidth="1"/>
    <col min="5896" max="5896" width="22.85546875" customWidth="1"/>
    <col min="5897" max="5898" width="11" customWidth="1"/>
    <col min="5899" max="5900" width="9.140625" customWidth="1"/>
    <col min="5901" max="5901" width="19" customWidth="1"/>
    <col min="6149" max="6149" width="25.85546875" customWidth="1"/>
    <col min="6150" max="6151" width="11" customWidth="1"/>
    <col min="6152" max="6152" width="22.85546875" customWidth="1"/>
    <col min="6153" max="6154" width="11" customWidth="1"/>
    <col min="6155" max="6156" width="9.140625" customWidth="1"/>
    <col min="6157" max="6157" width="19" customWidth="1"/>
    <col min="6405" max="6405" width="25.85546875" customWidth="1"/>
    <col min="6406" max="6407" width="11" customWidth="1"/>
    <col min="6408" max="6408" width="22.85546875" customWidth="1"/>
    <col min="6409" max="6410" width="11" customWidth="1"/>
    <col min="6411" max="6412" width="9.140625" customWidth="1"/>
    <col min="6413" max="6413" width="19" customWidth="1"/>
    <col min="6661" max="6661" width="25.85546875" customWidth="1"/>
    <col min="6662" max="6663" width="11" customWidth="1"/>
    <col min="6664" max="6664" width="22.85546875" customWidth="1"/>
    <col min="6665" max="6666" width="11" customWidth="1"/>
    <col min="6667" max="6668" width="9.140625" customWidth="1"/>
    <col min="6669" max="6669" width="19" customWidth="1"/>
    <col min="6917" max="6917" width="25.85546875" customWidth="1"/>
    <col min="6918" max="6919" width="11" customWidth="1"/>
    <col min="6920" max="6920" width="22.85546875" customWidth="1"/>
    <col min="6921" max="6922" width="11" customWidth="1"/>
    <col min="6923" max="6924" width="9.140625" customWidth="1"/>
    <col min="6925" max="6925" width="19" customWidth="1"/>
    <col min="7173" max="7173" width="25.85546875" customWidth="1"/>
    <col min="7174" max="7175" width="11" customWidth="1"/>
    <col min="7176" max="7176" width="22.85546875" customWidth="1"/>
    <col min="7177" max="7178" width="11" customWidth="1"/>
    <col min="7179" max="7180" width="9.140625" customWidth="1"/>
    <col min="7181" max="7181" width="19" customWidth="1"/>
    <col min="7429" max="7429" width="25.85546875" customWidth="1"/>
    <col min="7430" max="7431" width="11" customWidth="1"/>
    <col min="7432" max="7432" width="22.85546875" customWidth="1"/>
    <col min="7433" max="7434" width="11" customWidth="1"/>
    <col min="7435" max="7436" width="9.140625" customWidth="1"/>
    <col min="7437" max="7437" width="19" customWidth="1"/>
    <col min="7685" max="7685" width="25.85546875" customWidth="1"/>
    <col min="7686" max="7687" width="11" customWidth="1"/>
    <col min="7688" max="7688" width="22.85546875" customWidth="1"/>
    <col min="7689" max="7690" width="11" customWidth="1"/>
    <col min="7691" max="7692" width="9.140625" customWidth="1"/>
    <col min="7693" max="7693" width="19" customWidth="1"/>
    <col min="7941" max="7941" width="25.85546875" customWidth="1"/>
    <col min="7942" max="7943" width="11" customWidth="1"/>
    <col min="7944" max="7944" width="22.85546875" customWidth="1"/>
    <col min="7945" max="7946" width="11" customWidth="1"/>
    <col min="7947" max="7948" width="9.140625" customWidth="1"/>
    <col min="7949" max="7949" width="19" customWidth="1"/>
    <col min="8197" max="8197" width="25.85546875" customWidth="1"/>
    <col min="8198" max="8199" width="11" customWidth="1"/>
    <col min="8200" max="8200" width="22.85546875" customWidth="1"/>
    <col min="8201" max="8202" width="11" customWidth="1"/>
    <col min="8203" max="8204" width="9.140625" customWidth="1"/>
    <col min="8205" max="8205" width="19" customWidth="1"/>
    <col min="8453" max="8453" width="25.85546875" customWidth="1"/>
    <col min="8454" max="8455" width="11" customWidth="1"/>
    <col min="8456" max="8456" width="22.85546875" customWidth="1"/>
    <col min="8457" max="8458" width="11" customWidth="1"/>
    <col min="8459" max="8460" width="9.140625" customWidth="1"/>
    <col min="8461" max="8461" width="19" customWidth="1"/>
    <col min="8709" max="8709" width="25.85546875" customWidth="1"/>
    <col min="8710" max="8711" width="11" customWidth="1"/>
    <col min="8712" max="8712" width="22.85546875" customWidth="1"/>
    <col min="8713" max="8714" width="11" customWidth="1"/>
    <col min="8715" max="8716" width="9.140625" customWidth="1"/>
    <col min="8717" max="8717" width="19" customWidth="1"/>
    <col min="8965" max="8965" width="25.85546875" customWidth="1"/>
    <col min="8966" max="8967" width="11" customWidth="1"/>
    <col min="8968" max="8968" width="22.85546875" customWidth="1"/>
    <col min="8969" max="8970" width="11" customWidth="1"/>
    <col min="8971" max="8972" width="9.140625" customWidth="1"/>
    <col min="8973" max="8973" width="19" customWidth="1"/>
    <col min="9221" max="9221" width="25.85546875" customWidth="1"/>
    <col min="9222" max="9223" width="11" customWidth="1"/>
    <col min="9224" max="9224" width="22.85546875" customWidth="1"/>
    <col min="9225" max="9226" width="11" customWidth="1"/>
    <col min="9227" max="9228" width="9.140625" customWidth="1"/>
    <col min="9229" max="9229" width="19" customWidth="1"/>
    <col min="9477" max="9477" width="25.85546875" customWidth="1"/>
    <col min="9478" max="9479" width="11" customWidth="1"/>
    <col min="9480" max="9480" width="22.85546875" customWidth="1"/>
    <col min="9481" max="9482" width="11" customWidth="1"/>
    <col min="9483" max="9484" width="9.140625" customWidth="1"/>
    <col min="9485" max="9485" width="19" customWidth="1"/>
    <col min="9733" max="9733" width="25.85546875" customWidth="1"/>
    <col min="9734" max="9735" width="11" customWidth="1"/>
    <col min="9736" max="9736" width="22.85546875" customWidth="1"/>
    <col min="9737" max="9738" width="11" customWidth="1"/>
    <col min="9739" max="9740" width="9.140625" customWidth="1"/>
    <col min="9741" max="9741" width="19" customWidth="1"/>
    <col min="9989" max="9989" width="25.85546875" customWidth="1"/>
    <col min="9990" max="9991" width="11" customWidth="1"/>
    <col min="9992" max="9992" width="22.85546875" customWidth="1"/>
    <col min="9993" max="9994" width="11" customWidth="1"/>
    <col min="9995" max="9996" width="9.140625" customWidth="1"/>
    <col min="9997" max="9997" width="19" customWidth="1"/>
    <col min="10245" max="10245" width="25.85546875" customWidth="1"/>
    <col min="10246" max="10247" width="11" customWidth="1"/>
    <col min="10248" max="10248" width="22.85546875" customWidth="1"/>
    <col min="10249" max="10250" width="11" customWidth="1"/>
    <col min="10251" max="10252" width="9.140625" customWidth="1"/>
    <col min="10253" max="10253" width="19" customWidth="1"/>
    <col min="10501" max="10501" width="25.85546875" customWidth="1"/>
    <col min="10502" max="10503" width="11" customWidth="1"/>
    <col min="10504" max="10504" width="22.85546875" customWidth="1"/>
    <col min="10505" max="10506" width="11" customWidth="1"/>
    <col min="10507" max="10508" width="9.140625" customWidth="1"/>
    <col min="10509" max="10509" width="19" customWidth="1"/>
    <col min="10757" max="10757" width="25.85546875" customWidth="1"/>
    <col min="10758" max="10759" width="11" customWidth="1"/>
    <col min="10760" max="10760" width="22.85546875" customWidth="1"/>
    <col min="10761" max="10762" width="11" customWidth="1"/>
    <col min="10763" max="10764" width="9.140625" customWidth="1"/>
    <col min="10765" max="10765" width="19" customWidth="1"/>
    <col min="11013" max="11013" width="25.85546875" customWidth="1"/>
    <col min="11014" max="11015" width="11" customWidth="1"/>
    <col min="11016" max="11016" width="22.85546875" customWidth="1"/>
    <col min="11017" max="11018" width="11" customWidth="1"/>
    <col min="11019" max="11020" width="9.140625" customWidth="1"/>
    <col min="11021" max="11021" width="19" customWidth="1"/>
    <col min="11269" max="11269" width="25.85546875" customWidth="1"/>
    <col min="11270" max="11271" width="11" customWidth="1"/>
    <col min="11272" max="11272" width="22.85546875" customWidth="1"/>
    <col min="11273" max="11274" width="11" customWidth="1"/>
    <col min="11275" max="11276" width="9.140625" customWidth="1"/>
    <col min="11277" max="11277" width="19" customWidth="1"/>
    <col min="11525" max="11525" width="25.85546875" customWidth="1"/>
    <col min="11526" max="11527" width="11" customWidth="1"/>
    <col min="11528" max="11528" width="22.85546875" customWidth="1"/>
    <col min="11529" max="11530" width="11" customWidth="1"/>
    <col min="11531" max="11532" width="9.140625" customWidth="1"/>
    <col min="11533" max="11533" width="19" customWidth="1"/>
    <col min="11781" max="11781" width="25.85546875" customWidth="1"/>
    <col min="11782" max="11783" width="11" customWidth="1"/>
    <col min="11784" max="11784" width="22.85546875" customWidth="1"/>
    <col min="11785" max="11786" width="11" customWidth="1"/>
    <col min="11787" max="11788" width="9.140625" customWidth="1"/>
    <col min="11789" max="11789" width="19" customWidth="1"/>
    <col min="12037" max="12037" width="25.85546875" customWidth="1"/>
    <col min="12038" max="12039" width="11" customWidth="1"/>
    <col min="12040" max="12040" width="22.85546875" customWidth="1"/>
    <col min="12041" max="12042" width="11" customWidth="1"/>
    <col min="12043" max="12044" width="9.140625" customWidth="1"/>
    <col min="12045" max="12045" width="19" customWidth="1"/>
    <col min="12293" max="12293" width="25.85546875" customWidth="1"/>
    <col min="12294" max="12295" width="11" customWidth="1"/>
    <col min="12296" max="12296" width="22.85546875" customWidth="1"/>
    <col min="12297" max="12298" width="11" customWidth="1"/>
    <col min="12299" max="12300" width="9.140625" customWidth="1"/>
    <col min="12301" max="12301" width="19" customWidth="1"/>
    <col min="12549" max="12549" width="25.85546875" customWidth="1"/>
    <col min="12550" max="12551" width="11" customWidth="1"/>
    <col min="12552" max="12552" width="22.85546875" customWidth="1"/>
    <col min="12553" max="12554" width="11" customWidth="1"/>
    <col min="12555" max="12556" width="9.140625" customWidth="1"/>
    <col min="12557" max="12557" width="19" customWidth="1"/>
    <col min="12805" max="12805" width="25.85546875" customWidth="1"/>
    <col min="12806" max="12807" width="11" customWidth="1"/>
    <col min="12808" max="12808" width="22.85546875" customWidth="1"/>
    <col min="12809" max="12810" width="11" customWidth="1"/>
    <col min="12811" max="12812" width="9.140625" customWidth="1"/>
    <col min="12813" max="12813" width="19" customWidth="1"/>
    <col min="13061" max="13061" width="25.85546875" customWidth="1"/>
    <col min="13062" max="13063" width="11" customWidth="1"/>
    <col min="13064" max="13064" width="22.85546875" customWidth="1"/>
    <col min="13065" max="13066" width="11" customWidth="1"/>
    <col min="13067" max="13068" width="9.140625" customWidth="1"/>
    <col min="13069" max="13069" width="19" customWidth="1"/>
    <col min="13317" max="13317" width="25.85546875" customWidth="1"/>
    <col min="13318" max="13319" width="11" customWidth="1"/>
    <col min="13320" max="13320" width="22.85546875" customWidth="1"/>
    <col min="13321" max="13322" width="11" customWidth="1"/>
    <col min="13323" max="13324" width="9.140625" customWidth="1"/>
    <col min="13325" max="13325" width="19" customWidth="1"/>
    <col min="13573" max="13573" width="25.85546875" customWidth="1"/>
    <col min="13574" max="13575" width="11" customWidth="1"/>
    <col min="13576" max="13576" width="22.85546875" customWidth="1"/>
    <col min="13577" max="13578" width="11" customWidth="1"/>
    <col min="13579" max="13580" width="9.140625" customWidth="1"/>
    <col min="13581" max="13581" width="19" customWidth="1"/>
    <col min="13829" max="13829" width="25.85546875" customWidth="1"/>
    <col min="13830" max="13831" width="11" customWidth="1"/>
    <col min="13832" max="13832" width="22.85546875" customWidth="1"/>
    <col min="13833" max="13834" width="11" customWidth="1"/>
    <col min="13835" max="13836" width="9.140625" customWidth="1"/>
    <col min="13837" max="13837" width="19" customWidth="1"/>
    <col min="14085" max="14085" width="25.85546875" customWidth="1"/>
    <col min="14086" max="14087" width="11" customWidth="1"/>
    <col min="14088" max="14088" width="22.85546875" customWidth="1"/>
    <col min="14089" max="14090" width="11" customWidth="1"/>
    <col min="14091" max="14092" width="9.140625" customWidth="1"/>
    <col min="14093" max="14093" width="19" customWidth="1"/>
    <col min="14341" max="14341" width="25.85546875" customWidth="1"/>
    <col min="14342" max="14343" width="11" customWidth="1"/>
    <col min="14344" max="14344" width="22.85546875" customWidth="1"/>
    <col min="14345" max="14346" width="11" customWidth="1"/>
    <col min="14347" max="14348" width="9.140625" customWidth="1"/>
    <col min="14349" max="14349" width="19" customWidth="1"/>
    <col min="14597" max="14597" width="25.85546875" customWidth="1"/>
    <col min="14598" max="14599" width="11" customWidth="1"/>
    <col min="14600" max="14600" width="22.85546875" customWidth="1"/>
    <col min="14601" max="14602" width="11" customWidth="1"/>
    <col min="14603" max="14604" width="9.140625" customWidth="1"/>
    <col min="14605" max="14605" width="19" customWidth="1"/>
    <col min="14853" max="14853" width="25.85546875" customWidth="1"/>
    <col min="14854" max="14855" width="11" customWidth="1"/>
    <col min="14856" max="14856" width="22.85546875" customWidth="1"/>
    <col min="14857" max="14858" width="11" customWidth="1"/>
    <col min="14859" max="14860" width="9.140625" customWidth="1"/>
    <col min="14861" max="14861" width="19" customWidth="1"/>
    <col min="15109" max="15109" width="25.85546875" customWidth="1"/>
    <col min="15110" max="15111" width="11" customWidth="1"/>
    <col min="15112" max="15112" width="22.85546875" customWidth="1"/>
    <col min="15113" max="15114" width="11" customWidth="1"/>
    <col min="15115" max="15116" width="9.140625" customWidth="1"/>
    <col min="15117" max="15117" width="19" customWidth="1"/>
    <col min="15365" max="15365" width="25.85546875" customWidth="1"/>
    <col min="15366" max="15367" width="11" customWidth="1"/>
    <col min="15368" max="15368" width="22.85546875" customWidth="1"/>
    <col min="15369" max="15370" width="11" customWidth="1"/>
    <col min="15371" max="15372" width="9.140625" customWidth="1"/>
    <col min="15373" max="15373" width="19" customWidth="1"/>
    <col min="15621" max="15621" width="25.85546875" customWidth="1"/>
    <col min="15622" max="15623" width="11" customWidth="1"/>
    <col min="15624" max="15624" width="22.85546875" customWidth="1"/>
    <col min="15625" max="15626" width="11" customWidth="1"/>
    <col min="15627" max="15628" width="9.140625" customWidth="1"/>
    <col min="15629" max="15629" width="19" customWidth="1"/>
    <col min="15877" max="15877" width="25.85546875" customWidth="1"/>
    <col min="15878" max="15879" width="11" customWidth="1"/>
    <col min="15880" max="15880" width="22.85546875" customWidth="1"/>
    <col min="15881" max="15882" width="11" customWidth="1"/>
    <col min="15883" max="15884" width="9.140625" customWidth="1"/>
    <col min="15885" max="15885" width="19" customWidth="1"/>
    <col min="16133" max="16133" width="25.85546875" customWidth="1"/>
    <col min="16134" max="16135" width="11" customWidth="1"/>
    <col min="16136" max="16136" width="22.85546875" customWidth="1"/>
    <col min="16137" max="16138" width="11" customWidth="1"/>
    <col min="16139" max="16140" width="9.140625" customWidth="1"/>
    <col min="16141" max="16141" width="19" customWidth="1"/>
  </cols>
  <sheetData>
    <row r="1" spans="1:47" s="11" customFormat="1" ht="20.25" x14ac:dyDescent="0.3">
      <c r="A1" s="298" t="s">
        <v>19</v>
      </c>
      <c r="B1" s="178"/>
      <c r="C1" s="178"/>
      <c r="D1" s="178"/>
      <c r="E1" s="178"/>
      <c r="F1" s="178"/>
      <c r="G1" s="178"/>
      <c r="H1" s="178"/>
      <c r="I1" s="178"/>
      <c r="J1" s="303"/>
      <c r="K1" s="291"/>
      <c r="L1" s="297" t="s">
        <v>19</v>
      </c>
      <c r="M1" s="178"/>
      <c r="N1" s="178"/>
      <c r="O1" s="178"/>
      <c r="P1" s="178"/>
    </row>
    <row r="2" spans="1:47" s="183" customFormat="1" ht="18" customHeight="1" x14ac:dyDescent="0.25">
      <c r="A2" s="202"/>
      <c r="B2" s="180" t="s">
        <v>220</v>
      </c>
      <c r="C2" s="181"/>
      <c r="D2" s="182"/>
      <c r="E2" s="182"/>
      <c r="F2" s="182"/>
      <c r="G2" s="182"/>
      <c r="H2" s="182"/>
      <c r="I2" s="182"/>
      <c r="J2" s="202"/>
      <c r="K2" s="182"/>
      <c r="L2" s="182"/>
      <c r="M2" s="179"/>
      <c r="N2" s="202"/>
      <c r="O2" s="202"/>
      <c r="P2" s="202"/>
    </row>
    <row r="3" spans="1:47" s="183" customFormat="1" ht="12.75" x14ac:dyDescent="0.2">
      <c r="A3" s="202"/>
      <c r="B3" s="202"/>
      <c r="C3" s="290"/>
      <c r="D3" s="202"/>
      <c r="E3" s="202"/>
      <c r="F3" s="202"/>
      <c r="G3" s="202"/>
      <c r="H3" s="202"/>
      <c r="I3" s="202"/>
      <c r="J3" s="202"/>
      <c r="K3" s="182"/>
      <c r="L3" s="202"/>
      <c r="M3" s="202"/>
      <c r="N3" s="202"/>
      <c r="O3" s="202"/>
      <c r="P3" s="202"/>
    </row>
    <row r="4" spans="1:47" s="183" customFormat="1" ht="12.75" x14ac:dyDescent="0.2">
      <c r="A4" s="202"/>
      <c r="B4" s="181"/>
      <c r="C4" s="181"/>
      <c r="D4" s="181"/>
      <c r="E4" s="291"/>
      <c r="F4" s="202"/>
      <c r="G4" s="202"/>
      <c r="H4" s="202"/>
      <c r="I4" s="202"/>
      <c r="J4" s="202"/>
      <c r="K4" s="182"/>
      <c r="L4" s="202"/>
      <c r="M4" s="202"/>
      <c r="N4" s="202"/>
      <c r="O4" s="202"/>
      <c r="P4" s="202"/>
    </row>
    <row r="5" spans="1:47" x14ac:dyDescent="0.25">
      <c r="A5" s="201"/>
      <c r="B5" s="201"/>
      <c r="C5" s="201"/>
      <c r="D5" s="201"/>
      <c r="E5" s="201"/>
      <c r="F5" s="201"/>
      <c r="G5" s="201"/>
      <c r="H5" s="201"/>
      <c r="I5" s="201"/>
      <c r="J5" s="295"/>
      <c r="K5" s="293"/>
      <c r="L5" s="201"/>
      <c r="M5" s="200"/>
      <c r="N5" s="201"/>
      <c r="O5" s="201"/>
      <c r="P5" s="201"/>
    </row>
    <row r="6" spans="1:47" x14ac:dyDescent="0.25">
      <c r="A6" s="201"/>
      <c r="B6" s="296" t="s">
        <v>797</v>
      </c>
      <c r="C6" s="200"/>
      <c r="D6" s="200"/>
      <c r="E6" s="200"/>
      <c r="F6" s="200"/>
      <c r="G6" s="200"/>
      <c r="H6" s="200"/>
      <c r="I6" s="200"/>
      <c r="J6" s="200"/>
      <c r="K6" s="296"/>
      <c r="L6" s="200"/>
      <c r="M6" s="200"/>
      <c r="N6" s="201"/>
      <c r="O6" s="201"/>
      <c r="P6" s="201"/>
    </row>
    <row r="7" spans="1:47" x14ac:dyDescent="0.25">
      <c r="A7" s="201"/>
      <c r="B7" s="200"/>
      <c r="C7" s="200"/>
      <c r="D7" s="200"/>
      <c r="E7" s="200"/>
      <c r="F7" s="200"/>
      <c r="G7" s="200"/>
      <c r="H7" s="200"/>
      <c r="I7" s="200"/>
      <c r="J7" s="200"/>
      <c r="K7" s="296"/>
      <c r="L7" s="200"/>
      <c r="M7" s="200"/>
      <c r="N7" s="201"/>
      <c r="O7" s="201"/>
      <c r="P7" s="201"/>
    </row>
    <row r="8" spans="1:47" ht="15.75" thickBot="1" x14ac:dyDescent="0.3">
      <c r="H8" s="218"/>
      <c r="I8" s="218"/>
      <c r="J8" s="218"/>
      <c r="K8" s="221"/>
      <c r="L8"/>
      <c r="M8"/>
    </row>
    <row r="9" spans="1:47" ht="15.75" thickBot="1" x14ac:dyDescent="0.3">
      <c r="A9" s="219"/>
      <c r="B9" s="229" t="str">
        <f>L12</f>
        <v>Oil Field - Compressor - Vapor Recovery</v>
      </c>
      <c r="D9" s="226" t="s">
        <v>71</v>
      </c>
      <c r="E9" s="227">
        <f ca="1">SUM(E10:E57)</f>
        <v>100.00269999999999</v>
      </c>
      <c r="F9" s="227" t="s">
        <v>677</v>
      </c>
      <c r="G9" s="259">
        <f ca="1">SUMPRODUCT(K10:K57,G10:G57)/100</f>
        <v>75.93054439705044</v>
      </c>
      <c r="H9" s="227" t="s">
        <v>71</v>
      </c>
      <c r="I9" s="227">
        <f ca="1">SUM(I12:I57)</f>
        <v>99.999999999999986</v>
      </c>
      <c r="J9" s="227">
        <f ca="1">SUM(J10:J57)</f>
        <v>39.697228174839275</v>
      </c>
      <c r="K9" s="228">
        <f ca="1">SUM(K10:K57)</f>
        <v>99.999999999999986</v>
      </c>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row>
    <row r="10" spans="1:47" ht="15.75" thickBot="1" x14ac:dyDescent="0.3">
      <c r="A10" s="229" t="s">
        <v>672</v>
      </c>
      <c r="B10" s="231">
        <f>COUNTIF(L:L,$B$9)</f>
        <v>46</v>
      </c>
      <c r="C10" s="185" t="s">
        <v>561</v>
      </c>
      <c r="D10" s="232">
        <v>2283</v>
      </c>
      <c r="E10" s="233"/>
      <c r="F10" s="233" t="s">
        <v>357</v>
      </c>
      <c r="G10" s="268">
        <f ca="1">(SUMPRODUCT(--(J12:J57="X"),I12:I57,G12:G57)+SUMPRODUCT(--(F12:F57=$F$10),J12:J57,G12:G57))/$J$10</f>
        <v>78.931943568403909</v>
      </c>
      <c r="H10" s="233"/>
      <c r="I10" s="233"/>
      <c r="J10" s="233">
        <f ca="1">IFERROR(VLOOKUP($F$10,F12:J57,5,FALSE),0)+SUMIF(J12:J57,"X",I12:I57)</f>
        <v>17.05013964622955</v>
      </c>
      <c r="K10" s="234">
        <f ca="1">IF(J10="","",J10/$J$9*100)</f>
        <v>42.950453797769676</v>
      </c>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91" t="s">
        <v>20</v>
      </c>
      <c r="AU10" s="182" t="s">
        <v>62</v>
      </c>
    </row>
    <row r="11" spans="1:47" s="195" customFormat="1" ht="13.5" customHeight="1" thickBot="1" x14ac:dyDescent="0.3">
      <c r="A11" s="305" t="s">
        <v>656</v>
      </c>
      <c r="B11" s="306" t="s">
        <v>226</v>
      </c>
      <c r="C11" s="306" t="s">
        <v>671</v>
      </c>
      <c r="D11" s="306" t="s">
        <v>245</v>
      </c>
      <c r="E11" s="306" t="s">
        <v>246</v>
      </c>
      <c r="F11" s="306" t="s">
        <v>255</v>
      </c>
      <c r="G11" s="306" t="s">
        <v>257</v>
      </c>
      <c r="H11" s="306" t="s">
        <v>674</v>
      </c>
      <c r="I11" s="306" t="s">
        <v>657</v>
      </c>
      <c r="J11" s="306" t="s">
        <v>658</v>
      </c>
      <c r="K11" s="307" t="s">
        <v>659</v>
      </c>
      <c r="L11" s="261" t="s">
        <v>226</v>
      </c>
      <c r="M11" s="261" t="s">
        <v>227</v>
      </c>
      <c r="N11" s="261" t="s">
        <v>228</v>
      </c>
      <c r="O11" s="261" t="s">
        <v>229</v>
      </c>
      <c r="P11" s="261" t="s">
        <v>230</v>
      </c>
      <c r="Q11" s="261" t="s">
        <v>231</v>
      </c>
      <c r="R11" s="261" t="s">
        <v>232</v>
      </c>
      <c r="S11" s="261" t="s">
        <v>233</v>
      </c>
      <c r="T11" s="261" t="s">
        <v>234</v>
      </c>
      <c r="U11" s="261" t="s">
        <v>235</v>
      </c>
      <c r="V11" s="261" t="s">
        <v>236</v>
      </c>
      <c r="W11" s="261" t="s">
        <v>237</v>
      </c>
      <c r="X11" s="261" t="s">
        <v>238</v>
      </c>
      <c r="Y11" s="261" t="s">
        <v>239</v>
      </c>
      <c r="Z11" s="261" t="s">
        <v>240</v>
      </c>
      <c r="AA11" s="261" t="s">
        <v>241</v>
      </c>
      <c r="AB11" s="261" t="s">
        <v>242</v>
      </c>
      <c r="AC11" s="261" t="s">
        <v>243</v>
      </c>
      <c r="AD11" s="261" t="s">
        <v>244</v>
      </c>
      <c r="AE11" s="261" t="s">
        <v>245</v>
      </c>
      <c r="AF11" s="261" t="s">
        <v>246</v>
      </c>
      <c r="AG11" s="261" t="s">
        <v>247</v>
      </c>
      <c r="AH11" s="261" t="s">
        <v>248</v>
      </c>
      <c r="AI11" s="261" t="s">
        <v>249</v>
      </c>
      <c r="AJ11" s="261" t="s">
        <v>250</v>
      </c>
      <c r="AK11" s="261" t="s">
        <v>251</v>
      </c>
      <c r="AL11" s="261" t="s">
        <v>252</v>
      </c>
      <c r="AM11" s="261" t="s">
        <v>253</v>
      </c>
      <c r="AN11" s="261" t="s">
        <v>254</v>
      </c>
      <c r="AO11" s="261" t="s">
        <v>255</v>
      </c>
      <c r="AP11" s="261" t="s">
        <v>256</v>
      </c>
      <c r="AQ11" s="261" t="s">
        <v>257</v>
      </c>
      <c r="AR11" s="261" t="s">
        <v>258</v>
      </c>
      <c r="AS11" s="261" t="s">
        <v>259</v>
      </c>
      <c r="AU11" s="195" t="s">
        <v>819</v>
      </c>
    </row>
    <row r="12" spans="1:47" s="219" customFormat="1" x14ac:dyDescent="0.25">
      <c r="A12" s="240">
        <f>MATCH($B$9,L:L,0)</f>
        <v>12</v>
      </c>
      <c r="B12" s="241" t="str">
        <f t="shared" ref="B12:B57" si="0">IF(ROW(A12)-(ROW($A$12))&lt;$B$10,$B$9,"")</f>
        <v>Oil Field - Compressor - Vapor Recovery</v>
      </c>
      <c r="C12" s="241" t="str">
        <f ca="1">IF(B12="","",VLOOKUP(D12,'Species Data'!B:E,4,FALSE))</f>
        <v>ethben12</v>
      </c>
      <c r="D12" s="241">
        <f ca="1">IF(B12="","",INDIRECT("AE"&amp;$A12))</f>
        <v>80</v>
      </c>
      <c r="E12" s="241">
        <f ca="1">IF(D12="","",INDIRECT("AF"&amp;$A12))</f>
        <v>9.7000000000000003E-3</v>
      </c>
      <c r="F12" s="241" t="str">
        <f ca="1">IF(E12="","",INDIRECT("AO"&amp;$A12))</f>
        <v>1-Methyl-2-ethylbenzene</v>
      </c>
      <c r="G12" s="241">
        <f ca="1">IF(F12="","",INDIRECT("AQ"&amp;$A12))</f>
        <v>120.19158</v>
      </c>
      <c r="H12" s="242">
        <f ca="1">IF(G12="","",IF(VLOOKUP(Compressor!F12,'Species Data'!D:F,3,FALSE)=0,"X",IF(G12&lt;44.1,2,1)))</f>
        <v>1</v>
      </c>
      <c r="I12" s="242">
        <f t="shared" ref="I12:I57" ca="1" si="1">IF(H12="","",SUMIF(D:D,D12,E:E)/($E$9/100))</f>
        <v>9.6997381070711101E-3</v>
      </c>
      <c r="J12" s="243">
        <f ca="1">IF(I12="","",IF(COUNTIF($D$12:D12,D12)=1,IF(H12=1,I12*H12,IF(H12="X","X",0)),0))</f>
        <v>9.6997381070711101E-3</v>
      </c>
      <c r="K12" s="244">
        <f ca="1">IF(J12="","",IF(J12="X",0,J12/$J$9*100))</f>
        <v>2.4434295675129673E-2</v>
      </c>
      <c r="L12" s="304" t="s">
        <v>648</v>
      </c>
      <c r="M12" s="264" t="s">
        <v>448</v>
      </c>
      <c r="N12" s="264" t="s">
        <v>470</v>
      </c>
      <c r="O12" s="265">
        <v>41419</v>
      </c>
      <c r="P12" s="264" t="s">
        <v>531</v>
      </c>
      <c r="Q12" s="266">
        <v>100</v>
      </c>
      <c r="R12" s="264" t="s">
        <v>445</v>
      </c>
      <c r="S12" s="264" t="s">
        <v>532</v>
      </c>
      <c r="T12" s="264" t="s">
        <v>445</v>
      </c>
      <c r="U12" s="264" t="s">
        <v>446</v>
      </c>
      <c r="V12" s="266" t="b">
        <v>1</v>
      </c>
      <c r="W12" s="266">
        <v>1989</v>
      </c>
      <c r="X12" s="266">
        <v>5</v>
      </c>
      <c r="Y12" s="266">
        <v>2</v>
      </c>
      <c r="Z12" s="266">
        <v>4</v>
      </c>
      <c r="AA12" s="264" t="s">
        <v>447</v>
      </c>
      <c r="AB12" s="264" t="s">
        <v>531</v>
      </c>
      <c r="AC12" s="264" t="s">
        <v>533</v>
      </c>
      <c r="AD12" s="266">
        <v>1.8322000000000001</v>
      </c>
      <c r="AE12" s="266">
        <v>80</v>
      </c>
      <c r="AF12" s="266">
        <v>9.7000000000000003E-3</v>
      </c>
      <c r="AG12" s="266">
        <v>-99</v>
      </c>
      <c r="AH12" s="264" t="s">
        <v>224</v>
      </c>
      <c r="AI12" s="264" t="s">
        <v>449</v>
      </c>
      <c r="AJ12" s="264" t="s">
        <v>408</v>
      </c>
      <c r="AK12" s="264" t="s">
        <v>531</v>
      </c>
      <c r="AL12" s="264" t="s">
        <v>450</v>
      </c>
      <c r="AM12" s="266" t="b">
        <v>1</v>
      </c>
      <c r="AN12" s="266" t="b">
        <v>0</v>
      </c>
      <c r="AO12" s="264" t="s">
        <v>409</v>
      </c>
      <c r="AP12" s="264" t="s">
        <v>410</v>
      </c>
      <c r="AQ12" s="266">
        <v>120.19158</v>
      </c>
      <c r="AR12" s="266" t="b">
        <v>0</v>
      </c>
      <c r="AS12" s="264" t="s">
        <v>534</v>
      </c>
      <c r="AU12" s="222" t="s">
        <v>819</v>
      </c>
    </row>
    <row r="13" spans="1:47" s="219" customFormat="1" x14ac:dyDescent="0.25">
      <c r="A13" s="245">
        <f>IF(B13="","",A12+1)</f>
        <v>13</v>
      </c>
      <c r="B13" s="246" t="str">
        <f t="shared" si="0"/>
        <v>Oil Field - Compressor - Vapor Recovery</v>
      </c>
      <c r="C13" s="246" t="str">
        <f ca="1">IF(B13="","",VLOOKUP(D13,'Species Data'!B:E,4,FALSE))</f>
        <v>ethben13</v>
      </c>
      <c r="D13" s="246">
        <f t="shared" ref="D13:D57" ca="1" si="2">IF(B13="","",INDIRECT("AE"&amp;$A13))</f>
        <v>89</v>
      </c>
      <c r="E13" s="246">
        <f t="shared" ref="E13:E57" ca="1" si="3">IF(D13="","",INDIRECT("AF"&amp;$A13))</f>
        <v>1.0699999999999999E-2</v>
      </c>
      <c r="F13" s="246" t="str">
        <f t="shared" ref="F13:F57" ca="1" si="4">IF(E13="","",INDIRECT("AO"&amp;$A13))</f>
        <v>1-Methyl-3-ethylbenzene (3-Ethyltoluene)</v>
      </c>
      <c r="G13" s="246">
        <f t="shared" ref="G13:G57" ca="1" si="5">IF(F13="","",INDIRECT("AQ"&amp;$A13))</f>
        <v>120.19158</v>
      </c>
      <c r="H13" s="204">
        <f ca="1">IF(G13="","",IF(VLOOKUP(Compressor!F13,'Species Data'!D:F,3,FALSE)=0,"X",IF(G13&lt;44.1,2,1)))</f>
        <v>1</v>
      </c>
      <c r="I13" s="204">
        <f t="shared" ca="1" si="1"/>
        <v>1.0699711107800089E-2</v>
      </c>
      <c r="J13" s="247">
        <f ca="1">IF(I13="","",IF(COUNTIF($D$12:D13,D13)=1,IF(H13=1,I13*H13,IF(H13="X","X",0)),0))</f>
        <v>1.0699711107800089E-2</v>
      </c>
      <c r="K13" s="248">
        <f t="shared" ref="K13:K57" ca="1" si="6">IF(J13="","",IF(J13="X",0,J13/$J$9*100))</f>
        <v>2.6953295229266747E-2</v>
      </c>
      <c r="L13" s="304" t="s">
        <v>648</v>
      </c>
      <c r="M13" s="264" t="s">
        <v>448</v>
      </c>
      <c r="N13" s="264" t="s">
        <v>470</v>
      </c>
      <c r="O13" s="265">
        <v>41419</v>
      </c>
      <c r="P13" s="264" t="s">
        <v>531</v>
      </c>
      <c r="Q13" s="266">
        <v>100</v>
      </c>
      <c r="R13" s="264" t="s">
        <v>445</v>
      </c>
      <c r="S13" s="264" t="s">
        <v>532</v>
      </c>
      <c r="T13" s="264" t="s">
        <v>445</v>
      </c>
      <c r="U13" s="264" t="s">
        <v>446</v>
      </c>
      <c r="V13" s="266" t="b">
        <v>1</v>
      </c>
      <c r="W13" s="266">
        <v>1989</v>
      </c>
      <c r="X13" s="266">
        <v>5</v>
      </c>
      <c r="Y13" s="266">
        <v>2</v>
      </c>
      <c r="Z13" s="266">
        <v>4</v>
      </c>
      <c r="AA13" s="264" t="s">
        <v>447</v>
      </c>
      <c r="AB13" s="264" t="s">
        <v>531</v>
      </c>
      <c r="AC13" s="264" t="s">
        <v>533</v>
      </c>
      <c r="AD13" s="266">
        <v>1.8322000000000001</v>
      </c>
      <c r="AE13" s="266">
        <v>89</v>
      </c>
      <c r="AF13" s="266">
        <v>1.0699999999999999E-2</v>
      </c>
      <c r="AG13" s="266">
        <v>-99</v>
      </c>
      <c r="AH13" s="264" t="s">
        <v>224</v>
      </c>
      <c r="AI13" s="264" t="s">
        <v>449</v>
      </c>
      <c r="AJ13" s="264" t="s">
        <v>411</v>
      </c>
      <c r="AK13" s="264" t="s">
        <v>531</v>
      </c>
      <c r="AL13" s="264" t="s">
        <v>451</v>
      </c>
      <c r="AM13" s="266" t="b">
        <v>1</v>
      </c>
      <c r="AN13" s="266" t="b">
        <v>0</v>
      </c>
      <c r="AO13" s="264" t="s">
        <v>412</v>
      </c>
      <c r="AP13" s="264" t="s">
        <v>413</v>
      </c>
      <c r="AQ13" s="266">
        <v>120.19158</v>
      </c>
      <c r="AR13" s="266" t="b">
        <v>0</v>
      </c>
      <c r="AS13" s="264" t="s">
        <v>534</v>
      </c>
      <c r="AU13" s="222" t="s">
        <v>819</v>
      </c>
    </row>
    <row r="14" spans="1:47" s="219" customFormat="1" x14ac:dyDescent="0.25">
      <c r="A14" s="245">
        <f t="shared" ref="A14:A57" si="7">IF(B14="","",A13+1)</f>
        <v>14</v>
      </c>
      <c r="B14" s="246" t="str">
        <f t="shared" si="0"/>
        <v>Oil Field - Compressor - Vapor Recovery</v>
      </c>
      <c r="C14" s="246" t="str">
        <f ca="1">IF(B14="","",VLOOKUP(D14,'Species Data'!B:E,4,FALSE))</f>
        <v>dimetbut22</v>
      </c>
      <c r="D14" s="246">
        <f t="shared" ca="1" si="2"/>
        <v>122</v>
      </c>
      <c r="E14" s="246">
        <f t="shared" ca="1" si="3"/>
        <v>0.1976</v>
      </c>
      <c r="F14" s="246" t="str">
        <f t="shared" ca="1" si="4"/>
        <v>2,2-dimethylbutane</v>
      </c>
      <c r="G14" s="246">
        <f t="shared" ca="1" si="5"/>
        <v>86.175359999999998</v>
      </c>
      <c r="H14" s="204">
        <f ca="1">IF(G14="","",IF(VLOOKUP(Compressor!F14,'Species Data'!D:F,3,FALSE)=0,"X",IF(G14&lt;44.1,2,1)))</f>
        <v>1</v>
      </c>
      <c r="I14" s="204">
        <f t="shared" ca="1" si="1"/>
        <v>0.19759466494404651</v>
      </c>
      <c r="J14" s="247">
        <f ca="1">IF(I14="","",IF(COUNTIF($D$12:D14,D14)=1,IF(H14=1,I14*H14,IF(H14="X","X",0)),0))</f>
        <v>0.19759466494404651</v>
      </c>
      <c r="K14" s="248">
        <f t="shared" ca="1" si="6"/>
        <v>0.49775431189748681</v>
      </c>
      <c r="L14" s="304" t="s">
        <v>648</v>
      </c>
      <c r="M14" s="264" t="s">
        <v>448</v>
      </c>
      <c r="N14" s="264" t="s">
        <v>470</v>
      </c>
      <c r="O14" s="265">
        <v>41419</v>
      </c>
      <c r="P14" s="264" t="s">
        <v>531</v>
      </c>
      <c r="Q14" s="266">
        <v>100</v>
      </c>
      <c r="R14" s="264" t="s">
        <v>445</v>
      </c>
      <c r="S14" s="264" t="s">
        <v>532</v>
      </c>
      <c r="T14" s="264" t="s">
        <v>445</v>
      </c>
      <c r="U14" s="264" t="s">
        <v>446</v>
      </c>
      <c r="V14" s="266" t="b">
        <v>1</v>
      </c>
      <c r="W14" s="266">
        <v>1989</v>
      </c>
      <c r="X14" s="266">
        <v>5</v>
      </c>
      <c r="Y14" s="266">
        <v>2</v>
      </c>
      <c r="Z14" s="266">
        <v>4</v>
      </c>
      <c r="AA14" s="264" t="s">
        <v>447</v>
      </c>
      <c r="AB14" s="264" t="s">
        <v>531</v>
      </c>
      <c r="AC14" s="264" t="s">
        <v>533</v>
      </c>
      <c r="AD14" s="266">
        <v>1.8322000000000001</v>
      </c>
      <c r="AE14" s="266">
        <v>122</v>
      </c>
      <c r="AF14" s="266">
        <v>0.1976</v>
      </c>
      <c r="AG14" s="266">
        <v>-99</v>
      </c>
      <c r="AH14" s="264" t="s">
        <v>224</v>
      </c>
      <c r="AI14" s="264" t="s">
        <v>449</v>
      </c>
      <c r="AJ14" s="264" t="s">
        <v>301</v>
      </c>
      <c r="AK14" s="264" t="s">
        <v>531</v>
      </c>
      <c r="AL14" s="264" t="s">
        <v>384</v>
      </c>
      <c r="AM14" s="266" t="b">
        <v>1</v>
      </c>
      <c r="AN14" s="266" t="b">
        <v>0</v>
      </c>
      <c r="AO14" s="264" t="s">
        <v>302</v>
      </c>
      <c r="AP14" s="264" t="s">
        <v>303</v>
      </c>
      <c r="AQ14" s="266">
        <v>86.175359999999998</v>
      </c>
      <c r="AR14" s="266" t="b">
        <v>0</v>
      </c>
      <c r="AS14" s="264" t="s">
        <v>534</v>
      </c>
      <c r="AU14" s="222" t="s">
        <v>819</v>
      </c>
    </row>
    <row r="15" spans="1:47" s="219" customFormat="1" x14ac:dyDescent="0.25">
      <c r="A15" s="245">
        <f t="shared" si="7"/>
        <v>15</v>
      </c>
      <c r="B15" s="246" t="str">
        <f t="shared" si="0"/>
        <v>Oil Field - Compressor - Vapor Recovery</v>
      </c>
      <c r="C15" s="246" t="str">
        <f ca="1">IF(B15="","",VLOOKUP(D15,'Species Data'!B:E,4,FALSE))</f>
        <v>dimethpro</v>
      </c>
      <c r="D15" s="246">
        <f t="shared" ca="1" si="2"/>
        <v>127</v>
      </c>
      <c r="E15" s="246">
        <f t="shared" ca="1" si="3"/>
        <v>0.11700000000000001</v>
      </c>
      <c r="F15" s="246" t="str">
        <f t="shared" ca="1" si="4"/>
        <v>2,2-dimethylpropane</v>
      </c>
      <c r="G15" s="246">
        <f t="shared" ca="1" si="5"/>
        <v>72.148780000000002</v>
      </c>
      <c r="H15" s="204">
        <f ca="1">IF(G15="","",IF(VLOOKUP(Compressor!F15,'Species Data'!D:F,3,FALSE)=0,"X",IF(G15&lt;44.1,2,1)))</f>
        <v>1</v>
      </c>
      <c r="I15" s="204">
        <f t="shared" ca="1" si="1"/>
        <v>0.11699684108529071</v>
      </c>
      <c r="J15" s="247">
        <f ca="1">IF(I15="","",IF(COUNTIF($D$12:D15,D15)=1,IF(H15=1,I15*H15,IF(H15="X","X",0)),0))</f>
        <v>0.11699684108529071</v>
      </c>
      <c r="K15" s="248">
        <f t="shared" ca="1" si="6"/>
        <v>0.2947229478340383</v>
      </c>
      <c r="L15" s="304" t="s">
        <v>648</v>
      </c>
      <c r="M15" s="264" t="s">
        <v>448</v>
      </c>
      <c r="N15" s="264" t="s">
        <v>470</v>
      </c>
      <c r="O15" s="265">
        <v>41419</v>
      </c>
      <c r="P15" s="264" t="s">
        <v>531</v>
      </c>
      <c r="Q15" s="266">
        <v>100</v>
      </c>
      <c r="R15" s="264" t="s">
        <v>445</v>
      </c>
      <c r="S15" s="264" t="s">
        <v>532</v>
      </c>
      <c r="T15" s="264" t="s">
        <v>445</v>
      </c>
      <c r="U15" s="264" t="s">
        <v>446</v>
      </c>
      <c r="V15" s="266" t="b">
        <v>1</v>
      </c>
      <c r="W15" s="266">
        <v>1989</v>
      </c>
      <c r="X15" s="266">
        <v>5</v>
      </c>
      <c r="Y15" s="266">
        <v>2</v>
      </c>
      <c r="Z15" s="266">
        <v>4</v>
      </c>
      <c r="AA15" s="264" t="s">
        <v>447</v>
      </c>
      <c r="AB15" s="264" t="s">
        <v>531</v>
      </c>
      <c r="AC15" s="264" t="s">
        <v>533</v>
      </c>
      <c r="AD15" s="266">
        <v>1.8322000000000001</v>
      </c>
      <c r="AE15" s="266">
        <v>127</v>
      </c>
      <c r="AF15" s="266">
        <v>0.11700000000000001</v>
      </c>
      <c r="AG15" s="266">
        <v>-99</v>
      </c>
      <c r="AH15" s="264" t="s">
        <v>224</v>
      </c>
      <c r="AI15" s="264" t="s">
        <v>449</v>
      </c>
      <c r="AJ15" s="264" t="s">
        <v>441</v>
      </c>
      <c r="AK15" s="264" t="s">
        <v>531</v>
      </c>
      <c r="AL15" s="264" t="s">
        <v>462</v>
      </c>
      <c r="AM15" s="266" t="b">
        <v>0</v>
      </c>
      <c r="AN15" s="266" t="b">
        <v>0</v>
      </c>
      <c r="AO15" s="264" t="s">
        <v>442</v>
      </c>
      <c r="AP15" s="264" t="s">
        <v>531</v>
      </c>
      <c r="AQ15" s="266">
        <v>72.148780000000002</v>
      </c>
      <c r="AR15" s="266" t="b">
        <v>0</v>
      </c>
      <c r="AS15" s="264" t="s">
        <v>534</v>
      </c>
      <c r="AU15" s="222" t="s">
        <v>819</v>
      </c>
    </row>
    <row r="16" spans="1:47" s="219" customFormat="1" ht="15" customHeight="1" x14ac:dyDescent="0.25">
      <c r="A16" s="245">
        <f t="shared" si="7"/>
        <v>16</v>
      </c>
      <c r="B16" s="246" t="str">
        <f t="shared" si="0"/>
        <v>Oil Field - Compressor - Vapor Recovery</v>
      </c>
      <c r="C16" s="246" t="str">
        <f ca="1">IF(B16="","",VLOOKUP(D16,'Species Data'!B:E,4,FALSE))</f>
        <v>dimethhex23</v>
      </c>
      <c r="D16" s="246">
        <f t="shared" ca="1" si="2"/>
        <v>138</v>
      </c>
      <c r="E16" s="246">
        <f t="shared" ca="1" si="3"/>
        <v>3.2300000000000002E-2</v>
      </c>
      <c r="F16" s="246" t="str">
        <f t="shared" ca="1" si="4"/>
        <v>2,3-dimethylhexane</v>
      </c>
      <c r="G16" s="246">
        <f t="shared" ca="1" si="5"/>
        <v>114.22852</v>
      </c>
      <c r="H16" s="204">
        <f ca="1">IF(G16="","",IF(VLOOKUP(Compressor!F16,'Species Data'!D:F,3,FALSE)=0,"X",IF(G16&lt;44.1,2,1)))</f>
        <v>1</v>
      </c>
      <c r="I16" s="204">
        <f t="shared" ca="1" si="1"/>
        <v>3.229912792354607E-2</v>
      </c>
      <c r="J16" s="247">
        <f ca="1">IF(I16="","",IF(COUNTIF($D$12:D16,D16)=1,IF(H16=1,I16*H16,IF(H16="X","X",0)),0))</f>
        <v>3.229912792354607E-2</v>
      </c>
      <c r="K16" s="248">
        <f t="shared" ca="1" si="6"/>
        <v>8.1363685598627666E-2</v>
      </c>
      <c r="L16" s="304" t="s">
        <v>648</v>
      </c>
      <c r="M16" s="264" t="s">
        <v>448</v>
      </c>
      <c r="N16" s="264" t="s">
        <v>470</v>
      </c>
      <c r="O16" s="265">
        <v>41419</v>
      </c>
      <c r="P16" s="264" t="s">
        <v>531</v>
      </c>
      <c r="Q16" s="266">
        <v>100</v>
      </c>
      <c r="R16" s="264" t="s">
        <v>445</v>
      </c>
      <c r="S16" s="264" t="s">
        <v>532</v>
      </c>
      <c r="T16" s="264" t="s">
        <v>445</v>
      </c>
      <c r="U16" s="264" t="s">
        <v>446</v>
      </c>
      <c r="V16" s="266" t="b">
        <v>1</v>
      </c>
      <c r="W16" s="266">
        <v>1989</v>
      </c>
      <c r="X16" s="266">
        <v>5</v>
      </c>
      <c r="Y16" s="266">
        <v>2</v>
      </c>
      <c r="Z16" s="266">
        <v>4</v>
      </c>
      <c r="AA16" s="264" t="s">
        <v>447</v>
      </c>
      <c r="AB16" s="264" t="s">
        <v>531</v>
      </c>
      <c r="AC16" s="264" t="s">
        <v>533</v>
      </c>
      <c r="AD16" s="266">
        <v>1.8322000000000001</v>
      </c>
      <c r="AE16" s="266">
        <v>138</v>
      </c>
      <c r="AF16" s="266">
        <v>3.2300000000000002E-2</v>
      </c>
      <c r="AG16" s="266">
        <v>-99</v>
      </c>
      <c r="AH16" s="264" t="s">
        <v>224</v>
      </c>
      <c r="AI16" s="264" t="s">
        <v>449</v>
      </c>
      <c r="AJ16" s="264" t="s">
        <v>443</v>
      </c>
      <c r="AK16" s="264" t="s">
        <v>531</v>
      </c>
      <c r="AL16" s="264" t="s">
        <v>463</v>
      </c>
      <c r="AM16" s="266" t="b">
        <v>0</v>
      </c>
      <c r="AN16" s="266" t="b">
        <v>0</v>
      </c>
      <c r="AO16" s="264" t="s">
        <v>444</v>
      </c>
      <c r="AP16" s="264" t="s">
        <v>531</v>
      </c>
      <c r="AQ16" s="266">
        <v>114.22852</v>
      </c>
      <c r="AR16" s="266" t="b">
        <v>0</v>
      </c>
      <c r="AS16" s="264" t="s">
        <v>534</v>
      </c>
      <c r="AU16" s="222" t="s">
        <v>819</v>
      </c>
    </row>
    <row r="17" spans="1:47" s="219" customFormat="1" x14ac:dyDescent="0.25">
      <c r="A17" s="245">
        <f t="shared" si="7"/>
        <v>17</v>
      </c>
      <c r="B17" s="246" t="str">
        <f t="shared" si="0"/>
        <v>Oil Field - Compressor - Vapor Recovery</v>
      </c>
      <c r="C17" s="246" t="str">
        <f ca="1">IF(B17="","",VLOOKUP(D17,'Species Data'!B:E,4,FALSE))</f>
        <v>dimetpen3</v>
      </c>
      <c r="D17" s="246">
        <f t="shared" ca="1" si="2"/>
        <v>140</v>
      </c>
      <c r="E17" s="246">
        <f t="shared" ca="1" si="3"/>
        <v>0.26029999999999998</v>
      </c>
      <c r="F17" s="246" t="str">
        <f t="shared" ca="1" si="4"/>
        <v>2,3-dimethylpentane</v>
      </c>
      <c r="G17" s="246">
        <f t="shared" ca="1" si="5"/>
        <v>100.20194000000001</v>
      </c>
      <c r="H17" s="204">
        <f ca="1">IF(G17="","",IF(VLOOKUP(Compressor!F17,'Species Data'!D:F,3,FALSE)=0,"X",IF(G17&lt;44.1,2,1)))</f>
        <v>1</v>
      </c>
      <c r="I17" s="204">
        <f t="shared" ca="1" si="1"/>
        <v>0.26029297208975355</v>
      </c>
      <c r="J17" s="247">
        <f ca="1">IF(I17="","",IF(COUNTIF($D$12:D17,D17)=1,IF(H17=1,I17*H17,IF(H17="X","X",0)),0))</f>
        <v>0.26029297208975355</v>
      </c>
      <c r="K17" s="248">
        <f t="shared" ca="1" si="6"/>
        <v>0.65569558394188165</v>
      </c>
      <c r="L17" s="304" t="s">
        <v>648</v>
      </c>
      <c r="M17" s="264" t="s">
        <v>448</v>
      </c>
      <c r="N17" s="264" t="s">
        <v>470</v>
      </c>
      <c r="O17" s="265">
        <v>41419</v>
      </c>
      <c r="P17" s="264" t="s">
        <v>531</v>
      </c>
      <c r="Q17" s="266">
        <v>100</v>
      </c>
      <c r="R17" s="264" t="s">
        <v>445</v>
      </c>
      <c r="S17" s="264" t="s">
        <v>532</v>
      </c>
      <c r="T17" s="264" t="s">
        <v>445</v>
      </c>
      <c r="U17" s="264" t="s">
        <v>446</v>
      </c>
      <c r="V17" s="266" t="b">
        <v>1</v>
      </c>
      <c r="W17" s="266">
        <v>1989</v>
      </c>
      <c r="X17" s="266">
        <v>5</v>
      </c>
      <c r="Y17" s="266">
        <v>2</v>
      </c>
      <c r="Z17" s="266">
        <v>4</v>
      </c>
      <c r="AA17" s="264" t="s">
        <v>447</v>
      </c>
      <c r="AB17" s="264" t="s">
        <v>531</v>
      </c>
      <c r="AC17" s="264" t="s">
        <v>533</v>
      </c>
      <c r="AD17" s="266">
        <v>1.8322000000000001</v>
      </c>
      <c r="AE17" s="266">
        <v>140</v>
      </c>
      <c r="AF17" s="266">
        <v>0.26029999999999998</v>
      </c>
      <c r="AG17" s="266">
        <v>-99</v>
      </c>
      <c r="AH17" s="264" t="s">
        <v>224</v>
      </c>
      <c r="AI17" s="264" t="s">
        <v>449</v>
      </c>
      <c r="AJ17" s="264" t="s">
        <v>307</v>
      </c>
      <c r="AK17" s="264" t="s">
        <v>531</v>
      </c>
      <c r="AL17" s="264" t="s">
        <v>385</v>
      </c>
      <c r="AM17" s="266" t="b">
        <v>1</v>
      </c>
      <c r="AN17" s="266" t="b">
        <v>0</v>
      </c>
      <c r="AO17" s="264" t="s">
        <v>308</v>
      </c>
      <c r="AP17" s="264" t="s">
        <v>309</v>
      </c>
      <c r="AQ17" s="266">
        <v>100.20194000000001</v>
      </c>
      <c r="AR17" s="266" t="b">
        <v>0</v>
      </c>
      <c r="AS17" s="264" t="s">
        <v>534</v>
      </c>
      <c r="AU17" s="222" t="s">
        <v>819</v>
      </c>
    </row>
    <row r="18" spans="1:47" s="219" customFormat="1" x14ac:dyDescent="0.25">
      <c r="A18" s="245">
        <f t="shared" si="7"/>
        <v>18</v>
      </c>
      <c r="B18" s="246" t="str">
        <f t="shared" si="0"/>
        <v>Oil Field - Compressor - Vapor Recovery</v>
      </c>
      <c r="C18" s="246" t="str">
        <f ca="1">IF(B18="","",VLOOKUP(D18,'Species Data'!B:E,4,FALSE))</f>
        <v>dimetpen4</v>
      </c>
      <c r="D18" s="246">
        <f t="shared" ca="1" si="2"/>
        <v>152</v>
      </c>
      <c r="E18" s="246">
        <f t="shared" ca="1" si="3"/>
        <v>0.12130000000000001</v>
      </c>
      <c r="F18" s="246" t="str">
        <f t="shared" ca="1" si="4"/>
        <v>2,4-dimethylpentane</v>
      </c>
      <c r="G18" s="246">
        <f t="shared" ca="1" si="5"/>
        <v>100.20194000000001</v>
      </c>
      <c r="H18" s="204">
        <f ca="1">IF(G18="","",IF(VLOOKUP(Compressor!F18,'Species Data'!D:F,3,FALSE)=0,"X",IF(G18&lt;44.1,2,1)))</f>
        <v>1</v>
      </c>
      <c r="I18" s="204">
        <f t="shared" ca="1" si="1"/>
        <v>0.12129672498842532</v>
      </c>
      <c r="J18" s="247">
        <f ca="1">IF(I18="","",IF(COUNTIF($D$12:D18,D18)=1,IF(H18=1,I18*H18,IF(H18="X","X",0)),0))</f>
        <v>0.12129672498842532</v>
      </c>
      <c r="K18" s="248">
        <f t="shared" ca="1" si="6"/>
        <v>0.30555464591682774</v>
      </c>
      <c r="L18" s="304" t="s">
        <v>648</v>
      </c>
      <c r="M18" s="264" t="s">
        <v>448</v>
      </c>
      <c r="N18" s="264" t="s">
        <v>470</v>
      </c>
      <c r="O18" s="265">
        <v>41419</v>
      </c>
      <c r="P18" s="264" t="s">
        <v>531</v>
      </c>
      <c r="Q18" s="266">
        <v>100</v>
      </c>
      <c r="R18" s="264" t="s">
        <v>445</v>
      </c>
      <c r="S18" s="264" t="s">
        <v>532</v>
      </c>
      <c r="T18" s="264" t="s">
        <v>445</v>
      </c>
      <c r="U18" s="264" t="s">
        <v>446</v>
      </c>
      <c r="V18" s="266" t="b">
        <v>1</v>
      </c>
      <c r="W18" s="266">
        <v>1989</v>
      </c>
      <c r="X18" s="266">
        <v>5</v>
      </c>
      <c r="Y18" s="266">
        <v>2</v>
      </c>
      <c r="Z18" s="266">
        <v>4</v>
      </c>
      <c r="AA18" s="264" t="s">
        <v>447</v>
      </c>
      <c r="AB18" s="264" t="s">
        <v>531</v>
      </c>
      <c r="AC18" s="264" t="s">
        <v>533</v>
      </c>
      <c r="AD18" s="266">
        <v>1.8322000000000001</v>
      </c>
      <c r="AE18" s="266">
        <v>152</v>
      </c>
      <c r="AF18" s="266">
        <v>0.12130000000000001</v>
      </c>
      <c r="AG18" s="266">
        <v>-99</v>
      </c>
      <c r="AH18" s="264" t="s">
        <v>224</v>
      </c>
      <c r="AI18" s="264" t="s">
        <v>449</v>
      </c>
      <c r="AJ18" s="264" t="s">
        <v>310</v>
      </c>
      <c r="AK18" s="264" t="s">
        <v>531</v>
      </c>
      <c r="AL18" s="264" t="s">
        <v>386</v>
      </c>
      <c r="AM18" s="266" t="b">
        <v>1</v>
      </c>
      <c r="AN18" s="266" t="b">
        <v>0</v>
      </c>
      <c r="AO18" s="264" t="s">
        <v>311</v>
      </c>
      <c r="AP18" s="264" t="s">
        <v>312</v>
      </c>
      <c r="AQ18" s="266">
        <v>100.20194000000001</v>
      </c>
      <c r="AR18" s="266" t="b">
        <v>0</v>
      </c>
      <c r="AS18" s="264" t="s">
        <v>534</v>
      </c>
      <c r="AU18" s="222" t="s">
        <v>819</v>
      </c>
    </row>
    <row r="19" spans="1:47" s="219" customFormat="1" x14ac:dyDescent="0.25">
      <c r="A19" s="245">
        <f t="shared" si="7"/>
        <v>19</v>
      </c>
      <c r="B19" s="246" t="str">
        <f t="shared" si="0"/>
        <v>Oil Field - Compressor - Vapor Recovery</v>
      </c>
      <c r="C19" s="246" t="str">
        <f ca="1">IF(B19="","",VLOOKUP(D19,'Species Data'!B:E,4,FALSE))</f>
        <v>methep2</v>
      </c>
      <c r="D19" s="246">
        <f t="shared" ca="1" si="2"/>
        <v>193</v>
      </c>
      <c r="E19" s="246">
        <f t="shared" ca="1" si="3"/>
        <v>0.1416</v>
      </c>
      <c r="F19" s="246" t="str">
        <f t="shared" ca="1" si="4"/>
        <v>2-methylheptane</v>
      </c>
      <c r="G19" s="246">
        <f t="shared" ca="1" si="5"/>
        <v>114.22852</v>
      </c>
      <c r="H19" s="204">
        <f ca="1">IF(G19="","",IF(VLOOKUP(Compressor!F19,'Species Data'!D:F,3,FALSE)=0,"X",IF(G19&lt;44.1,2,1)))</f>
        <v>1</v>
      </c>
      <c r="I19" s="204">
        <f t="shared" ca="1" si="1"/>
        <v>0.14159617690322363</v>
      </c>
      <c r="J19" s="247">
        <f ca="1">IF(I19="","",IF(COUNTIF($D$12:D19,D19)=1,IF(H19=1,I19*H19,IF(H19="X","X",0)),0))</f>
        <v>0.14159617690322363</v>
      </c>
      <c r="K19" s="248">
        <f t="shared" ca="1" si="6"/>
        <v>0.35669033686581048</v>
      </c>
      <c r="L19" s="304" t="s">
        <v>648</v>
      </c>
      <c r="M19" s="264" t="s">
        <v>448</v>
      </c>
      <c r="N19" s="264" t="s">
        <v>470</v>
      </c>
      <c r="O19" s="265">
        <v>41419</v>
      </c>
      <c r="P19" s="264" t="s">
        <v>531</v>
      </c>
      <c r="Q19" s="266">
        <v>100</v>
      </c>
      <c r="R19" s="264" t="s">
        <v>445</v>
      </c>
      <c r="S19" s="264" t="s">
        <v>532</v>
      </c>
      <c r="T19" s="264" t="s">
        <v>445</v>
      </c>
      <c r="U19" s="264" t="s">
        <v>446</v>
      </c>
      <c r="V19" s="266" t="b">
        <v>1</v>
      </c>
      <c r="W19" s="266">
        <v>1989</v>
      </c>
      <c r="X19" s="266">
        <v>5</v>
      </c>
      <c r="Y19" s="266">
        <v>2</v>
      </c>
      <c r="Z19" s="266">
        <v>4</v>
      </c>
      <c r="AA19" s="264" t="s">
        <v>447</v>
      </c>
      <c r="AB19" s="264" t="s">
        <v>531</v>
      </c>
      <c r="AC19" s="264" t="s">
        <v>533</v>
      </c>
      <c r="AD19" s="266">
        <v>1.8322000000000001</v>
      </c>
      <c r="AE19" s="266">
        <v>193</v>
      </c>
      <c r="AF19" s="266">
        <v>0.1416</v>
      </c>
      <c r="AG19" s="266">
        <v>-99</v>
      </c>
      <c r="AH19" s="264" t="s">
        <v>224</v>
      </c>
      <c r="AI19" s="264" t="s">
        <v>449</v>
      </c>
      <c r="AJ19" s="264" t="s">
        <v>313</v>
      </c>
      <c r="AK19" s="264" t="s">
        <v>531</v>
      </c>
      <c r="AL19" s="264" t="s">
        <v>387</v>
      </c>
      <c r="AM19" s="266" t="b">
        <v>1</v>
      </c>
      <c r="AN19" s="266" t="b">
        <v>0</v>
      </c>
      <c r="AO19" s="264" t="s">
        <v>314</v>
      </c>
      <c r="AP19" s="264" t="s">
        <v>315</v>
      </c>
      <c r="AQ19" s="266">
        <v>114.22852</v>
      </c>
      <c r="AR19" s="266" t="b">
        <v>0</v>
      </c>
      <c r="AS19" s="264" t="s">
        <v>534</v>
      </c>
      <c r="AU19" s="222" t="s">
        <v>819</v>
      </c>
    </row>
    <row r="20" spans="1:47" s="219" customFormat="1" x14ac:dyDescent="0.25">
      <c r="A20" s="245">
        <f t="shared" si="7"/>
        <v>20</v>
      </c>
      <c r="B20" s="246" t="str">
        <f t="shared" si="0"/>
        <v>Oil Field - Compressor - Vapor Recovery</v>
      </c>
      <c r="C20" s="246" t="str">
        <f ca="1">IF(B20="","",VLOOKUP(D20,'Species Data'!B:E,4,FALSE))</f>
        <v>twomethex</v>
      </c>
      <c r="D20" s="246">
        <f t="shared" ca="1" si="2"/>
        <v>194</v>
      </c>
      <c r="E20" s="246">
        <f t="shared" ca="1" si="3"/>
        <v>0.26300000000000001</v>
      </c>
      <c r="F20" s="246" t="str">
        <f t="shared" ca="1" si="4"/>
        <v>2-methylhexane</v>
      </c>
      <c r="G20" s="246">
        <f t="shared" ca="1" si="5"/>
        <v>100.20194000000001</v>
      </c>
      <c r="H20" s="204">
        <f ca="1">IF(G20="","",IF(VLOOKUP(Compressor!F20,'Species Data'!D:F,3,FALSE)=0,"X",IF(G20&lt;44.1,2,1)))</f>
        <v>1</v>
      </c>
      <c r="I20" s="204">
        <f t="shared" ca="1" si="1"/>
        <v>0.26299289919172186</v>
      </c>
      <c r="J20" s="247">
        <f ca="1">IF(I20="","",IF(COUNTIF($D$12:D20,D20)=1,IF(H20=1,I20*H20,IF(H20="X","X",0)),0))</f>
        <v>0.26299289919172186</v>
      </c>
      <c r="K20" s="248">
        <f t="shared" ca="1" si="6"/>
        <v>0.66249688273805196</v>
      </c>
      <c r="L20" s="304" t="s">
        <v>648</v>
      </c>
      <c r="M20" s="264" t="s">
        <v>448</v>
      </c>
      <c r="N20" s="264" t="s">
        <v>470</v>
      </c>
      <c r="O20" s="265">
        <v>41419</v>
      </c>
      <c r="P20" s="264" t="s">
        <v>531</v>
      </c>
      <c r="Q20" s="266">
        <v>100</v>
      </c>
      <c r="R20" s="264" t="s">
        <v>445</v>
      </c>
      <c r="S20" s="264" t="s">
        <v>532</v>
      </c>
      <c r="T20" s="264" t="s">
        <v>445</v>
      </c>
      <c r="U20" s="264" t="s">
        <v>446</v>
      </c>
      <c r="V20" s="266" t="b">
        <v>1</v>
      </c>
      <c r="W20" s="266">
        <v>1989</v>
      </c>
      <c r="X20" s="266">
        <v>5</v>
      </c>
      <c r="Y20" s="266">
        <v>2</v>
      </c>
      <c r="Z20" s="266">
        <v>4</v>
      </c>
      <c r="AA20" s="264" t="s">
        <v>447</v>
      </c>
      <c r="AB20" s="264" t="s">
        <v>531</v>
      </c>
      <c r="AC20" s="264" t="s">
        <v>533</v>
      </c>
      <c r="AD20" s="266">
        <v>1.8322000000000001</v>
      </c>
      <c r="AE20" s="266">
        <v>194</v>
      </c>
      <c r="AF20" s="266">
        <v>0.26300000000000001</v>
      </c>
      <c r="AG20" s="266">
        <v>-99</v>
      </c>
      <c r="AH20" s="264" t="s">
        <v>224</v>
      </c>
      <c r="AI20" s="264" t="s">
        <v>449</v>
      </c>
      <c r="AJ20" s="264" t="s">
        <v>316</v>
      </c>
      <c r="AK20" s="264" t="s">
        <v>531</v>
      </c>
      <c r="AL20" s="264" t="s">
        <v>388</v>
      </c>
      <c r="AM20" s="266" t="b">
        <v>1</v>
      </c>
      <c r="AN20" s="266" t="b">
        <v>0</v>
      </c>
      <c r="AO20" s="264" t="s">
        <v>317</v>
      </c>
      <c r="AP20" s="264" t="s">
        <v>318</v>
      </c>
      <c r="AQ20" s="266">
        <v>100.20194000000001</v>
      </c>
      <c r="AR20" s="266" t="b">
        <v>0</v>
      </c>
      <c r="AS20" s="264" t="s">
        <v>534</v>
      </c>
      <c r="AU20" s="222" t="s">
        <v>819</v>
      </c>
    </row>
    <row r="21" spans="1:47" s="219" customFormat="1" x14ac:dyDescent="0.25">
      <c r="A21" s="245">
        <f t="shared" si="7"/>
        <v>21</v>
      </c>
      <c r="B21" s="246" t="str">
        <f t="shared" si="0"/>
        <v>Oil Field - Compressor - Vapor Recovery</v>
      </c>
      <c r="C21" s="246" t="str">
        <f ca="1">IF(B21="","",VLOOKUP(D21,'Species Data'!B:E,4,FALSE))</f>
        <v>twometpen</v>
      </c>
      <c r="D21" s="246">
        <f t="shared" ca="1" si="2"/>
        <v>199</v>
      </c>
      <c r="E21" s="246">
        <f t="shared" ca="1" si="3"/>
        <v>1.1492</v>
      </c>
      <c r="F21" s="246" t="str">
        <f t="shared" ca="1" si="4"/>
        <v>2-methylpentane (isohexane)</v>
      </c>
      <c r="G21" s="246">
        <f t="shared" ca="1" si="5"/>
        <v>86.175359999999998</v>
      </c>
      <c r="H21" s="204">
        <f ca="1">IF(G21="","",IF(VLOOKUP(Compressor!F21,'Species Data'!D:F,3,FALSE)=0,"X",IF(G21&lt;44.1,2,1)))</f>
        <v>1</v>
      </c>
      <c r="I21" s="204">
        <f t="shared" ca="1" si="1"/>
        <v>1.1491689724377441</v>
      </c>
      <c r="J21" s="247">
        <f ca="1">IF(I21="","",IF(COUNTIF($D$12:D21,D21)=1,IF(H21=1,I21*H21,IF(H21="X","X",0)),0))</f>
        <v>1.1491689724377441</v>
      </c>
      <c r="K21" s="248">
        <f t="shared" ca="1" si="6"/>
        <v>2.8948342876143314</v>
      </c>
      <c r="L21" s="304" t="s">
        <v>648</v>
      </c>
      <c r="M21" s="264" t="s">
        <v>448</v>
      </c>
      <c r="N21" s="264" t="s">
        <v>470</v>
      </c>
      <c r="O21" s="265">
        <v>41419</v>
      </c>
      <c r="P21" s="264" t="s">
        <v>531</v>
      </c>
      <c r="Q21" s="266">
        <v>100</v>
      </c>
      <c r="R21" s="264" t="s">
        <v>445</v>
      </c>
      <c r="S21" s="264" t="s">
        <v>532</v>
      </c>
      <c r="T21" s="264" t="s">
        <v>445</v>
      </c>
      <c r="U21" s="264" t="s">
        <v>446</v>
      </c>
      <c r="V21" s="266" t="b">
        <v>1</v>
      </c>
      <c r="W21" s="266">
        <v>1989</v>
      </c>
      <c r="X21" s="266">
        <v>5</v>
      </c>
      <c r="Y21" s="266">
        <v>2</v>
      </c>
      <c r="Z21" s="266">
        <v>4</v>
      </c>
      <c r="AA21" s="264" t="s">
        <v>447</v>
      </c>
      <c r="AB21" s="264" t="s">
        <v>531</v>
      </c>
      <c r="AC21" s="264" t="s">
        <v>533</v>
      </c>
      <c r="AD21" s="266">
        <v>1.8322000000000001</v>
      </c>
      <c r="AE21" s="266">
        <v>199</v>
      </c>
      <c r="AF21" s="266">
        <v>1.1492</v>
      </c>
      <c r="AG21" s="266">
        <v>-99</v>
      </c>
      <c r="AH21" s="264" t="s">
        <v>224</v>
      </c>
      <c r="AI21" s="264" t="s">
        <v>449</v>
      </c>
      <c r="AJ21" s="264" t="s">
        <v>319</v>
      </c>
      <c r="AK21" s="264" t="s">
        <v>531</v>
      </c>
      <c r="AL21" s="264" t="s">
        <v>389</v>
      </c>
      <c r="AM21" s="266" t="b">
        <v>1</v>
      </c>
      <c r="AN21" s="266" t="b">
        <v>0</v>
      </c>
      <c r="AO21" s="264" t="s">
        <v>320</v>
      </c>
      <c r="AP21" s="264" t="s">
        <v>321</v>
      </c>
      <c r="AQ21" s="266">
        <v>86.175359999999998</v>
      </c>
      <c r="AR21" s="266" t="b">
        <v>0</v>
      </c>
      <c r="AS21" s="264" t="s">
        <v>534</v>
      </c>
      <c r="AU21" s="222" t="s">
        <v>819</v>
      </c>
    </row>
    <row r="22" spans="1:47" s="219" customFormat="1" x14ac:dyDescent="0.25">
      <c r="A22" s="245">
        <f t="shared" si="7"/>
        <v>22</v>
      </c>
      <c r="B22" s="246" t="str">
        <f t="shared" si="0"/>
        <v>Oil Field - Compressor - Vapor Recovery</v>
      </c>
      <c r="C22" s="246" t="str">
        <f ca="1">IF(B22="","",VLOOKUP(D22,'Species Data'!B:E,4,FALSE))</f>
        <v>ethylhexane</v>
      </c>
      <c r="D22" s="246">
        <f t="shared" ca="1" si="2"/>
        <v>226</v>
      </c>
      <c r="E22" s="246">
        <f t="shared" ca="1" si="3"/>
        <v>8.2500000000000004E-2</v>
      </c>
      <c r="F22" s="246" t="str">
        <f t="shared" ca="1" si="4"/>
        <v>3-ethylhexane</v>
      </c>
      <c r="G22" s="246">
        <f t="shared" ca="1" si="5"/>
        <v>114.22852</v>
      </c>
      <c r="H22" s="204" t="str">
        <f ca="1">IF(G22="","",IF(VLOOKUP(Compressor!F22,'Species Data'!D:F,3,FALSE)=0,"X",IF(G22&lt;44.1,2,1)))</f>
        <v>X</v>
      </c>
      <c r="I22" s="204">
        <f t="shared" ca="1" si="1"/>
        <v>8.2497772560140875E-2</v>
      </c>
      <c r="J22" s="247" t="str">
        <f ca="1">IF(I22="","",IF(COUNTIF($D$12:D22,D22)=1,IF(H22=1,I22*H22,IF(H22="X","X",0)),0))</f>
        <v>X</v>
      </c>
      <c r="K22" s="248">
        <f t="shared" ca="1" si="6"/>
        <v>0</v>
      </c>
      <c r="L22" s="304" t="s">
        <v>648</v>
      </c>
      <c r="M22" s="264" t="s">
        <v>448</v>
      </c>
      <c r="N22" s="264" t="s">
        <v>470</v>
      </c>
      <c r="O22" s="265">
        <v>41419</v>
      </c>
      <c r="P22" s="264" t="s">
        <v>531</v>
      </c>
      <c r="Q22" s="266">
        <v>100</v>
      </c>
      <c r="R22" s="264" t="s">
        <v>445</v>
      </c>
      <c r="S22" s="264" t="s">
        <v>532</v>
      </c>
      <c r="T22" s="264" t="s">
        <v>445</v>
      </c>
      <c r="U22" s="264" t="s">
        <v>446</v>
      </c>
      <c r="V22" s="266" t="b">
        <v>1</v>
      </c>
      <c r="W22" s="266">
        <v>1989</v>
      </c>
      <c r="X22" s="266">
        <v>5</v>
      </c>
      <c r="Y22" s="266">
        <v>2</v>
      </c>
      <c r="Z22" s="266">
        <v>4</v>
      </c>
      <c r="AA22" s="264" t="s">
        <v>447</v>
      </c>
      <c r="AB22" s="264" t="s">
        <v>531</v>
      </c>
      <c r="AC22" s="264" t="s">
        <v>533</v>
      </c>
      <c r="AD22" s="266">
        <v>1.8322000000000001</v>
      </c>
      <c r="AE22" s="266">
        <v>226</v>
      </c>
      <c r="AF22" s="266">
        <v>8.2500000000000004E-2</v>
      </c>
      <c r="AG22" s="266">
        <v>-99</v>
      </c>
      <c r="AH22" s="264" t="s">
        <v>224</v>
      </c>
      <c r="AI22" s="264" t="s">
        <v>449</v>
      </c>
      <c r="AJ22" s="264" t="s">
        <v>439</v>
      </c>
      <c r="AK22" s="264" t="s">
        <v>531</v>
      </c>
      <c r="AL22" s="264" t="s">
        <v>461</v>
      </c>
      <c r="AM22" s="266" t="b">
        <v>0</v>
      </c>
      <c r="AN22" s="266" t="b">
        <v>0</v>
      </c>
      <c r="AO22" s="264" t="s">
        <v>440</v>
      </c>
      <c r="AP22" s="264" t="s">
        <v>531</v>
      </c>
      <c r="AQ22" s="266">
        <v>114.22852</v>
      </c>
      <c r="AR22" s="266" t="b">
        <v>0</v>
      </c>
      <c r="AS22" s="264" t="s">
        <v>534</v>
      </c>
      <c r="AU22" s="222" t="s">
        <v>819</v>
      </c>
    </row>
    <row r="23" spans="1:47" s="219" customFormat="1" x14ac:dyDescent="0.25">
      <c r="A23" s="245">
        <f t="shared" si="7"/>
        <v>23</v>
      </c>
      <c r="B23" s="246" t="str">
        <f t="shared" si="0"/>
        <v>Oil Field - Compressor - Vapor Recovery</v>
      </c>
      <c r="C23" s="246" t="str">
        <f ca="1">IF(B23="","",VLOOKUP(D23,'Species Data'!B:E,4,FALSE))</f>
        <v>threemethex</v>
      </c>
      <c r="D23" s="246">
        <f t="shared" ca="1" si="2"/>
        <v>245</v>
      </c>
      <c r="E23" s="246">
        <f t="shared" ca="1" si="3"/>
        <v>0.35730000000000001</v>
      </c>
      <c r="F23" s="246" t="str">
        <f t="shared" ca="1" si="4"/>
        <v>3-methylhexane</v>
      </c>
      <c r="G23" s="246">
        <f t="shared" ca="1" si="5"/>
        <v>100.20194000000001</v>
      </c>
      <c r="H23" s="204">
        <f ca="1">IF(G23="","",IF(VLOOKUP(Compressor!F23,'Species Data'!D:F,3,FALSE)=0,"X",IF(G23&lt;44.1,2,1)))</f>
        <v>1</v>
      </c>
      <c r="I23" s="204">
        <f t="shared" ca="1" si="1"/>
        <v>0.35729035316046465</v>
      </c>
      <c r="J23" s="247">
        <f ca="1">IF(I23="","",IF(COUNTIF($D$12:D23,D23)=1,IF(H23=1,I23*H23,IF(H23="X","X",0)),0))</f>
        <v>0.35729035316046465</v>
      </c>
      <c r="K23" s="248">
        <f t="shared" ca="1" si="6"/>
        <v>0.90003854069317835</v>
      </c>
      <c r="L23" s="304" t="s">
        <v>648</v>
      </c>
      <c r="M23" s="264" t="s">
        <v>448</v>
      </c>
      <c r="N23" s="264" t="s">
        <v>470</v>
      </c>
      <c r="O23" s="265">
        <v>41419</v>
      </c>
      <c r="P23" s="264" t="s">
        <v>531</v>
      </c>
      <c r="Q23" s="266">
        <v>100</v>
      </c>
      <c r="R23" s="264" t="s">
        <v>445</v>
      </c>
      <c r="S23" s="264" t="s">
        <v>532</v>
      </c>
      <c r="T23" s="264" t="s">
        <v>445</v>
      </c>
      <c r="U23" s="264" t="s">
        <v>446</v>
      </c>
      <c r="V23" s="266" t="b">
        <v>1</v>
      </c>
      <c r="W23" s="266">
        <v>1989</v>
      </c>
      <c r="X23" s="266">
        <v>5</v>
      </c>
      <c r="Y23" s="266">
        <v>2</v>
      </c>
      <c r="Z23" s="266">
        <v>4</v>
      </c>
      <c r="AA23" s="264" t="s">
        <v>447</v>
      </c>
      <c r="AB23" s="264" t="s">
        <v>531</v>
      </c>
      <c r="AC23" s="264" t="s">
        <v>533</v>
      </c>
      <c r="AD23" s="266">
        <v>1.8322000000000001</v>
      </c>
      <c r="AE23" s="266">
        <v>245</v>
      </c>
      <c r="AF23" s="266">
        <v>0.35730000000000001</v>
      </c>
      <c r="AG23" s="266">
        <v>-99</v>
      </c>
      <c r="AH23" s="264" t="s">
        <v>224</v>
      </c>
      <c r="AI23" s="264" t="s">
        <v>449</v>
      </c>
      <c r="AJ23" s="264" t="s">
        <v>325</v>
      </c>
      <c r="AK23" s="264" t="s">
        <v>531</v>
      </c>
      <c r="AL23" s="264" t="s">
        <v>390</v>
      </c>
      <c r="AM23" s="266" t="b">
        <v>1</v>
      </c>
      <c r="AN23" s="266" t="b">
        <v>0</v>
      </c>
      <c r="AO23" s="264" t="s">
        <v>326</v>
      </c>
      <c r="AP23" s="264" t="s">
        <v>327</v>
      </c>
      <c r="AQ23" s="266">
        <v>100.20194000000001</v>
      </c>
      <c r="AR23" s="266" t="b">
        <v>0</v>
      </c>
      <c r="AS23" s="264" t="s">
        <v>534</v>
      </c>
      <c r="AU23" s="222" t="s">
        <v>819</v>
      </c>
    </row>
    <row r="24" spans="1:47" s="219" customFormat="1" x14ac:dyDescent="0.25">
      <c r="A24" s="245">
        <f t="shared" si="7"/>
        <v>24</v>
      </c>
      <c r="B24" s="246" t="str">
        <f t="shared" si="0"/>
        <v>Oil Field - Compressor - Vapor Recovery</v>
      </c>
      <c r="C24" s="246" t="str">
        <f ca="1">IF(B24="","",VLOOKUP(D24,'Species Data'!B:E,4,FALSE))</f>
        <v>threemetpen</v>
      </c>
      <c r="D24" s="246">
        <f t="shared" ca="1" si="2"/>
        <v>248</v>
      </c>
      <c r="E24" s="246">
        <f t="shared" ca="1" si="3"/>
        <v>0.77949999999999997</v>
      </c>
      <c r="F24" s="246" t="str">
        <f t="shared" ca="1" si="4"/>
        <v>3-methylpentane</v>
      </c>
      <c r="G24" s="246">
        <f t="shared" ca="1" si="5"/>
        <v>86.175359999999998</v>
      </c>
      <c r="H24" s="204">
        <f ca="1">IF(G24="","",IF(VLOOKUP(Compressor!F24,'Species Data'!D:F,3,FALSE)=0,"X",IF(G24&lt;44.1,2,1)))</f>
        <v>1</v>
      </c>
      <c r="I24" s="204">
        <f t="shared" ca="1" si="1"/>
        <v>0.77947895406824008</v>
      </c>
      <c r="J24" s="247">
        <f ca="1">IF(I24="","",IF(COUNTIF($D$12:D24,D24)=1,IF(H24=1,I24*H24,IF(H24="X","X",0)),0))</f>
        <v>0.77947895406824008</v>
      </c>
      <c r="K24" s="248">
        <f t="shared" ca="1" si="6"/>
        <v>1.9635601524498529</v>
      </c>
      <c r="L24" s="304" t="s">
        <v>648</v>
      </c>
      <c r="M24" s="264" t="s">
        <v>448</v>
      </c>
      <c r="N24" s="264" t="s">
        <v>470</v>
      </c>
      <c r="O24" s="265">
        <v>41419</v>
      </c>
      <c r="P24" s="264" t="s">
        <v>531</v>
      </c>
      <c r="Q24" s="266">
        <v>100</v>
      </c>
      <c r="R24" s="264" t="s">
        <v>445</v>
      </c>
      <c r="S24" s="264" t="s">
        <v>532</v>
      </c>
      <c r="T24" s="264" t="s">
        <v>445</v>
      </c>
      <c r="U24" s="264" t="s">
        <v>446</v>
      </c>
      <c r="V24" s="266" t="b">
        <v>1</v>
      </c>
      <c r="W24" s="266">
        <v>1989</v>
      </c>
      <c r="X24" s="266">
        <v>5</v>
      </c>
      <c r="Y24" s="266">
        <v>2</v>
      </c>
      <c r="Z24" s="266">
        <v>4</v>
      </c>
      <c r="AA24" s="264" t="s">
        <v>447</v>
      </c>
      <c r="AB24" s="264" t="s">
        <v>531</v>
      </c>
      <c r="AC24" s="264" t="s">
        <v>533</v>
      </c>
      <c r="AD24" s="266">
        <v>1.8322000000000001</v>
      </c>
      <c r="AE24" s="266">
        <v>248</v>
      </c>
      <c r="AF24" s="266">
        <v>0.77949999999999997</v>
      </c>
      <c r="AG24" s="266">
        <v>-99</v>
      </c>
      <c r="AH24" s="264" t="s">
        <v>224</v>
      </c>
      <c r="AI24" s="264" t="s">
        <v>449</v>
      </c>
      <c r="AJ24" s="264" t="s">
        <v>328</v>
      </c>
      <c r="AK24" s="264" t="s">
        <v>531</v>
      </c>
      <c r="AL24" s="264" t="s">
        <v>391</v>
      </c>
      <c r="AM24" s="266" t="b">
        <v>1</v>
      </c>
      <c r="AN24" s="266" t="b">
        <v>0</v>
      </c>
      <c r="AO24" s="264" t="s">
        <v>329</v>
      </c>
      <c r="AP24" s="264" t="s">
        <v>330</v>
      </c>
      <c r="AQ24" s="266">
        <v>86.175359999999998</v>
      </c>
      <c r="AR24" s="266" t="b">
        <v>0</v>
      </c>
      <c r="AS24" s="264" t="s">
        <v>534</v>
      </c>
      <c r="AU24" s="222" t="s">
        <v>819</v>
      </c>
    </row>
    <row r="25" spans="1:47" s="219" customFormat="1" ht="15" customHeight="1" x14ac:dyDescent="0.25">
      <c r="A25" s="245">
        <f t="shared" si="7"/>
        <v>25</v>
      </c>
      <c r="B25" s="246" t="str">
        <f t="shared" si="0"/>
        <v>Oil Field - Compressor - Vapor Recovery</v>
      </c>
      <c r="C25" s="246" t="str">
        <f ca="1">IF(B25="","",VLOOKUP(D25,'Species Data'!B:E,4,FALSE))</f>
        <v>benzene</v>
      </c>
      <c r="D25" s="246">
        <f t="shared" ca="1" si="2"/>
        <v>302</v>
      </c>
      <c r="E25" s="246">
        <f t="shared" ca="1" si="3"/>
        <v>9.1200000000000003E-2</v>
      </c>
      <c r="F25" s="246" t="str">
        <f t="shared" ca="1" si="4"/>
        <v>Benzene</v>
      </c>
      <c r="G25" s="246">
        <f t="shared" ca="1" si="5"/>
        <v>78.111840000000001</v>
      </c>
      <c r="H25" s="204">
        <f ca="1">IF(G25="","",IF(VLOOKUP(Compressor!F25,'Species Data'!D:F,3,FALSE)=0,"X",IF(G25&lt;44.1,2,1)))</f>
        <v>1</v>
      </c>
      <c r="I25" s="204">
        <f t="shared" ca="1" si="1"/>
        <v>9.1197537666483003E-2</v>
      </c>
      <c r="J25" s="247">
        <f ca="1">IF(I25="","",IF(COUNTIF($D$12:D25,D25)=1,IF(H25=1,I25*H25,IF(H25="X","X",0)),0))</f>
        <v>9.1197537666483003E-2</v>
      </c>
      <c r="K25" s="248">
        <f t="shared" ca="1" si="6"/>
        <v>0.22973275933730161</v>
      </c>
      <c r="L25" s="304" t="s">
        <v>648</v>
      </c>
      <c r="M25" s="264" t="s">
        <v>448</v>
      </c>
      <c r="N25" s="264" t="s">
        <v>470</v>
      </c>
      <c r="O25" s="265">
        <v>41419</v>
      </c>
      <c r="P25" s="264" t="s">
        <v>531</v>
      </c>
      <c r="Q25" s="266">
        <v>100</v>
      </c>
      <c r="R25" s="264" t="s">
        <v>445</v>
      </c>
      <c r="S25" s="264" t="s">
        <v>532</v>
      </c>
      <c r="T25" s="264" t="s">
        <v>445</v>
      </c>
      <c r="U25" s="264" t="s">
        <v>446</v>
      </c>
      <c r="V25" s="266" t="b">
        <v>1</v>
      </c>
      <c r="W25" s="266">
        <v>1989</v>
      </c>
      <c r="X25" s="266">
        <v>5</v>
      </c>
      <c r="Y25" s="266">
        <v>2</v>
      </c>
      <c r="Z25" s="266">
        <v>4</v>
      </c>
      <c r="AA25" s="264" t="s">
        <v>447</v>
      </c>
      <c r="AB25" s="264" t="s">
        <v>531</v>
      </c>
      <c r="AC25" s="264" t="s">
        <v>533</v>
      </c>
      <c r="AD25" s="266">
        <v>1.8322000000000001</v>
      </c>
      <c r="AE25" s="266">
        <v>302</v>
      </c>
      <c r="AF25" s="266">
        <v>9.1200000000000003E-2</v>
      </c>
      <c r="AG25" s="266">
        <v>-99</v>
      </c>
      <c r="AH25" s="264" t="s">
        <v>224</v>
      </c>
      <c r="AI25" s="264" t="s">
        <v>449</v>
      </c>
      <c r="AJ25" s="264" t="s">
        <v>262</v>
      </c>
      <c r="AK25" s="264" t="s">
        <v>531</v>
      </c>
      <c r="AL25" s="264" t="s">
        <v>373</v>
      </c>
      <c r="AM25" s="266" t="b">
        <v>1</v>
      </c>
      <c r="AN25" s="266" t="b">
        <v>1</v>
      </c>
      <c r="AO25" s="264" t="s">
        <v>263</v>
      </c>
      <c r="AP25" s="264" t="s">
        <v>264</v>
      </c>
      <c r="AQ25" s="266">
        <v>78.111840000000001</v>
      </c>
      <c r="AR25" s="266" t="b">
        <v>0</v>
      </c>
      <c r="AS25" s="264" t="s">
        <v>534</v>
      </c>
      <c r="AU25" s="222" t="s">
        <v>819</v>
      </c>
    </row>
    <row r="26" spans="1:47" s="219" customFormat="1" x14ac:dyDescent="0.25">
      <c r="A26" s="245">
        <f t="shared" si="7"/>
        <v>26</v>
      </c>
      <c r="B26" s="246" t="str">
        <f t="shared" si="0"/>
        <v>Oil Field - Compressor - Vapor Recovery</v>
      </c>
      <c r="C26" s="246" t="str">
        <f ca="1">IF(B26="","",VLOOKUP(D26,'Species Data'!B:E,4,FALSE))</f>
        <v>cyclohexane</v>
      </c>
      <c r="D26" s="246">
        <f t="shared" ca="1" si="2"/>
        <v>385</v>
      </c>
      <c r="E26" s="246">
        <f t="shared" ca="1" si="3"/>
        <v>3.0700000000000002E-2</v>
      </c>
      <c r="F26" s="246" t="str">
        <f t="shared" ca="1" si="4"/>
        <v>Cyclohexane</v>
      </c>
      <c r="G26" s="246">
        <f t="shared" ca="1" si="5"/>
        <v>84.159480000000002</v>
      </c>
      <c r="H26" s="204">
        <f ca="1">IF(G26="","",IF(VLOOKUP(Compressor!F26,'Species Data'!D:F,3,FALSE)=0,"X",IF(G26&lt;44.1,2,1)))</f>
        <v>1</v>
      </c>
      <c r="I26" s="204">
        <f t="shared" ca="1" si="1"/>
        <v>3.0699171122379697E-2</v>
      </c>
      <c r="J26" s="247">
        <f ca="1">IF(I26="","",IF(COUNTIF($D$12:D26,D26)=1,IF(H26=1,I26*H26,IF(H26="X","X",0)),0))</f>
        <v>3.0699171122379697E-2</v>
      </c>
      <c r="K26" s="248">
        <f t="shared" ca="1" si="6"/>
        <v>7.7333286312008337E-2</v>
      </c>
      <c r="L26" s="304" t="s">
        <v>648</v>
      </c>
      <c r="M26" s="264" t="s">
        <v>448</v>
      </c>
      <c r="N26" s="264" t="s">
        <v>470</v>
      </c>
      <c r="O26" s="265">
        <v>41419</v>
      </c>
      <c r="P26" s="264" t="s">
        <v>531</v>
      </c>
      <c r="Q26" s="266">
        <v>100</v>
      </c>
      <c r="R26" s="264" t="s">
        <v>445</v>
      </c>
      <c r="S26" s="264" t="s">
        <v>532</v>
      </c>
      <c r="T26" s="264" t="s">
        <v>445</v>
      </c>
      <c r="U26" s="264" t="s">
        <v>446</v>
      </c>
      <c r="V26" s="266" t="b">
        <v>1</v>
      </c>
      <c r="W26" s="266">
        <v>1989</v>
      </c>
      <c r="X26" s="266">
        <v>5</v>
      </c>
      <c r="Y26" s="266">
        <v>2</v>
      </c>
      <c r="Z26" s="266">
        <v>4</v>
      </c>
      <c r="AA26" s="264" t="s">
        <v>447</v>
      </c>
      <c r="AB26" s="264" t="s">
        <v>531</v>
      </c>
      <c r="AC26" s="264" t="s">
        <v>533</v>
      </c>
      <c r="AD26" s="266">
        <v>1.8322000000000001</v>
      </c>
      <c r="AE26" s="266">
        <v>385</v>
      </c>
      <c r="AF26" s="266">
        <v>3.0700000000000002E-2</v>
      </c>
      <c r="AG26" s="266">
        <v>-99</v>
      </c>
      <c r="AH26" s="264" t="s">
        <v>224</v>
      </c>
      <c r="AI26" s="264" t="s">
        <v>449</v>
      </c>
      <c r="AJ26" s="264" t="s">
        <v>331</v>
      </c>
      <c r="AK26" s="264" t="s">
        <v>531</v>
      </c>
      <c r="AL26" s="264" t="s">
        <v>392</v>
      </c>
      <c r="AM26" s="266" t="b">
        <v>1</v>
      </c>
      <c r="AN26" s="266" t="b">
        <v>0</v>
      </c>
      <c r="AO26" s="264" t="s">
        <v>332</v>
      </c>
      <c r="AP26" s="264" t="s">
        <v>333</v>
      </c>
      <c r="AQ26" s="266">
        <v>84.159480000000002</v>
      </c>
      <c r="AR26" s="266" t="b">
        <v>0</v>
      </c>
      <c r="AS26" s="264" t="s">
        <v>534</v>
      </c>
      <c r="AU26" s="222" t="s">
        <v>819</v>
      </c>
    </row>
    <row r="27" spans="1:47" s="219" customFormat="1" x14ac:dyDescent="0.25">
      <c r="A27" s="245">
        <f t="shared" si="7"/>
        <v>27</v>
      </c>
      <c r="B27" s="246" t="str">
        <f t="shared" si="0"/>
        <v>Oil Field - Compressor - Vapor Recovery</v>
      </c>
      <c r="C27" s="246" t="str">
        <f ca="1">IF(B27="","",VLOOKUP(D27,'Species Data'!B:E,4,FALSE))</f>
        <v>cyclopentane</v>
      </c>
      <c r="D27" s="246">
        <f t="shared" ca="1" si="2"/>
        <v>390</v>
      </c>
      <c r="E27" s="246">
        <f t="shared" ca="1" si="3"/>
        <v>0.47399999999999998</v>
      </c>
      <c r="F27" s="246" t="str">
        <f t="shared" ca="1" si="4"/>
        <v>Cyclopentane</v>
      </c>
      <c r="G27" s="246">
        <f t="shared" ca="1" si="5"/>
        <v>70.132900000000006</v>
      </c>
      <c r="H27" s="204">
        <f ca="1">IF(G27="","",IF(VLOOKUP(Compressor!F27,'Species Data'!D:F,3,FALSE)=0,"X",IF(G27&lt;44.1,2,1)))</f>
        <v>1</v>
      </c>
      <c r="I27" s="204">
        <f t="shared" ca="1" si="1"/>
        <v>0.47398720234553665</v>
      </c>
      <c r="J27" s="247">
        <f ca="1">IF(I27="","",IF(COUNTIF($D$12:D27,D27)=1,IF(H27=1,I27*H27,IF(H27="X","X",0)),0))</f>
        <v>0.47398720234553665</v>
      </c>
      <c r="K27" s="248">
        <f t="shared" ca="1" si="6"/>
        <v>1.1940057886609754</v>
      </c>
      <c r="L27" s="304" t="s">
        <v>648</v>
      </c>
      <c r="M27" s="264" t="s">
        <v>448</v>
      </c>
      <c r="N27" s="264" t="s">
        <v>470</v>
      </c>
      <c r="O27" s="265">
        <v>41419</v>
      </c>
      <c r="P27" s="264" t="s">
        <v>531</v>
      </c>
      <c r="Q27" s="266">
        <v>100</v>
      </c>
      <c r="R27" s="264" t="s">
        <v>445</v>
      </c>
      <c r="S27" s="264" t="s">
        <v>532</v>
      </c>
      <c r="T27" s="264" t="s">
        <v>445</v>
      </c>
      <c r="U27" s="264" t="s">
        <v>446</v>
      </c>
      <c r="V27" s="266" t="b">
        <v>1</v>
      </c>
      <c r="W27" s="266">
        <v>1989</v>
      </c>
      <c r="X27" s="266">
        <v>5</v>
      </c>
      <c r="Y27" s="266">
        <v>2</v>
      </c>
      <c r="Z27" s="266">
        <v>4</v>
      </c>
      <c r="AA27" s="264" t="s">
        <v>447</v>
      </c>
      <c r="AB27" s="264" t="s">
        <v>531</v>
      </c>
      <c r="AC27" s="264" t="s">
        <v>533</v>
      </c>
      <c r="AD27" s="266">
        <v>1.8322000000000001</v>
      </c>
      <c r="AE27" s="266">
        <v>390</v>
      </c>
      <c r="AF27" s="266">
        <v>0.47399999999999998</v>
      </c>
      <c r="AG27" s="266">
        <v>-99</v>
      </c>
      <c r="AH27" s="264" t="s">
        <v>224</v>
      </c>
      <c r="AI27" s="264" t="s">
        <v>449</v>
      </c>
      <c r="AJ27" s="264" t="s">
        <v>334</v>
      </c>
      <c r="AK27" s="264" t="s">
        <v>531</v>
      </c>
      <c r="AL27" s="264" t="s">
        <v>393</v>
      </c>
      <c r="AM27" s="266" t="b">
        <v>1</v>
      </c>
      <c r="AN27" s="266" t="b">
        <v>0</v>
      </c>
      <c r="AO27" s="264" t="s">
        <v>335</v>
      </c>
      <c r="AP27" s="264" t="s">
        <v>336</v>
      </c>
      <c r="AQ27" s="266">
        <v>70.132900000000006</v>
      </c>
      <c r="AR27" s="266" t="b">
        <v>0</v>
      </c>
      <c r="AS27" s="264" t="s">
        <v>534</v>
      </c>
      <c r="AU27" s="222" t="s">
        <v>819</v>
      </c>
    </row>
    <row r="28" spans="1:47" s="219" customFormat="1" x14ac:dyDescent="0.25">
      <c r="A28" s="245">
        <f t="shared" si="7"/>
        <v>28</v>
      </c>
      <c r="B28" s="246" t="str">
        <f t="shared" si="0"/>
        <v>Oil Field - Compressor - Vapor Recovery</v>
      </c>
      <c r="C28" s="246" t="str">
        <f ca="1">IF(B28="","",VLOOKUP(D28,'Species Data'!B:E,4,FALSE))</f>
        <v>ethane</v>
      </c>
      <c r="D28" s="246">
        <f t="shared" ca="1" si="2"/>
        <v>438</v>
      </c>
      <c r="E28" s="246">
        <f t="shared" ca="1" si="3"/>
        <v>7.68</v>
      </c>
      <c r="F28" s="246" t="str">
        <f t="shared" ca="1" si="4"/>
        <v>Ethane</v>
      </c>
      <c r="G28" s="246">
        <f t="shared" ca="1" si="5"/>
        <v>30.069040000000005</v>
      </c>
      <c r="H28" s="204">
        <f ca="1">IF(G28="","",IF(VLOOKUP(Compressor!F28,'Species Data'!D:F,3,FALSE)=0,"X",IF(G28&lt;44.1,2,1)))</f>
        <v>2</v>
      </c>
      <c r="I28" s="204">
        <f t="shared" ca="1" si="1"/>
        <v>7.6797926455985683</v>
      </c>
      <c r="J28" s="247">
        <f ca="1">IF(I28="","",IF(COUNTIF($D$12:D28,D28)=1,IF(H28=1,I28*H28,IF(H28="X","X",0)),0))</f>
        <v>0</v>
      </c>
      <c r="K28" s="248">
        <f t="shared" ca="1" si="6"/>
        <v>0</v>
      </c>
      <c r="L28" s="304" t="s">
        <v>648</v>
      </c>
      <c r="M28" s="264" t="s">
        <v>448</v>
      </c>
      <c r="N28" s="264" t="s">
        <v>470</v>
      </c>
      <c r="O28" s="265">
        <v>41419</v>
      </c>
      <c r="P28" s="264" t="s">
        <v>531</v>
      </c>
      <c r="Q28" s="266">
        <v>100</v>
      </c>
      <c r="R28" s="264" t="s">
        <v>445</v>
      </c>
      <c r="S28" s="264" t="s">
        <v>532</v>
      </c>
      <c r="T28" s="264" t="s">
        <v>445</v>
      </c>
      <c r="U28" s="264" t="s">
        <v>446</v>
      </c>
      <c r="V28" s="266" t="b">
        <v>1</v>
      </c>
      <c r="W28" s="266">
        <v>1989</v>
      </c>
      <c r="X28" s="266">
        <v>5</v>
      </c>
      <c r="Y28" s="266">
        <v>2</v>
      </c>
      <c r="Z28" s="266">
        <v>4</v>
      </c>
      <c r="AA28" s="264" t="s">
        <v>447</v>
      </c>
      <c r="AB28" s="264" t="s">
        <v>531</v>
      </c>
      <c r="AC28" s="264" t="s">
        <v>533</v>
      </c>
      <c r="AD28" s="266">
        <v>1.8322000000000001</v>
      </c>
      <c r="AE28" s="266">
        <v>438</v>
      </c>
      <c r="AF28" s="266">
        <v>7.68</v>
      </c>
      <c r="AG28" s="266">
        <v>-99</v>
      </c>
      <c r="AH28" s="264" t="s">
        <v>224</v>
      </c>
      <c r="AI28" s="264" t="s">
        <v>449</v>
      </c>
      <c r="AJ28" s="264" t="s">
        <v>265</v>
      </c>
      <c r="AK28" s="264" t="s">
        <v>531</v>
      </c>
      <c r="AL28" s="264" t="s">
        <v>374</v>
      </c>
      <c r="AM28" s="266" t="b">
        <v>1</v>
      </c>
      <c r="AN28" s="266" t="b">
        <v>0</v>
      </c>
      <c r="AO28" s="264" t="s">
        <v>266</v>
      </c>
      <c r="AP28" s="264" t="s">
        <v>267</v>
      </c>
      <c r="AQ28" s="266">
        <v>30.069040000000005</v>
      </c>
      <c r="AR28" s="266" t="b">
        <v>1</v>
      </c>
      <c r="AS28" s="264" t="s">
        <v>534</v>
      </c>
      <c r="AU28" s="222" t="s">
        <v>819</v>
      </c>
    </row>
    <row r="29" spans="1:47" s="219" customFormat="1" ht="15" customHeight="1" x14ac:dyDescent="0.25">
      <c r="A29" s="245">
        <f t="shared" si="7"/>
        <v>29</v>
      </c>
      <c r="B29" s="246" t="str">
        <f t="shared" si="0"/>
        <v>Oil Field - Compressor - Vapor Recovery</v>
      </c>
      <c r="C29" s="246" t="str">
        <f ca="1">IF(B29="","",VLOOKUP(D29,'Species Data'!B:E,4,FALSE))</f>
        <v>ethyl_benz</v>
      </c>
      <c r="D29" s="246">
        <f t="shared" ca="1" si="2"/>
        <v>449</v>
      </c>
      <c r="E29" s="246">
        <f t="shared" ca="1" si="3"/>
        <v>0.12189999999999999</v>
      </c>
      <c r="F29" s="246" t="str">
        <f t="shared" ca="1" si="4"/>
        <v>Ethylbenzene</v>
      </c>
      <c r="G29" s="246">
        <f t="shared" ca="1" si="5"/>
        <v>106.16500000000001</v>
      </c>
      <c r="H29" s="204">
        <f ca="1">IF(G29="","",IF(VLOOKUP(Compressor!F29,'Species Data'!D:F,3,FALSE)=0,"X",IF(G29&lt;44.1,2,1)))</f>
        <v>1</v>
      </c>
      <c r="I29" s="204">
        <f t="shared" ca="1" si="1"/>
        <v>0.12189670878886269</v>
      </c>
      <c r="J29" s="247">
        <f ca="1">IF(I29="","",IF(COUNTIF($D$12:D29,D29)=1,IF(H29=1,I29*H29,IF(H29="X","X",0)),0))</f>
        <v>0.12189670878886269</v>
      </c>
      <c r="K29" s="248">
        <f t="shared" ca="1" si="6"/>
        <v>0.30706604564930989</v>
      </c>
      <c r="L29" s="304" t="s">
        <v>648</v>
      </c>
      <c r="M29" s="264" t="s">
        <v>448</v>
      </c>
      <c r="N29" s="264" t="s">
        <v>470</v>
      </c>
      <c r="O29" s="265">
        <v>41419</v>
      </c>
      <c r="P29" s="264" t="s">
        <v>531</v>
      </c>
      <c r="Q29" s="266">
        <v>100</v>
      </c>
      <c r="R29" s="264" t="s">
        <v>445</v>
      </c>
      <c r="S29" s="264" t="s">
        <v>532</v>
      </c>
      <c r="T29" s="264" t="s">
        <v>445</v>
      </c>
      <c r="U29" s="264" t="s">
        <v>446</v>
      </c>
      <c r="V29" s="266" t="b">
        <v>1</v>
      </c>
      <c r="W29" s="266">
        <v>1989</v>
      </c>
      <c r="X29" s="266">
        <v>5</v>
      </c>
      <c r="Y29" s="266">
        <v>2</v>
      </c>
      <c r="Z29" s="266">
        <v>4</v>
      </c>
      <c r="AA29" s="264" t="s">
        <v>447</v>
      </c>
      <c r="AB29" s="264" t="s">
        <v>531</v>
      </c>
      <c r="AC29" s="264" t="s">
        <v>533</v>
      </c>
      <c r="AD29" s="266">
        <v>1.8322000000000001</v>
      </c>
      <c r="AE29" s="266">
        <v>449</v>
      </c>
      <c r="AF29" s="266">
        <v>0.12189999999999999</v>
      </c>
      <c r="AG29" s="266">
        <v>-99</v>
      </c>
      <c r="AH29" s="264" t="s">
        <v>224</v>
      </c>
      <c r="AI29" s="264" t="s">
        <v>449</v>
      </c>
      <c r="AJ29" s="264" t="s">
        <v>337</v>
      </c>
      <c r="AK29" s="264" t="s">
        <v>531</v>
      </c>
      <c r="AL29" s="264" t="s">
        <v>394</v>
      </c>
      <c r="AM29" s="266" t="b">
        <v>1</v>
      </c>
      <c r="AN29" s="266" t="b">
        <v>1</v>
      </c>
      <c r="AO29" s="264" t="s">
        <v>338</v>
      </c>
      <c r="AP29" s="264" t="s">
        <v>339</v>
      </c>
      <c r="AQ29" s="266">
        <v>106.16500000000001</v>
      </c>
      <c r="AR29" s="266" t="b">
        <v>0</v>
      </c>
      <c r="AS29" s="264" t="s">
        <v>534</v>
      </c>
      <c r="AU29" s="222" t="s">
        <v>819</v>
      </c>
    </row>
    <row r="30" spans="1:47" s="219" customFormat="1" ht="15" customHeight="1" x14ac:dyDescent="0.25">
      <c r="A30" s="245">
        <f t="shared" si="7"/>
        <v>30</v>
      </c>
      <c r="B30" s="246" t="str">
        <f t="shared" si="0"/>
        <v>Oil Field - Compressor - Vapor Recovery</v>
      </c>
      <c r="C30" s="246" t="str">
        <f ca="1">IF(B30="","",VLOOKUP(D30,'Species Data'!B:E,4,FALSE))</f>
        <v>isobut</v>
      </c>
      <c r="D30" s="246">
        <f t="shared" ca="1" si="2"/>
        <v>491</v>
      </c>
      <c r="E30" s="246">
        <f t="shared" ca="1" si="3"/>
        <v>3.3993000000000002</v>
      </c>
      <c r="F30" s="246" t="str">
        <f t="shared" ca="1" si="4"/>
        <v>Isobutane</v>
      </c>
      <c r="G30" s="246">
        <f t="shared" ca="1" si="5"/>
        <v>58.122199999999992</v>
      </c>
      <c r="H30" s="204">
        <f ca="1">IF(G30="","",IF(VLOOKUP(Compressor!F30,'Species Data'!D:F,3,FALSE)=0,"X",IF(G30&lt;44.1,2,1)))</f>
        <v>1</v>
      </c>
      <c r="I30" s="204">
        <f t="shared" ca="1" si="1"/>
        <v>3.3992082213780228</v>
      </c>
      <c r="J30" s="247">
        <f ca="1">IF(I30="","",IF(COUNTIF($D$12:D30,D30)=1,IF(H30=1,I30*H30,IF(H30="X","X",0)),0))</f>
        <v>3.3992082213780228</v>
      </c>
      <c r="K30" s="248">
        <f t="shared" ca="1" si="6"/>
        <v>8.5628351843781729</v>
      </c>
      <c r="L30" s="304" t="s">
        <v>648</v>
      </c>
      <c r="M30" s="264" t="s">
        <v>448</v>
      </c>
      <c r="N30" s="264" t="s">
        <v>470</v>
      </c>
      <c r="O30" s="265">
        <v>41419</v>
      </c>
      <c r="P30" s="264" t="s">
        <v>531</v>
      </c>
      <c r="Q30" s="266">
        <v>100</v>
      </c>
      <c r="R30" s="264" t="s">
        <v>445</v>
      </c>
      <c r="S30" s="264" t="s">
        <v>532</v>
      </c>
      <c r="T30" s="264" t="s">
        <v>445</v>
      </c>
      <c r="U30" s="264" t="s">
        <v>446</v>
      </c>
      <c r="V30" s="266" t="b">
        <v>1</v>
      </c>
      <c r="W30" s="266">
        <v>1989</v>
      </c>
      <c r="X30" s="266">
        <v>5</v>
      </c>
      <c r="Y30" s="266">
        <v>2</v>
      </c>
      <c r="Z30" s="266">
        <v>4</v>
      </c>
      <c r="AA30" s="264" t="s">
        <v>447</v>
      </c>
      <c r="AB30" s="264" t="s">
        <v>531</v>
      </c>
      <c r="AC30" s="264" t="s">
        <v>533</v>
      </c>
      <c r="AD30" s="266">
        <v>1.8322000000000001</v>
      </c>
      <c r="AE30" s="266">
        <v>491</v>
      </c>
      <c r="AF30" s="266">
        <v>3.3993000000000002</v>
      </c>
      <c r="AG30" s="266">
        <v>-99</v>
      </c>
      <c r="AH30" s="264" t="s">
        <v>224</v>
      </c>
      <c r="AI30" s="264" t="s">
        <v>449</v>
      </c>
      <c r="AJ30" s="264" t="s">
        <v>268</v>
      </c>
      <c r="AK30" s="264" t="s">
        <v>531</v>
      </c>
      <c r="AL30" s="264" t="s">
        <v>375</v>
      </c>
      <c r="AM30" s="266" t="b">
        <v>1</v>
      </c>
      <c r="AN30" s="266" t="b">
        <v>0</v>
      </c>
      <c r="AO30" s="264" t="s">
        <v>269</v>
      </c>
      <c r="AP30" s="264" t="s">
        <v>270</v>
      </c>
      <c r="AQ30" s="266">
        <v>58.122199999999992</v>
      </c>
      <c r="AR30" s="266" t="b">
        <v>0</v>
      </c>
      <c r="AS30" s="264" t="s">
        <v>534</v>
      </c>
      <c r="AU30" s="222" t="s">
        <v>819</v>
      </c>
    </row>
    <row r="31" spans="1:47" s="219" customFormat="1" ht="15" customHeight="1" x14ac:dyDescent="0.25">
      <c r="A31" s="245">
        <f t="shared" si="7"/>
        <v>31</v>
      </c>
      <c r="B31" s="246" t="str">
        <f t="shared" si="0"/>
        <v>Oil Field - Compressor - Vapor Recovery</v>
      </c>
      <c r="C31" s="246" t="str">
        <f ca="1">IF(B31="","",VLOOKUP(D31,'Species Data'!B:E,4,FALSE))</f>
        <v>i_but</v>
      </c>
      <c r="D31" s="246">
        <f t="shared" ca="1" si="2"/>
        <v>499</v>
      </c>
      <c r="E31" s="246">
        <f t="shared" ca="1" si="3"/>
        <v>7.1999999999999998E-3</v>
      </c>
      <c r="F31" s="246" t="str">
        <f t="shared" ca="1" si="4"/>
        <v>Isomers of butylbenzene</v>
      </c>
      <c r="G31" s="246">
        <f t="shared" ca="1" si="5"/>
        <v>134.21816000000001</v>
      </c>
      <c r="H31" s="204">
        <f ca="1">IF(G31="","",IF(VLOOKUP(Compressor!F31,'Species Data'!D:F,3,FALSE)=0,"X",IF(G31&lt;44.1,2,1)))</f>
        <v>1</v>
      </c>
      <c r="I31" s="204">
        <f t="shared" ca="1" si="1"/>
        <v>7.1998056052486577E-3</v>
      </c>
      <c r="J31" s="247">
        <f ca="1">IF(I31="","",IF(COUNTIF($D$12:D31,D31)=1,IF(H31=1,I31*H31,IF(H31="X","X",0)),0))</f>
        <v>7.1998056052486577E-3</v>
      </c>
      <c r="K31" s="248">
        <f t="shared" ca="1" si="6"/>
        <v>1.8136796789786969E-2</v>
      </c>
      <c r="L31" s="304" t="s">
        <v>648</v>
      </c>
      <c r="M31" s="264" t="s">
        <v>448</v>
      </c>
      <c r="N31" s="264" t="s">
        <v>470</v>
      </c>
      <c r="O31" s="265">
        <v>41419</v>
      </c>
      <c r="P31" s="264" t="s">
        <v>531</v>
      </c>
      <c r="Q31" s="266">
        <v>100</v>
      </c>
      <c r="R31" s="264" t="s">
        <v>445</v>
      </c>
      <c r="S31" s="264" t="s">
        <v>532</v>
      </c>
      <c r="T31" s="264" t="s">
        <v>445</v>
      </c>
      <c r="U31" s="264" t="s">
        <v>446</v>
      </c>
      <c r="V31" s="266" t="b">
        <v>1</v>
      </c>
      <c r="W31" s="266">
        <v>1989</v>
      </c>
      <c r="X31" s="266">
        <v>5</v>
      </c>
      <c r="Y31" s="266">
        <v>2</v>
      </c>
      <c r="Z31" s="266">
        <v>4</v>
      </c>
      <c r="AA31" s="264" t="s">
        <v>447</v>
      </c>
      <c r="AB31" s="264" t="s">
        <v>531</v>
      </c>
      <c r="AC31" s="264" t="s">
        <v>533</v>
      </c>
      <c r="AD31" s="266">
        <v>1.8322000000000001</v>
      </c>
      <c r="AE31" s="266">
        <v>499</v>
      </c>
      <c r="AF31" s="266">
        <v>7.1999999999999998E-3</v>
      </c>
      <c r="AG31" s="266">
        <v>-99</v>
      </c>
      <c r="AH31" s="264" t="s">
        <v>224</v>
      </c>
      <c r="AI31" s="264" t="s">
        <v>449</v>
      </c>
      <c r="AJ31" s="264" t="s">
        <v>531</v>
      </c>
      <c r="AK31" s="264" t="s">
        <v>642</v>
      </c>
      <c r="AL31" s="264" t="s">
        <v>643</v>
      </c>
      <c r="AM31" s="266" t="b">
        <v>0</v>
      </c>
      <c r="AN31" s="266" t="b">
        <v>0</v>
      </c>
      <c r="AO31" s="264" t="s">
        <v>644</v>
      </c>
      <c r="AP31" s="264" t="s">
        <v>531</v>
      </c>
      <c r="AQ31" s="266">
        <v>134.21816000000001</v>
      </c>
      <c r="AR31" s="266" t="b">
        <v>0</v>
      </c>
      <c r="AS31" s="264" t="s">
        <v>534</v>
      </c>
      <c r="AU31" s="222" t="s">
        <v>819</v>
      </c>
    </row>
    <row r="32" spans="1:47" s="219" customFormat="1" ht="15" customHeight="1" x14ac:dyDescent="0.25">
      <c r="A32" s="245">
        <f t="shared" si="7"/>
        <v>32</v>
      </c>
      <c r="B32" s="246" t="str">
        <f t="shared" si="0"/>
        <v>Oil Field - Compressor - Vapor Recovery</v>
      </c>
      <c r="C32" s="246" t="str">
        <f ca="1">IF(B32="","",VLOOKUP(D32,'Species Data'!B:E,4,FALSE))</f>
        <v>isopentane</v>
      </c>
      <c r="D32" s="246">
        <f t="shared" ca="1" si="2"/>
        <v>508</v>
      </c>
      <c r="E32" s="246">
        <f t="shared" ca="1" si="3"/>
        <v>1.5246</v>
      </c>
      <c r="F32" s="246" t="str">
        <f t="shared" ca="1" si="4"/>
        <v>Isopentane (2-Methylbutane)</v>
      </c>
      <c r="G32" s="246">
        <f t="shared" ca="1" si="5"/>
        <v>72.148780000000002</v>
      </c>
      <c r="H32" s="204">
        <f ca="1">IF(G32="","",IF(VLOOKUP(Compressor!F32,'Species Data'!D:F,3,FALSE)=0,"X",IF(G32&lt;44.1,2,1)))</f>
        <v>1</v>
      </c>
      <c r="I32" s="204">
        <f t="shared" ca="1" si="1"/>
        <v>1.5245588369114034</v>
      </c>
      <c r="J32" s="247">
        <f ca="1">IF(I32="","",IF(COUNTIF($D$12:D32,D32)=1,IF(H32=1,I32*H32,IF(H32="X","X",0)),0))</f>
        <v>1.5245588369114034</v>
      </c>
      <c r="K32" s="248">
        <f t="shared" ca="1" si="6"/>
        <v>3.8404667202373908</v>
      </c>
      <c r="L32" s="304" t="s">
        <v>648</v>
      </c>
      <c r="M32" s="264" t="s">
        <v>448</v>
      </c>
      <c r="N32" s="264" t="s">
        <v>470</v>
      </c>
      <c r="O32" s="265">
        <v>41419</v>
      </c>
      <c r="P32" s="264" t="s">
        <v>531</v>
      </c>
      <c r="Q32" s="266">
        <v>100</v>
      </c>
      <c r="R32" s="264" t="s">
        <v>445</v>
      </c>
      <c r="S32" s="264" t="s">
        <v>532</v>
      </c>
      <c r="T32" s="264" t="s">
        <v>445</v>
      </c>
      <c r="U32" s="264" t="s">
        <v>446</v>
      </c>
      <c r="V32" s="266" t="b">
        <v>1</v>
      </c>
      <c r="W32" s="266">
        <v>1989</v>
      </c>
      <c r="X32" s="266">
        <v>5</v>
      </c>
      <c r="Y32" s="266">
        <v>2</v>
      </c>
      <c r="Z32" s="266">
        <v>4</v>
      </c>
      <c r="AA32" s="264" t="s">
        <v>447</v>
      </c>
      <c r="AB32" s="264" t="s">
        <v>531</v>
      </c>
      <c r="AC32" s="264" t="s">
        <v>533</v>
      </c>
      <c r="AD32" s="266">
        <v>1.8322000000000001</v>
      </c>
      <c r="AE32" s="266">
        <v>508</v>
      </c>
      <c r="AF32" s="266">
        <v>1.5246</v>
      </c>
      <c r="AG32" s="266">
        <v>-99</v>
      </c>
      <c r="AH32" s="264" t="s">
        <v>224</v>
      </c>
      <c r="AI32" s="264" t="s">
        <v>449</v>
      </c>
      <c r="AJ32" s="264" t="s">
        <v>342</v>
      </c>
      <c r="AK32" s="264" t="s">
        <v>531</v>
      </c>
      <c r="AL32" s="264" t="s">
        <v>395</v>
      </c>
      <c r="AM32" s="266" t="b">
        <v>1</v>
      </c>
      <c r="AN32" s="266" t="b">
        <v>0</v>
      </c>
      <c r="AO32" s="264" t="s">
        <v>343</v>
      </c>
      <c r="AP32" s="264" t="s">
        <v>344</v>
      </c>
      <c r="AQ32" s="266">
        <v>72.148780000000002</v>
      </c>
      <c r="AR32" s="266" t="b">
        <v>0</v>
      </c>
      <c r="AS32" s="264" t="s">
        <v>534</v>
      </c>
      <c r="AU32" s="222" t="s">
        <v>819</v>
      </c>
    </row>
    <row r="33" spans="1:47" s="219" customFormat="1" x14ac:dyDescent="0.25">
      <c r="A33" s="245">
        <f t="shared" si="7"/>
        <v>33</v>
      </c>
      <c r="B33" s="246" t="str">
        <f t="shared" si="0"/>
        <v>Oil Field - Compressor - Vapor Recovery</v>
      </c>
      <c r="C33" s="246" t="str">
        <f ca="1">IF(B33="","",VLOOKUP(D33,'Species Data'!B:E,4,FALSE))</f>
        <v>M_xylene</v>
      </c>
      <c r="D33" s="246">
        <f t="shared" ca="1" si="2"/>
        <v>524</v>
      </c>
      <c r="E33" s="246">
        <f t="shared" ca="1" si="3"/>
        <v>3.3300000000000003E-2</v>
      </c>
      <c r="F33" s="246" t="str">
        <f t="shared" ca="1" si="4"/>
        <v>M-xylene</v>
      </c>
      <c r="G33" s="246">
        <f t="shared" ca="1" si="5"/>
        <v>106.16500000000001</v>
      </c>
      <c r="H33" s="204">
        <f ca="1">IF(G33="","",IF(VLOOKUP(Compressor!F33,'Species Data'!D:F,3,FALSE)=0,"X",IF(G33&lt;44.1,2,1)))</f>
        <v>1</v>
      </c>
      <c r="I33" s="204">
        <f t="shared" ca="1" si="1"/>
        <v>3.329910092427505E-2</v>
      </c>
      <c r="J33" s="247">
        <f ca="1">IF(I33="","",IF(COUNTIF($D$12:D33,D33)=1,IF(H33=1,I33*H33,IF(H33="X","X",0)),0))</f>
        <v>3.329910092427505E-2</v>
      </c>
      <c r="K33" s="248">
        <f t="shared" ca="1" si="6"/>
        <v>8.3882685152764758E-2</v>
      </c>
      <c r="L33" s="304" t="s">
        <v>648</v>
      </c>
      <c r="M33" s="264" t="s">
        <v>448</v>
      </c>
      <c r="N33" s="264" t="s">
        <v>470</v>
      </c>
      <c r="O33" s="265">
        <v>41419</v>
      </c>
      <c r="P33" s="264" t="s">
        <v>531</v>
      </c>
      <c r="Q33" s="266">
        <v>100</v>
      </c>
      <c r="R33" s="264" t="s">
        <v>445</v>
      </c>
      <c r="S33" s="264" t="s">
        <v>532</v>
      </c>
      <c r="T33" s="264" t="s">
        <v>445</v>
      </c>
      <c r="U33" s="264" t="s">
        <v>446</v>
      </c>
      <c r="V33" s="266" t="b">
        <v>1</v>
      </c>
      <c r="W33" s="266">
        <v>1989</v>
      </c>
      <c r="X33" s="266">
        <v>5</v>
      </c>
      <c r="Y33" s="266">
        <v>2</v>
      </c>
      <c r="Z33" s="266">
        <v>4</v>
      </c>
      <c r="AA33" s="264" t="s">
        <v>447</v>
      </c>
      <c r="AB33" s="264" t="s">
        <v>531</v>
      </c>
      <c r="AC33" s="264" t="s">
        <v>533</v>
      </c>
      <c r="AD33" s="266">
        <v>1.8322000000000001</v>
      </c>
      <c r="AE33" s="266">
        <v>524</v>
      </c>
      <c r="AF33" s="266">
        <v>3.3300000000000003E-2</v>
      </c>
      <c r="AG33" s="266">
        <v>-99</v>
      </c>
      <c r="AH33" s="264" t="s">
        <v>224</v>
      </c>
      <c r="AI33" s="264" t="s">
        <v>449</v>
      </c>
      <c r="AJ33" s="264" t="s">
        <v>436</v>
      </c>
      <c r="AK33" s="264" t="s">
        <v>531</v>
      </c>
      <c r="AL33" s="264" t="s">
        <v>460</v>
      </c>
      <c r="AM33" s="266" t="b">
        <v>0</v>
      </c>
      <c r="AN33" s="266" t="b">
        <v>1</v>
      </c>
      <c r="AO33" s="264" t="s">
        <v>437</v>
      </c>
      <c r="AP33" s="264" t="s">
        <v>438</v>
      </c>
      <c r="AQ33" s="266">
        <v>106.16500000000001</v>
      </c>
      <c r="AR33" s="266" t="b">
        <v>0</v>
      </c>
      <c r="AS33" s="264" t="s">
        <v>534</v>
      </c>
      <c r="AT33" s="310" t="s">
        <v>820</v>
      </c>
      <c r="AU33" s="222" t="s">
        <v>819</v>
      </c>
    </row>
    <row r="34" spans="1:47" s="219" customFormat="1" ht="15" customHeight="1" x14ac:dyDescent="0.25">
      <c r="A34" s="245">
        <f t="shared" si="7"/>
        <v>34</v>
      </c>
      <c r="B34" s="246" t="str">
        <f t="shared" si="0"/>
        <v>Oil Field - Compressor - Vapor Recovery</v>
      </c>
      <c r="C34" s="246" t="str">
        <f ca="1">IF(B34="","",VLOOKUP(D34,'Species Data'!B:E,4,FALSE))</f>
        <v>methane</v>
      </c>
      <c r="D34" s="246">
        <f t="shared" ca="1" si="2"/>
        <v>529</v>
      </c>
      <c r="E34" s="246">
        <f t="shared" ca="1" si="3"/>
        <v>37.7408</v>
      </c>
      <c r="F34" s="246" t="str">
        <f t="shared" ca="1" si="4"/>
        <v>Methane</v>
      </c>
      <c r="G34" s="246">
        <f t="shared" ca="1" si="5"/>
        <v>16.042459999999998</v>
      </c>
      <c r="H34" s="204">
        <f ca="1">IF(G34="","",IF(VLOOKUP(Compressor!F34,'Species Data'!D:F,3,FALSE)=0,"X",IF(G34&lt;44.1,2,1)))</f>
        <v>2</v>
      </c>
      <c r="I34" s="204">
        <f t="shared" ca="1" si="1"/>
        <v>37.739781025912301</v>
      </c>
      <c r="J34" s="247">
        <f ca="1">IF(I34="","",IF(COUNTIF($D$12:D34,D34)=1,IF(H34=1,I34*H34,IF(H34="X","X",0)),0))</f>
        <v>0</v>
      </c>
      <c r="K34" s="248">
        <f t="shared" ca="1" si="6"/>
        <v>0</v>
      </c>
      <c r="L34" s="304" t="s">
        <v>648</v>
      </c>
      <c r="M34" s="264" t="s">
        <v>448</v>
      </c>
      <c r="N34" s="264" t="s">
        <v>470</v>
      </c>
      <c r="O34" s="265">
        <v>41419</v>
      </c>
      <c r="P34" s="264" t="s">
        <v>531</v>
      </c>
      <c r="Q34" s="266">
        <v>100</v>
      </c>
      <c r="R34" s="264" t="s">
        <v>445</v>
      </c>
      <c r="S34" s="264" t="s">
        <v>532</v>
      </c>
      <c r="T34" s="264" t="s">
        <v>445</v>
      </c>
      <c r="U34" s="264" t="s">
        <v>446</v>
      </c>
      <c r="V34" s="266" t="b">
        <v>1</v>
      </c>
      <c r="W34" s="266">
        <v>1989</v>
      </c>
      <c r="X34" s="266">
        <v>5</v>
      </c>
      <c r="Y34" s="266">
        <v>2</v>
      </c>
      <c r="Z34" s="266">
        <v>4</v>
      </c>
      <c r="AA34" s="264" t="s">
        <v>447</v>
      </c>
      <c r="AB34" s="264" t="s">
        <v>531</v>
      </c>
      <c r="AC34" s="264" t="s">
        <v>533</v>
      </c>
      <c r="AD34" s="266">
        <v>1.8322000000000001</v>
      </c>
      <c r="AE34" s="266">
        <v>529</v>
      </c>
      <c r="AF34" s="266">
        <v>37.7408</v>
      </c>
      <c r="AG34" s="266">
        <v>-99</v>
      </c>
      <c r="AH34" s="264" t="s">
        <v>224</v>
      </c>
      <c r="AI34" s="264" t="s">
        <v>449</v>
      </c>
      <c r="AJ34" s="264" t="s">
        <v>271</v>
      </c>
      <c r="AK34" s="264" t="s">
        <v>531</v>
      </c>
      <c r="AL34" s="264" t="s">
        <v>376</v>
      </c>
      <c r="AM34" s="266" t="b">
        <v>0</v>
      </c>
      <c r="AN34" s="266" t="b">
        <v>0</v>
      </c>
      <c r="AO34" s="264" t="s">
        <v>272</v>
      </c>
      <c r="AP34" s="264" t="s">
        <v>531</v>
      </c>
      <c r="AQ34" s="266">
        <v>16.042459999999998</v>
      </c>
      <c r="AR34" s="266" t="b">
        <v>1</v>
      </c>
      <c r="AS34" s="264" t="s">
        <v>534</v>
      </c>
      <c r="AU34" s="222" t="s">
        <v>819</v>
      </c>
    </row>
    <row r="35" spans="1:47" s="219" customFormat="1" x14ac:dyDescent="0.25">
      <c r="A35" s="245">
        <f t="shared" si="7"/>
        <v>35</v>
      </c>
      <c r="B35" s="246" t="str">
        <f t="shared" si="0"/>
        <v>Oil Field - Compressor - Vapor Recovery</v>
      </c>
      <c r="C35" s="246" t="str">
        <f ca="1">IF(B35="","",VLOOKUP(D35,'Species Data'!B:E,4,FALSE))</f>
        <v>methcychex</v>
      </c>
      <c r="D35" s="246">
        <f t="shared" ca="1" si="2"/>
        <v>550</v>
      </c>
      <c r="E35" s="246">
        <f t="shared" ca="1" si="3"/>
        <v>1.1612</v>
      </c>
      <c r="F35" s="246" t="str">
        <f t="shared" ca="1" si="4"/>
        <v>Methylcyclohexane</v>
      </c>
      <c r="G35" s="246">
        <f t="shared" ca="1" si="5"/>
        <v>98.186059999999998</v>
      </c>
      <c r="H35" s="204">
        <f ca="1">IF(G35="","",IF(VLOOKUP(Compressor!F35,'Species Data'!D:F,3,FALSE)=0,"X",IF(G35&lt;44.1,2,1)))</f>
        <v>1</v>
      </c>
      <c r="I35" s="204">
        <f t="shared" ca="1" si="1"/>
        <v>1.161168648446492</v>
      </c>
      <c r="J35" s="247">
        <f ca="1">IF(I35="","",IF(COUNTIF($D$12:D35,D35)=1,IF(H35=1,I35*H35,IF(H35="X","X",0)),0))</f>
        <v>1.161168648446492</v>
      </c>
      <c r="K35" s="248">
        <f t="shared" ca="1" si="6"/>
        <v>2.9250622822639767</v>
      </c>
      <c r="L35" s="304" t="s">
        <v>648</v>
      </c>
      <c r="M35" s="264" t="s">
        <v>448</v>
      </c>
      <c r="N35" s="264" t="s">
        <v>470</v>
      </c>
      <c r="O35" s="265">
        <v>41419</v>
      </c>
      <c r="P35" s="264" t="s">
        <v>531</v>
      </c>
      <c r="Q35" s="266">
        <v>100</v>
      </c>
      <c r="R35" s="264" t="s">
        <v>445</v>
      </c>
      <c r="S35" s="264" t="s">
        <v>532</v>
      </c>
      <c r="T35" s="264" t="s">
        <v>445</v>
      </c>
      <c r="U35" s="264" t="s">
        <v>446</v>
      </c>
      <c r="V35" s="266" t="b">
        <v>1</v>
      </c>
      <c r="W35" s="266">
        <v>1989</v>
      </c>
      <c r="X35" s="266">
        <v>5</v>
      </c>
      <c r="Y35" s="266">
        <v>2</v>
      </c>
      <c r="Z35" s="266">
        <v>4</v>
      </c>
      <c r="AA35" s="264" t="s">
        <v>447</v>
      </c>
      <c r="AB35" s="264" t="s">
        <v>531</v>
      </c>
      <c r="AC35" s="264" t="s">
        <v>533</v>
      </c>
      <c r="AD35" s="266">
        <v>1.8322000000000001</v>
      </c>
      <c r="AE35" s="266">
        <v>550</v>
      </c>
      <c r="AF35" s="266">
        <v>1.1612</v>
      </c>
      <c r="AG35" s="266">
        <v>-99</v>
      </c>
      <c r="AH35" s="264" t="s">
        <v>224</v>
      </c>
      <c r="AI35" s="264" t="s">
        <v>449</v>
      </c>
      <c r="AJ35" s="264" t="s">
        <v>348</v>
      </c>
      <c r="AK35" s="264" t="s">
        <v>531</v>
      </c>
      <c r="AL35" s="264" t="s">
        <v>396</v>
      </c>
      <c r="AM35" s="266" t="b">
        <v>1</v>
      </c>
      <c r="AN35" s="266" t="b">
        <v>0</v>
      </c>
      <c r="AO35" s="264" t="s">
        <v>349</v>
      </c>
      <c r="AP35" s="264" t="s">
        <v>350</v>
      </c>
      <c r="AQ35" s="266">
        <v>98.186059999999998</v>
      </c>
      <c r="AR35" s="266" t="b">
        <v>0</v>
      </c>
      <c r="AS35" s="264" t="s">
        <v>534</v>
      </c>
      <c r="AU35" s="222" t="s">
        <v>819</v>
      </c>
    </row>
    <row r="36" spans="1:47" s="219" customFormat="1" x14ac:dyDescent="0.25">
      <c r="A36" s="245">
        <f t="shared" si="7"/>
        <v>36</v>
      </c>
      <c r="B36" s="246" t="str">
        <f t="shared" si="0"/>
        <v>Oil Field - Compressor - Vapor Recovery</v>
      </c>
      <c r="C36" s="246" t="str">
        <f ca="1">IF(B36="","",VLOOKUP(D36,'Species Data'!B:E,4,FALSE))</f>
        <v>methcycpen</v>
      </c>
      <c r="D36" s="246">
        <f t="shared" ca="1" si="2"/>
        <v>551</v>
      </c>
      <c r="E36" s="246">
        <f t="shared" ca="1" si="3"/>
        <v>1.909</v>
      </c>
      <c r="F36" s="246" t="str">
        <f t="shared" ca="1" si="4"/>
        <v>Methylcyclopentane</v>
      </c>
      <c r="G36" s="246">
        <f t="shared" ca="1" si="5"/>
        <v>84.159480000000002</v>
      </c>
      <c r="H36" s="204">
        <f ca="1">IF(G36="","",IF(VLOOKUP(Compressor!F36,'Species Data'!D:F,3,FALSE)=0,"X",IF(G36&lt;44.1,2,1)))</f>
        <v>1</v>
      </c>
      <c r="I36" s="204">
        <f t="shared" ca="1" si="1"/>
        <v>1.9089484583916234</v>
      </c>
      <c r="J36" s="247">
        <f ca="1">IF(I36="","",IF(COUNTIF($D$12:D36,D36)=1,IF(H36=1,I36*H36,IF(H36="X","X",0)),0))</f>
        <v>1.9089484583916234</v>
      </c>
      <c r="K36" s="248">
        <f t="shared" ca="1" si="6"/>
        <v>4.8087701488476835</v>
      </c>
      <c r="L36" s="304" t="s">
        <v>648</v>
      </c>
      <c r="M36" s="264" t="s">
        <v>448</v>
      </c>
      <c r="N36" s="264" t="s">
        <v>470</v>
      </c>
      <c r="O36" s="265">
        <v>41419</v>
      </c>
      <c r="P36" s="264" t="s">
        <v>531</v>
      </c>
      <c r="Q36" s="266">
        <v>100</v>
      </c>
      <c r="R36" s="264" t="s">
        <v>445</v>
      </c>
      <c r="S36" s="264" t="s">
        <v>532</v>
      </c>
      <c r="T36" s="264" t="s">
        <v>445</v>
      </c>
      <c r="U36" s="264" t="s">
        <v>446</v>
      </c>
      <c r="V36" s="266" t="b">
        <v>1</v>
      </c>
      <c r="W36" s="266">
        <v>1989</v>
      </c>
      <c r="X36" s="266">
        <v>5</v>
      </c>
      <c r="Y36" s="266">
        <v>2</v>
      </c>
      <c r="Z36" s="266">
        <v>4</v>
      </c>
      <c r="AA36" s="264" t="s">
        <v>447</v>
      </c>
      <c r="AB36" s="264" t="s">
        <v>531</v>
      </c>
      <c r="AC36" s="264" t="s">
        <v>533</v>
      </c>
      <c r="AD36" s="266">
        <v>1.8322000000000001</v>
      </c>
      <c r="AE36" s="266">
        <v>551</v>
      </c>
      <c r="AF36" s="266">
        <v>1.909</v>
      </c>
      <c r="AG36" s="266">
        <v>-99</v>
      </c>
      <c r="AH36" s="264" t="s">
        <v>224</v>
      </c>
      <c r="AI36" s="264" t="s">
        <v>449</v>
      </c>
      <c r="AJ36" s="264" t="s">
        <v>351</v>
      </c>
      <c r="AK36" s="264" t="s">
        <v>531</v>
      </c>
      <c r="AL36" s="264" t="s">
        <v>397</v>
      </c>
      <c r="AM36" s="266" t="b">
        <v>1</v>
      </c>
      <c r="AN36" s="266" t="b">
        <v>0</v>
      </c>
      <c r="AO36" s="264" t="s">
        <v>352</v>
      </c>
      <c r="AP36" s="264" t="s">
        <v>353</v>
      </c>
      <c r="AQ36" s="266">
        <v>84.159480000000002</v>
      </c>
      <c r="AR36" s="266" t="b">
        <v>0</v>
      </c>
      <c r="AS36" s="264" t="s">
        <v>534</v>
      </c>
      <c r="AU36" s="222" t="s">
        <v>819</v>
      </c>
    </row>
    <row r="37" spans="1:47" s="219" customFormat="1" x14ac:dyDescent="0.25">
      <c r="A37" s="245">
        <f t="shared" si="7"/>
        <v>37</v>
      </c>
      <c r="B37" s="246" t="str">
        <f t="shared" si="0"/>
        <v>Oil Field - Compressor - Vapor Recovery</v>
      </c>
      <c r="C37" s="246" t="str">
        <f ca="1">IF(B37="","",VLOOKUP(D37,'Species Data'!B:E,4,FALSE))</f>
        <v>N_but</v>
      </c>
      <c r="D37" s="246">
        <f t="shared" ca="1" si="2"/>
        <v>592</v>
      </c>
      <c r="E37" s="246">
        <f t="shared" ca="1" si="3"/>
        <v>6.7413999999999996</v>
      </c>
      <c r="F37" s="246" t="str">
        <f t="shared" ca="1" si="4"/>
        <v>N-butane</v>
      </c>
      <c r="G37" s="246">
        <f t="shared" ca="1" si="5"/>
        <v>58.122199999999992</v>
      </c>
      <c r="H37" s="204">
        <f ca="1">IF(G37="","",IF(VLOOKUP(Compressor!F37,'Species Data'!D:F,3,FALSE)=0,"X",IF(G37&lt;44.1,2,1)))</f>
        <v>1</v>
      </c>
      <c r="I37" s="204">
        <f t="shared" ca="1" si="1"/>
        <v>6.7412179871143474</v>
      </c>
      <c r="J37" s="247">
        <f ca="1">IF(I37="","",IF(COUNTIF($D$12:D37,D37)=1,IF(H37=1,I37*H37,IF(H37="X","X",0)),0))</f>
        <v>6.7412179871143474</v>
      </c>
      <c r="K37" s="248">
        <f t="shared" ca="1" si="6"/>
        <v>16.981583594259707</v>
      </c>
      <c r="L37" s="304" t="s">
        <v>648</v>
      </c>
      <c r="M37" s="264" t="s">
        <v>448</v>
      </c>
      <c r="N37" s="264" t="s">
        <v>470</v>
      </c>
      <c r="O37" s="265">
        <v>41419</v>
      </c>
      <c r="P37" s="264" t="s">
        <v>531</v>
      </c>
      <c r="Q37" s="266">
        <v>100</v>
      </c>
      <c r="R37" s="264" t="s">
        <v>445</v>
      </c>
      <c r="S37" s="264" t="s">
        <v>532</v>
      </c>
      <c r="T37" s="264" t="s">
        <v>445</v>
      </c>
      <c r="U37" s="264" t="s">
        <v>446</v>
      </c>
      <c r="V37" s="266" t="b">
        <v>1</v>
      </c>
      <c r="W37" s="266">
        <v>1989</v>
      </c>
      <c r="X37" s="266">
        <v>5</v>
      </c>
      <c r="Y37" s="266">
        <v>2</v>
      </c>
      <c r="Z37" s="266">
        <v>4</v>
      </c>
      <c r="AA37" s="264" t="s">
        <v>447</v>
      </c>
      <c r="AB37" s="264" t="s">
        <v>531</v>
      </c>
      <c r="AC37" s="264" t="s">
        <v>533</v>
      </c>
      <c r="AD37" s="266">
        <v>1.8322000000000001</v>
      </c>
      <c r="AE37" s="266">
        <v>592</v>
      </c>
      <c r="AF37" s="266">
        <v>6.7413999999999996</v>
      </c>
      <c r="AG37" s="266">
        <v>-99</v>
      </c>
      <c r="AH37" s="264" t="s">
        <v>224</v>
      </c>
      <c r="AI37" s="264" t="s">
        <v>449</v>
      </c>
      <c r="AJ37" s="264" t="s">
        <v>273</v>
      </c>
      <c r="AK37" s="264" t="s">
        <v>531</v>
      </c>
      <c r="AL37" s="264" t="s">
        <v>377</v>
      </c>
      <c r="AM37" s="266" t="b">
        <v>1</v>
      </c>
      <c r="AN37" s="266" t="b">
        <v>0</v>
      </c>
      <c r="AO37" s="264" t="s">
        <v>274</v>
      </c>
      <c r="AP37" s="264" t="s">
        <v>275</v>
      </c>
      <c r="AQ37" s="266">
        <v>58.122199999999992</v>
      </c>
      <c r="AR37" s="266" t="b">
        <v>0</v>
      </c>
      <c r="AS37" s="264" t="s">
        <v>534</v>
      </c>
      <c r="AU37" s="222" t="s">
        <v>819</v>
      </c>
    </row>
    <row r="38" spans="1:47" s="219" customFormat="1" ht="15" customHeight="1" x14ac:dyDescent="0.25">
      <c r="A38" s="245">
        <f t="shared" si="7"/>
        <v>38</v>
      </c>
      <c r="B38" s="246" t="str">
        <f t="shared" si="0"/>
        <v>Oil Field - Compressor - Vapor Recovery</v>
      </c>
      <c r="C38" s="246" t="str">
        <f ca="1">IF(B38="","",VLOOKUP(D38,'Species Data'!B:E,4,FALSE))</f>
        <v>N_dec</v>
      </c>
      <c r="D38" s="246">
        <f t="shared" ca="1" si="2"/>
        <v>598</v>
      </c>
      <c r="E38" s="246">
        <f t="shared" ca="1" si="3"/>
        <v>9.4000000000000004E-3</v>
      </c>
      <c r="F38" s="246" t="str">
        <f t="shared" ca="1" si="4"/>
        <v>N-decane</v>
      </c>
      <c r="G38" s="246">
        <f t="shared" ca="1" si="5"/>
        <v>142.28167999999999</v>
      </c>
      <c r="H38" s="204">
        <f ca="1">IF(G38="","",IF(VLOOKUP(Compressor!F38,'Species Data'!D:F,3,FALSE)=0,"X",IF(G38&lt;44.1,2,1)))</f>
        <v>1</v>
      </c>
      <c r="I38" s="204">
        <f t="shared" ca="1" si="1"/>
        <v>9.3997462068524159E-3</v>
      </c>
      <c r="J38" s="247">
        <f ca="1">IF(I38="","",IF(COUNTIF($D$12:D38,D38)=1,IF(H38=1,I38*H38,IF(H38="X","X",0)),0))</f>
        <v>9.3997462068524159E-3</v>
      </c>
      <c r="K38" s="248">
        <f t="shared" ca="1" si="6"/>
        <v>2.3678595808888547E-2</v>
      </c>
      <c r="L38" s="304" t="s">
        <v>648</v>
      </c>
      <c r="M38" s="264" t="s">
        <v>448</v>
      </c>
      <c r="N38" s="264" t="s">
        <v>470</v>
      </c>
      <c r="O38" s="265">
        <v>41419</v>
      </c>
      <c r="P38" s="264" t="s">
        <v>531</v>
      </c>
      <c r="Q38" s="266">
        <v>100</v>
      </c>
      <c r="R38" s="264" t="s">
        <v>445</v>
      </c>
      <c r="S38" s="264" t="s">
        <v>532</v>
      </c>
      <c r="T38" s="264" t="s">
        <v>445</v>
      </c>
      <c r="U38" s="264" t="s">
        <v>446</v>
      </c>
      <c r="V38" s="266" t="b">
        <v>1</v>
      </c>
      <c r="W38" s="266">
        <v>1989</v>
      </c>
      <c r="X38" s="266">
        <v>5</v>
      </c>
      <c r="Y38" s="266">
        <v>2</v>
      </c>
      <c r="Z38" s="266">
        <v>4</v>
      </c>
      <c r="AA38" s="264" t="s">
        <v>447</v>
      </c>
      <c r="AB38" s="264" t="s">
        <v>531</v>
      </c>
      <c r="AC38" s="264" t="s">
        <v>533</v>
      </c>
      <c r="AD38" s="266">
        <v>1.8322000000000001</v>
      </c>
      <c r="AE38" s="266">
        <v>598</v>
      </c>
      <c r="AF38" s="266">
        <v>9.4000000000000004E-3</v>
      </c>
      <c r="AG38" s="266">
        <v>-99</v>
      </c>
      <c r="AH38" s="264" t="s">
        <v>224</v>
      </c>
      <c r="AI38" s="264" t="s">
        <v>449</v>
      </c>
      <c r="AJ38" s="264" t="s">
        <v>414</v>
      </c>
      <c r="AK38" s="264" t="s">
        <v>531</v>
      </c>
      <c r="AL38" s="264" t="s">
        <v>452</v>
      </c>
      <c r="AM38" s="266" t="b">
        <v>1</v>
      </c>
      <c r="AN38" s="266" t="b">
        <v>0</v>
      </c>
      <c r="AO38" s="264" t="s">
        <v>415</v>
      </c>
      <c r="AP38" s="264" t="s">
        <v>416</v>
      </c>
      <c r="AQ38" s="266">
        <v>142.28167999999999</v>
      </c>
      <c r="AR38" s="266" t="b">
        <v>0</v>
      </c>
      <c r="AS38" s="264" t="s">
        <v>534</v>
      </c>
      <c r="AU38" s="222" t="s">
        <v>819</v>
      </c>
    </row>
    <row r="39" spans="1:47" s="219" customFormat="1" x14ac:dyDescent="0.25">
      <c r="A39" s="245">
        <f t="shared" si="7"/>
        <v>39</v>
      </c>
      <c r="B39" s="246" t="str">
        <f t="shared" si="0"/>
        <v>Oil Field - Compressor - Vapor Recovery</v>
      </c>
      <c r="C39" s="246" t="str">
        <f ca="1">IF(B39="","",VLOOKUP(D39,'Species Data'!B:E,4,FALSE))</f>
        <v>N_hep</v>
      </c>
      <c r="D39" s="246">
        <f t="shared" ca="1" si="2"/>
        <v>600</v>
      </c>
      <c r="E39" s="246">
        <f t="shared" ca="1" si="3"/>
        <v>0.43669999999999998</v>
      </c>
      <c r="F39" s="246" t="str">
        <f t="shared" ca="1" si="4"/>
        <v>N-heptane</v>
      </c>
      <c r="G39" s="246">
        <f t="shared" ca="1" si="5"/>
        <v>100.20194000000001</v>
      </c>
      <c r="H39" s="204">
        <f ca="1">IF(G39="","",IF(VLOOKUP(Compressor!F39,'Species Data'!D:F,3,FALSE)=0,"X",IF(G39&lt;44.1,2,1)))</f>
        <v>1</v>
      </c>
      <c r="I39" s="204">
        <f t="shared" ca="1" si="1"/>
        <v>0.43668820941834569</v>
      </c>
      <c r="J39" s="247">
        <f ca="1">IF(I39="","",IF(COUNTIF($D$12:D39,D39)=1,IF(H39=1,I39*H39,IF(H39="X","X",0)),0))</f>
        <v>0.43668820941834569</v>
      </c>
      <c r="K39" s="248">
        <f t="shared" ca="1" si="6"/>
        <v>1.1000471052916623</v>
      </c>
      <c r="L39" s="304" t="s">
        <v>648</v>
      </c>
      <c r="M39" s="264" t="s">
        <v>448</v>
      </c>
      <c r="N39" s="264" t="s">
        <v>470</v>
      </c>
      <c r="O39" s="265">
        <v>41419</v>
      </c>
      <c r="P39" s="264" t="s">
        <v>531</v>
      </c>
      <c r="Q39" s="266">
        <v>100</v>
      </c>
      <c r="R39" s="264" t="s">
        <v>445</v>
      </c>
      <c r="S39" s="264" t="s">
        <v>532</v>
      </c>
      <c r="T39" s="264" t="s">
        <v>445</v>
      </c>
      <c r="U39" s="264" t="s">
        <v>446</v>
      </c>
      <c r="V39" s="266" t="b">
        <v>1</v>
      </c>
      <c r="W39" s="266">
        <v>1989</v>
      </c>
      <c r="X39" s="266">
        <v>5</v>
      </c>
      <c r="Y39" s="266">
        <v>2</v>
      </c>
      <c r="Z39" s="266">
        <v>4</v>
      </c>
      <c r="AA39" s="264" t="s">
        <v>447</v>
      </c>
      <c r="AB39" s="264" t="s">
        <v>531</v>
      </c>
      <c r="AC39" s="264" t="s">
        <v>533</v>
      </c>
      <c r="AD39" s="266">
        <v>1.8322000000000001</v>
      </c>
      <c r="AE39" s="266">
        <v>600</v>
      </c>
      <c r="AF39" s="266">
        <v>0.43669999999999998</v>
      </c>
      <c r="AG39" s="266">
        <v>-99</v>
      </c>
      <c r="AH39" s="264" t="s">
        <v>224</v>
      </c>
      <c r="AI39" s="264" t="s">
        <v>449</v>
      </c>
      <c r="AJ39" s="264" t="s">
        <v>276</v>
      </c>
      <c r="AK39" s="264" t="s">
        <v>531</v>
      </c>
      <c r="AL39" s="264" t="s">
        <v>378</v>
      </c>
      <c r="AM39" s="266" t="b">
        <v>1</v>
      </c>
      <c r="AN39" s="266" t="b">
        <v>0</v>
      </c>
      <c r="AO39" s="264" t="s">
        <v>277</v>
      </c>
      <c r="AP39" s="264" t="s">
        <v>278</v>
      </c>
      <c r="AQ39" s="266">
        <v>100.20194000000001</v>
      </c>
      <c r="AR39" s="266" t="b">
        <v>0</v>
      </c>
      <c r="AS39" s="264" t="s">
        <v>534</v>
      </c>
      <c r="AU39" s="222" t="s">
        <v>819</v>
      </c>
    </row>
    <row r="40" spans="1:47" s="219" customFormat="1" ht="15" customHeight="1" x14ac:dyDescent="0.25">
      <c r="A40" s="245">
        <f t="shared" si="7"/>
        <v>40</v>
      </c>
      <c r="B40" s="246" t="str">
        <f t="shared" si="0"/>
        <v>Oil Field - Compressor - Vapor Recovery</v>
      </c>
      <c r="C40" s="246" t="str">
        <f ca="1">IF(B40="","",VLOOKUP(D40,'Species Data'!B:E,4,FALSE))</f>
        <v>N_hex</v>
      </c>
      <c r="D40" s="246">
        <f t="shared" ca="1" si="2"/>
        <v>601</v>
      </c>
      <c r="E40" s="246">
        <f t="shared" ca="1" si="3"/>
        <v>1.2685999999999999</v>
      </c>
      <c r="F40" s="246" t="str">
        <f t="shared" ca="1" si="4"/>
        <v>N-hexane</v>
      </c>
      <c r="G40" s="246">
        <f t="shared" ca="1" si="5"/>
        <v>86.175359999999998</v>
      </c>
      <c r="H40" s="204">
        <f ca="1">IF(G40="","",IF(VLOOKUP(Compressor!F40,'Species Data'!D:F,3,FALSE)=0,"X",IF(G40&lt;44.1,2,1)))</f>
        <v>1</v>
      </c>
      <c r="I40" s="204">
        <f t="shared" ca="1" si="1"/>
        <v>1.2685657487247843</v>
      </c>
      <c r="J40" s="247">
        <f ca="1">IF(I40="","",IF(COUNTIF($D$12:D40,D40)=1,IF(H40=1,I40*H40,IF(H40="X","X",0)),0))</f>
        <v>1.2685657487247843</v>
      </c>
      <c r="K40" s="248">
        <f t="shared" ca="1" si="6"/>
        <v>3.1956028343782985</v>
      </c>
      <c r="L40" s="304" t="s">
        <v>648</v>
      </c>
      <c r="M40" s="264" t="s">
        <v>448</v>
      </c>
      <c r="N40" s="264" t="s">
        <v>470</v>
      </c>
      <c r="O40" s="265">
        <v>41419</v>
      </c>
      <c r="P40" s="264" t="s">
        <v>531</v>
      </c>
      <c r="Q40" s="266">
        <v>100</v>
      </c>
      <c r="R40" s="264" t="s">
        <v>445</v>
      </c>
      <c r="S40" s="264" t="s">
        <v>532</v>
      </c>
      <c r="T40" s="264" t="s">
        <v>445</v>
      </c>
      <c r="U40" s="264" t="s">
        <v>446</v>
      </c>
      <c r="V40" s="266" t="b">
        <v>1</v>
      </c>
      <c r="W40" s="266">
        <v>1989</v>
      </c>
      <c r="X40" s="266">
        <v>5</v>
      </c>
      <c r="Y40" s="266">
        <v>2</v>
      </c>
      <c r="Z40" s="266">
        <v>4</v>
      </c>
      <c r="AA40" s="264" t="s">
        <v>447</v>
      </c>
      <c r="AB40" s="264" t="s">
        <v>531</v>
      </c>
      <c r="AC40" s="264" t="s">
        <v>533</v>
      </c>
      <c r="AD40" s="266">
        <v>1.8322000000000001</v>
      </c>
      <c r="AE40" s="266">
        <v>601</v>
      </c>
      <c r="AF40" s="266">
        <v>1.2685999999999999</v>
      </c>
      <c r="AG40" s="266">
        <v>-99</v>
      </c>
      <c r="AH40" s="264" t="s">
        <v>224</v>
      </c>
      <c r="AI40" s="264" t="s">
        <v>449</v>
      </c>
      <c r="AJ40" s="264" t="s">
        <v>279</v>
      </c>
      <c r="AK40" s="264" t="s">
        <v>531</v>
      </c>
      <c r="AL40" s="264" t="s">
        <v>379</v>
      </c>
      <c r="AM40" s="266" t="b">
        <v>1</v>
      </c>
      <c r="AN40" s="266" t="b">
        <v>1</v>
      </c>
      <c r="AO40" s="264" t="s">
        <v>280</v>
      </c>
      <c r="AP40" s="264" t="s">
        <v>281</v>
      </c>
      <c r="AQ40" s="266">
        <v>86.175359999999998</v>
      </c>
      <c r="AR40" s="266" t="b">
        <v>0</v>
      </c>
      <c r="AS40" s="264" t="s">
        <v>534</v>
      </c>
      <c r="AU40" s="222" t="s">
        <v>819</v>
      </c>
    </row>
    <row r="41" spans="1:47" s="219" customFormat="1" x14ac:dyDescent="0.25">
      <c r="A41" s="245">
        <f t="shared" si="7"/>
        <v>41</v>
      </c>
      <c r="B41" s="246" t="str">
        <f t="shared" si="0"/>
        <v>Oil Field - Compressor - Vapor Recovery</v>
      </c>
      <c r="C41" s="246" t="str">
        <f ca="1">IF(B41="","",VLOOKUP(D41,'Species Data'!B:E,4,FALSE))</f>
        <v>N_nonane</v>
      </c>
      <c r="D41" s="246">
        <f t="shared" ca="1" si="2"/>
        <v>603</v>
      </c>
      <c r="E41" s="246">
        <f t="shared" ca="1" si="3"/>
        <v>2.41E-2</v>
      </c>
      <c r="F41" s="246" t="str">
        <f t="shared" ca="1" si="4"/>
        <v>N-nonane</v>
      </c>
      <c r="G41" s="246">
        <f t="shared" ca="1" si="5"/>
        <v>128.2551</v>
      </c>
      <c r="H41" s="204">
        <f ca="1">IF(G41="","",IF(VLOOKUP(Compressor!F41,'Species Data'!D:F,3,FALSE)=0,"X",IF(G41&lt;44.1,2,1)))</f>
        <v>1</v>
      </c>
      <c r="I41" s="204">
        <f t="shared" ca="1" si="1"/>
        <v>2.4099349317568425E-2</v>
      </c>
      <c r="J41" s="247">
        <f ca="1">IF(I41="","",IF(COUNTIF($D$12:D41,D41)=1,IF(H41=1,I41*H41,IF(H41="X","X",0)),0))</f>
        <v>2.4099349317568425E-2</v>
      </c>
      <c r="K41" s="248">
        <f t="shared" ca="1" si="6"/>
        <v>6.0707889254703613E-2</v>
      </c>
      <c r="L41" s="304" t="s">
        <v>648</v>
      </c>
      <c r="M41" s="264" t="s">
        <v>448</v>
      </c>
      <c r="N41" s="264" t="s">
        <v>470</v>
      </c>
      <c r="O41" s="265">
        <v>41419</v>
      </c>
      <c r="P41" s="264" t="s">
        <v>531</v>
      </c>
      <c r="Q41" s="266">
        <v>100</v>
      </c>
      <c r="R41" s="264" t="s">
        <v>445</v>
      </c>
      <c r="S41" s="264" t="s">
        <v>532</v>
      </c>
      <c r="T41" s="264" t="s">
        <v>445</v>
      </c>
      <c r="U41" s="264" t="s">
        <v>446</v>
      </c>
      <c r="V41" s="266" t="b">
        <v>1</v>
      </c>
      <c r="W41" s="266">
        <v>1989</v>
      </c>
      <c r="X41" s="266">
        <v>5</v>
      </c>
      <c r="Y41" s="266">
        <v>2</v>
      </c>
      <c r="Z41" s="266">
        <v>4</v>
      </c>
      <c r="AA41" s="264" t="s">
        <v>447</v>
      </c>
      <c r="AB41" s="264" t="s">
        <v>531</v>
      </c>
      <c r="AC41" s="264" t="s">
        <v>533</v>
      </c>
      <c r="AD41" s="266">
        <v>1.8322000000000001</v>
      </c>
      <c r="AE41" s="266">
        <v>603</v>
      </c>
      <c r="AF41" s="266">
        <v>2.41E-2</v>
      </c>
      <c r="AG41" s="266">
        <v>-99</v>
      </c>
      <c r="AH41" s="264" t="s">
        <v>224</v>
      </c>
      <c r="AI41" s="264" t="s">
        <v>449</v>
      </c>
      <c r="AJ41" s="264" t="s">
        <v>417</v>
      </c>
      <c r="AK41" s="264" t="s">
        <v>531</v>
      </c>
      <c r="AL41" s="264" t="s">
        <v>453</v>
      </c>
      <c r="AM41" s="266" t="b">
        <v>1</v>
      </c>
      <c r="AN41" s="266" t="b">
        <v>0</v>
      </c>
      <c r="AO41" s="264" t="s">
        <v>418</v>
      </c>
      <c r="AP41" s="264" t="s">
        <v>419</v>
      </c>
      <c r="AQ41" s="266">
        <v>128.2551</v>
      </c>
      <c r="AR41" s="266" t="b">
        <v>0</v>
      </c>
      <c r="AS41" s="264" t="s">
        <v>534</v>
      </c>
      <c r="AU41" s="222" t="s">
        <v>819</v>
      </c>
    </row>
    <row r="42" spans="1:47" s="219" customFormat="1" x14ac:dyDescent="0.25">
      <c r="A42" s="245">
        <f t="shared" si="7"/>
        <v>42</v>
      </c>
      <c r="B42" s="246" t="str">
        <f t="shared" si="0"/>
        <v>Oil Field - Compressor - Vapor Recovery</v>
      </c>
      <c r="C42" s="246" t="str">
        <f ca="1">IF(B42="","",VLOOKUP(D42,'Species Data'!B:E,4,FALSE))</f>
        <v>N_octane</v>
      </c>
      <c r="D42" s="246">
        <f t="shared" ca="1" si="2"/>
        <v>604</v>
      </c>
      <c r="E42" s="246">
        <f t="shared" ca="1" si="3"/>
        <v>0.30930000000000002</v>
      </c>
      <c r="F42" s="246" t="str">
        <f t="shared" ca="1" si="4"/>
        <v>N-octane</v>
      </c>
      <c r="G42" s="246">
        <f t="shared" ca="1" si="5"/>
        <v>114.22852</v>
      </c>
      <c r="H42" s="204">
        <f ca="1">IF(G42="","",IF(VLOOKUP(Compressor!F42,'Species Data'!D:F,3,FALSE)=0,"X",IF(G42&lt;44.1,2,1)))</f>
        <v>1</v>
      </c>
      <c r="I42" s="204">
        <f t="shared" ca="1" si="1"/>
        <v>0.30929164912547363</v>
      </c>
      <c r="J42" s="247">
        <f ca="1">IF(I42="","",IF(COUNTIF($D$12:D42,D42)=1,IF(H42=1,I42*H42,IF(H42="X","X",0)),0))</f>
        <v>0.30929164912547363</v>
      </c>
      <c r="K42" s="248">
        <f t="shared" ca="1" si="6"/>
        <v>0.77912656209459863</v>
      </c>
      <c r="L42" s="304" t="s">
        <v>648</v>
      </c>
      <c r="M42" s="264" t="s">
        <v>448</v>
      </c>
      <c r="N42" s="264" t="s">
        <v>470</v>
      </c>
      <c r="O42" s="265">
        <v>41419</v>
      </c>
      <c r="P42" s="264" t="s">
        <v>531</v>
      </c>
      <c r="Q42" s="266">
        <v>100</v>
      </c>
      <c r="R42" s="264" t="s">
        <v>445</v>
      </c>
      <c r="S42" s="264" t="s">
        <v>532</v>
      </c>
      <c r="T42" s="264" t="s">
        <v>445</v>
      </c>
      <c r="U42" s="264" t="s">
        <v>446</v>
      </c>
      <c r="V42" s="266" t="b">
        <v>1</v>
      </c>
      <c r="W42" s="266">
        <v>1989</v>
      </c>
      <c r="X42" s="266">
        <v>5</v>
      </c>
      <c r="Y42" s="266">
        <v>2</v>
      </c>
      <c r="Z42" s="266">
        <v>4</v>
      </c>
      <c r="AA42" s="264" t="s">
        <v>447</v>
      </c>
      <c r="AB42" s="264" t="s">
        <v>531</v>
      </c>
      <c r="AC42" s="264" t="s">
        <v>533</v>
      </c>
      <c r="AD42" s="266">
        <v>1.8322000000000001</v>
      </c>
      <c r="AE42" s="266">
        <v>604</v>
      </c>
      <c r="AF42" s="266">
        <v>0.30930000000000002</v>
      </c>
      <c r="AG42" s="266">
        <v>-99</v>
      </c>
      <c r="AH42" s="264" t="s">
        <v>224</v>
      </c>
      <c r="AI42" s="264" t="s">
        <v>449</v>
      </c>
      <c r="AJ42" s="264" t="s">
        <v>282</v>
      </c>
      <c r="AK42" s="264" t="s">
        <v>531</v>
      </c>
      <c r="AL42" s="264" t="s">
        <v>380</v>
      </c>
      <c r="AM42" s="266" t="b">
        <v>1</v>
      </c>
      <c r="AN42" s="266" t="b">
        <v>0</v>
      </c>
      <c r="AO42" s="264" t="s">
        <v>283</v>
      </c>
      <c r="AP42" s="264" t="s">
        <v>284</v>
      </c>
      <c r="AQ42" s="266">
        <v>114.22852</v>
      </c>
      <c r="AR42" s="266" t="b">
        <v>0</v>
      </c>
      <c r="AS42" s="264" t="s">
        <v>534</v>
      </c>
      <c r="AU42" s="222" t="s">
        <v>819</v>
      </c>
    </row>
    <row r="43" spans="1:47" s="219" customFormat="1" x14ac:dyDescent="0.25">
      <c r="A43" s="245">
        <f t="shared" si="7"/>
        <v>43</v>
      </c>
      <c r="B43" s="246" t="str">
        <f t="shared" si="0"/>
        <v>Oil Field - Compressor - Vapor Recovery</v>
      </c>
      <c r="C43" s="246" t="str">
        <f ca="1">IF(B43="","",VLOOKUP(D43,'Species Data'!B:E,4,FALSE))</f>
        <v>N_pentane</v>
      </c>
      <c r="D43" s="246">
        <f t="shared" ca="1" si="2"/>
        <v>605</v>
      </c>
      <c r="E43" s="246">
        <f t="shared" ca="1" si="3"/>
        <v>1.4219999999999999</v>
      </c>
      <c r="F43" s="246" t="str">
        <f t="shared" ca="1" si="4"/>
        <v>N-pentane</v>
      </c>
      <c r="G43" s="246">
        <f t="shared" ca="1" si="5"/>
        <v>72.148780000000002</v>
      </c>
      <c r="H43" s="204">
        <f ca="1">IF(G43="","",IF(VLOOKUP(Compressor!F43,'Species Data'!D:F,3,FALSE)=0,"X",IF(G43&lt;44.1,2,1)))</f>
        <v>1</v>
      </c>
      <c r="I43" s="204">
        <f t="shared" ca="1" si="1"/>
        <v>1.4219616070366099</v>
      </c>
      <c r="J43" s="247">
        <f ca="1">IF(I43="","",IF(COUNTIF($D$12:D43,D43)=1,IF(H43=1,I43*H43,IF(H43="X","X",0)),0))</f>
        <v>1.4219616070366099</v>
      </c>
      <c r="K43" s="248">
        <f t="shared" ca="1" si="6"/>
        <v>3.5820173659829266</v>
      </c>
      <c r="L43" s="304" t="s">
        <v>648</v>
      </c>
      <c r="M43" s="264" t="s">
        <v>448</v>
      </c>
      <c r="N43" s="264" t="s">
        <v>470</v>
      </c>
      <c r="O43" s="265">
        <v>41419</v>
      </c>
      <c r="P43" s="264" t="s">
        <v>531</v>
      </c>
      <c r="Q43" s="266">
        <v>100</v>
      </c>
      <c r="R43" s="264" t="s">
        <v>445</v>
      </c>
      <c r="S43" s="264" t="s">
        <v>532</v>
      </c>
      <c r="T43" s="264" t="s">
        <v>445</v>
      </c>
      <c r="U43" s="264" t="s">
        <v>446</v>
      </c>
      <c r="V43" s="266" t="b">
        <v>1</v>
      </c>
      <c r="W43" s="266">
        <v>1989</v>
      </c>
      <c r="X43" s="266">
        <v>5</v>
      </c>
      <c r="Y43" s="266">
        <v>2</v>
      </c>
      <c r="Z43" s="266">
        <v>4</v>
      </c>
      <c r="AA43" s="264" t="s">
        <v>447</v>
      </c>
      <c r="AB43" s="264" t="s">
        <v>531</v>
      </c>
      <c r="AC43" s="264" t="s">
        <v>533</v>
      </c>
      <c r="AD43" s="266">
        <v>1.8322000000000001</v>
      </c>
      <c r="AE43" s="266">
        <v>605</v>
      </c>
      <c r="AF43" s="266">
        <v>1.4219999999999999</v>
      </c>
      <c r="AG43" s="266">
        <v>-99</v>
      </c>
      <c r="AH43" s="264" t="s">
        <v>224</v>
      </c>
      <c r="AI43" s="264" t="s">
        <v>449</v>
      </c>
      <c r="AJ43" s="264" t="s">
        <v>285</v>
      </c>
      <c r="AK43" s="264" t="s">
        <v>531</v>
      </c>
      <c r="AL43" s="264" t="s">
        <v>381</v>
      </c>
      <c r="AM43" s="266" t="b">
        <v>1</v>
      </c>
      <c r="AN43" s="266" t="b">
        <v>0</v>
      </c>
      <c r="AO43" s="264" t="s">
        <v>286</v>
      </c>
      <c r="AP43" s="264" t="s">
        <v>287</v>
      </c>
      <c r="AQ43" s="266">
        <v>72.148780000000002</v>
      </c>
      <c r="AR43" s="266" t="b">
        <v>0</v>
      </c>
      <c r="AS43" s="264" t="s">
        <v>534</v>
      </c>
      <c r="AU43" s="222" t="s">
        <v>819</v>
      </c>
    </row>
    <row r="44" spans="1:47" s="219" customFormat="1" x14ac:dyDescent="0.25">
      <c r="A44" s="245">
        <f t="shared" si="7"/>
        <v>44</v>
      </c>
      <c r="B44" s="246" t="str">
        <f t="shared" si="0"/>
        <v>Oil Field - Compressor - Vapor Recovery</v>
      </c>
      <c r="C44" s="246" t="str">
        <f ca="1">IF(B44="","",VLOOKUP(D44,'Species Data'!B:E,4,FALSE))</f>
        <v>N_proben</v>
      </c>
      <c r="D44" s="246">
        <f t="shared" ca="1" si="2"/>
        <v>608</v>
      </c>
      <c r="E44" s="246">
        <f t="shared" ca="1" si="3"/>
        <v>1.38E-2</v>
      </c>
      <c r="F44" s="246" t="str">
        <f t="shared" ca="1" si="4"/>
        <v>N-propylbenzene</v>
      </c>
      <c r="G44" s="246">
        <f t="shared" ca="1" si="5"/>
        <v>120.19158</v>
      </c>
      <c r="H44" s="204">
        <f ca="1">IF(G44="","",IF(VLOOKUP(Compressor!F44,'Species Data'!D:F,3,FALSE)=0,"X",IF(G44&lt;44.1,2,1)))</f>
        <v>1</v>
      </c>
      <c r="I44" s="204">
        <f t="shared" ca="1" si="1"/>
        <v>1.3799627410059929E-2</v>
      </c>
      <c r="J44" s="247">
        <f ca="1">IF(I44="","",IF(COUNTIF($D$12:D44,D44)=1,IF(H44=1,I44*H44,IF(H44="X","X",0)),0))</f>
        <v>1.3799627410059929E-2</v>
      </c>
      <c r="K44" s="248">
        <f t="shared" ca="1" si="6"/>
        <v>3.4762193847091699E-2</v>
      </c>
      <c r="L44" s="304" t="s">
        <v>648</v>
      </c>
      <c r="M44" s="264" t="s">
        <v>448</v>
      </c>
      <c r="N44" s="264" t="s">
        <v>470</v>
      </c>
      <c r="O44" s="265">
        <v>41419</v>
      </c>
      <c r="P44" s="264" t="s">
        <v>531</v>
      </c>
      <c r="Q44" s="266">
        <v>100</v>
      </c>
      <c r="R44" s="264" t="s">
        <v>445</v>
      </c>
      <c r="S44" s="264" t="s">
        <v>532</v>
      </c>
      <c r="T44" s="264" t="s">
        <v>445</v>
      </c>
      <c r="U44" s="264" t="s">
        <v>446</v>
      </c>
      <c r="V44" s="266" t="b">
        <v>1</v>
      </c>
      <c r="W44" s="266">
        <v>1989</v>
      </c>
      <c r="X44" s="266">
        <v>5</v>
      </c>
      <c r="Y44" s="266">
        <v>2</v>
      </c>
      <c r="Z44" s="266">
        <v>4</v>
      </c>
      <c r="AA44" s="264" t="s">
        <v>447</v>
      </c>
      <c r="AB44" s="264" t="s">
        <v>531</v>
      </c>
      <c r="AC44" s="264" t="s">
        <v>533</v>
      </c>
      <c r="AD44" s="266">
        <v>1.8322000000000001</v>
      </c>
      <c r="AE44" s="266">
        <v>608</v>
      </c>
      <c r="AF44" s="266">
        <v>1.38E-2</v>
      </c>
      <c r="AG44" s="266">
        <v>-99</v>
      </c>
      <c r="AH44" s="264" t="s">
        <v>224</v>
      </c>
      <c r="AI44" s="264" t="s">
        <v>449</v>
      </c>
      <c r="AJ44" s="264" t="s">
        <v>420</v>
      </c>
      <c r="AK44" s="264" t="s">
        <v>531</v>
      </c>
      <c r="AL44" s="264" t="s">
        <v>454</v>
      </c>
      <c r="AM44" s="266" t="b">
        <v>1</v>
      </c>
      <c r="AN44" s="266" t="b">
        <v>0</v>
      </c>
      <c r="AO44" s="264" t="s">
        <v>421</v>
      </c>
      <c r="AP44" s="264" t="s">
        <v>422</v>
      </c>
      <c r="AQ44" s="266">
        <v>120.19158</v>
      </c>
      <c r="AR44" s="266" t="b">
        <v>0</v>
      </c>
      <c r="AS44" s="264" t="s">
        <v>534</v>
      </c>
      <c r="AU44" s="222" t="s">
        <v>819</v>
      </c>
    </row>
    <row r="45" spans="1:47" s="219" customFormat="1" x14ac:dyDescent="0.25">
      <c r="A45" s="245">
        <f t="shared" si="7"/>
        <v>45</v>
      </c>
      <c r="B45" s="246" t="str">
        <f t="shared" si="0"/>
        <v>Oil Field - Compressor - Vapor Recovery</v>
      </c>
      <c r="C45" s="246" t="str">
        <f ca="1">IF(B45="","",VLOOKUP(D45,'Species Data'!B:E,4,FALSE))</f>
        <v>O_xylene</v>
      </c>
      <c r="D45" s="246">
        <f t="shared" ca="1" si="2"/>
        <v>620</v>
      </c>
      <c r="E45" s="246">
        <f t="shared" ca="1" si="3"/>
        <v>3.78E-2</v>
      </c>
      <c r="F45" s="246" t="str">
        <f t="shared" ca="1" si="4"/>
        <v>O-xylene</v>
      </c>
      <c r="G45" s="246">
        <f t="shared" ca="1" si="5"/>
        <v>106.16500000000001</v>
      </c>
      <c r="H45" s="204">
        <f ca="1">IF(G45="","",IF(VLOOKUP(Compressor!F45,'Species Data'!D:F,3,FALSE)=0,"X",IF(G45&lt;44.1,2,1)))</f>
        <v>1</v>
      </c>
      <c r="I45" s="204">
        <f t="shared" ca="1" si="1"/>
        <v>3.779897942755546E-2</v>
      </c>
      <c r="J45" s="247">
        <f ca="1">IF(I45="","",IF(COUNTIF($D$12:D45,D45)=1,IF(H45=1,I45*H45,IF(H45="X","X",0)),0))</f>
        <v>3.779897942755546E-2</v>
      </c>
      <c r="K45" s="248">
        <f t="shared" ca="1" si="6"/>
        <v>9.5218183146381613E-2</v>
      </c>
      <c r="L45" s="304" t="s">
        <v>648</v>
      </c>
      <c r="M45" s="264" t="s">
        <v>448</v>
      </c>
      <c r="N45" s="264" t="s">
        <v>470</v>
      </c>
      <c r="O45" s="265">
        <v>41419</v>
      </c>
      <c r="P45" s="264" t="s">
        <v>531</v>
      </c>
      <c r="Q45" s="266">
        <v>100</v>
      </c>
      <c r="R45" s="264" t="s">
        <v>445</v>
      </c>
      <c r="S45" s="264" t="s">
        <v>532</v>
      </c>
      <c r="T45" s="264" t="s">
        <v>445</v>
      </c>
      <c r="U45" s="264" t="s">
        <v>446</v>
      </c>
      <c r="V45" s="266" t="b">
        <v>1</v>
      </c>
      <c r="W45" s="266">
        <v>1989</v>
      </c>
      <c r="X45" s="266">
        <v>5</v>
      </c>
      <c r="Y45" s="266">
        <v>2</v>
      </c>
      <c r="Z45" s="266">
        <v>4</v>
      </c>
      <c r="AA45" s="264" t="s">
        <v>447</v>
      </c>
      <c r="AB45" s="264" t="s">
        <v>531</v>
      </c>
      <c r="AC45" s="264" t="s">
        <v>533</v>
      </c>
      <c r="AD45" s="266">
        <v>1.8322000000000001</v>
      </c>
      <c r="AE45" s="266">
        <v>620</v>
      </c>
      <c r="AF45" s="266">
        <v>3.78E-2</v>
      </c>
      <c r="AG45" s="266">
        <v>-99</v>
      </c>
      <c r="AH45" s="264" t="s">
        <v>224</v>
      </c>
      <c r="AI45" s="264" t="s">
        <v>449</v>
      </c>
      <c r="AJ45" s="264" t="s">
        <v>354</v>
      </c>
      <c r="AK45" s="264" t="s">
        <v>531</v>
      </c>
      <c r="AL45" s="264" t="s">
        <v>398</v>
      </c>
      <c r="AM45" s="266" t="b">
        <v>1</v>
      </c>
      <c r="AN45" s="266" t="b">
        <v>1</v>
      </c>
      <c r="AO45" s="264" t="s">
        <v>355</v>
      </c>
      <c r="AP45" s="264" t="s">
        <v>356</v>
      </c>
      <c r="AQ45" s="266">
        <v>106.16500000000001</v>
      </c>
      <c r="AR45" s="266" t="b">
        <v>0</v>
      </c>
      <c r="AS45" s="264" t="s">
        <v>534</v>
      </c>
      <c r="AT45" s="310" t="s">
        <v>820</v>
      </c>
      <c r="AU45" s="222" t="s">
        <v>819</v>
      </c>
    </row>
    <row r="46" spans="1:47" s="219" customFormat="1" x14ac:dyDescent="0.25">
      <c r="A46" s="245">
        <f t="shared" si="7"/>
        <v>46</v>
      </c>
      <c r="B46" s="246" t="str">
        <f t="shared" si="0"/>
        <v>Oil Field - Compressor - Vapor Recovery</v>
      </c>
      <c r="C46" s="246" t="str">
        <f ca="1">IF(B46="","",VLOOKUP(D46,'Species Data'!B:E,4,FALSE))</f>
        <v>P_xylene</v>
      </c>
      <c r="D46" s="246">
        <f t="shared" ca="1" si="2"/>
        <v>648</v>
      </c>
      <c r="E46" s="246">
        <f t="shared" ca="1" si="3"/>
        <v>5.45E-2</v>
      </c>
      <c r="F46" s="246" t="str">
        <f t="shared" ca="1" si="4"/>
        <v>P-xylene</v>
      </c>
      <c r="G46" s="246">
        <f t="shared" ca="1" si="5"/>
        <v>106.16500000000001</v>
      </c>
      <c r="H46" s="204">
        <f ca="1">IF(G46="","",IF(VLOOKUP(Compressor!F46,'Species Data'!D:F,3,FALSE)=0,"X",IF(G46&lt;44.1,2,1)))</f>
        <v>1</v>
      </c>
      <c r="I46" s="204">
        <f t="shared" ca="1" si="1"/>
        <v>5.4498528539729425E-2</v>
      </c>
      <c r="J46" s="247">
        <f ca="1">IF(I46="","",IF(COUNTIF($D$12:D46,D46)=1,IF(H46=1,I46*H46,IF(H46="X","X",0)),0))</f>
        <v>5.4498528539729425E-2</v>
      </c>
      <c r="K46" s="248">
        <f t="shared" ca="1" si="6"/>
        <v>0.13728547570047081</v>
      </c>
      <c r="L46" s="304" t="s">
        <v>648</v>
      </c>
      <c r="M46" s="264" t="s">
        <v>448</v>
      </c>
      <c r="N46" s="264" t="s">
        <v>470</v>
      </c>
      <c r="O46" s="265">
        <v>41419</v>
      </c>
      <c r="P46" s="264" t="s">
        <v>531</v>
      </c>
      <c r="Q46" s="266">
        <v>100</v>
      </c>
      <c r="R46" s="264" t="s">
        <v>445</v>
      </c>
      <c r="S46" s="264" t="s">
        <v>532</v>
      </c>
      <c r="T46" s="264" t="s">
        <v>445</v>
      </c>
      <c r="U46" s="264" t="s">
        <v>446</v>
      </c>
      <c r="V46" s="266" t="b">
        <v>1</v>
      </c>
      <c r="W46" s="266">
        <v>1989</v>
      </c>
      <c r="X46" s="266">
        <v>5</v>
      </c>
      <c r="Y46" s="266">
        <v>2</v>
      </c>
      <c r="Z46" s="266">
        <v>4</v>
      </c>
      <c r="AA46" s="264" t="s">
        <v>447</v>
      </c>
      <c r="AB46" s="264" t="s">
        <v>531</v>
      </c>
      <c r="AC46" s="264" t="s">
        <v>533</v>
      </c>
      <c r="AD46" s="266">
        <v>1.8322000000000001</v>
      </c>
      <c r="AE46" s="266">
        <v>648</v>
      </c>
      <c r="AF46" s="266">
        <v>5.45E-2</v>
      </c>
      <c r="AG46" s="266">
        <v>-99</v>
      </c>
      <c r="AH46" s="264" t="s">
        <v>224</v>
      </c>
      <c r="AI46" s="264" t="s">
        <v>449</v>
      </c>
      <c r="AJ46" s="264" t="s">
        <v>433</v>
      </c>
      <c r="AK46" s="264" t="s">
        <v>531</v>
      </c>
      <c r="AL46" s="264" t="s">
        <v>459</v>
      </c>
      <c r="AM46" s="266" t="b">
        <v>0</v>
      </c>
      <c r="AN46" s="266" t="b">
        <v>1</v>
      </c>
      <c r="AO46" s="264" t="s">
        <v>434</v>
      </c>
      <c r="AP46" s="264" t="s">
        <v>435</v>
      </c>
      <c r="AQ46" s="266">
        <v>106.16500000000001</v>
      </c>
      <c r="AR46" s="266" t="b">
        <v>0</v>
      </c>
      <c r="AS46" s="264" t="s">
        <v>534</v>
      </c>
      <c r="AT46" s="310" t="s">
        <v>820</v>
      </c>
      <c r="AU46" s="222" t="s">
        <v>819</v>
      </c>
    </row>
    <row r="47" spans="1:47" s="219" customFormat="1" x14ac:dyDescent="0.25">
      <c r="A47" s="245">
        <f t="shared" si="7"/>
        <v>47</v>
      </c>
      <c r="B47" s="246" t="str">
        <f t="shared" si="0"/>
        <v>Oil Field - Compressor - Vapor Recovery</v>
      </c>
      <c r="C47" s="246" t="str">
        <f ca="1">IF(B47="","",VLOOKUP(D47,'Species Data'!B:E,4,FALSE))</f>
        <v>propane</v>
      </c>
      <c r="D47" s="246">
        <f t="shared" ca="1" si="2"/>
        <v>671</v>
      </c>
      <c r="E47" s="246">
        <f t="shared" ca="1" si="3"/>
        <v>14.883599999999999</v>
      </c>
      <c r="F47" s="246" t="str">
        <f t="shared" ca="1" si="4"/>
        <v>Propane</v>
      </c>
      <c r="G47" s="246">
        <f t="shared" ca="1" si="5"/>
        <v>44.095619999999997</v>
      </c>
      <c r="H47" s="204">
        <f ca="1">IF(G47="","",IF(VLOOKUP(Compressor!F47,'Species Data'!D:F,3,FALSE)=0,"X",IF(G47&lt;44.1,2,1)))</f>
        <v>2</v>
      </c>
      <c r="I47" s="204">
        <f t="shared" ca="1" si="1"/>
        <v>14.88319815364985</v>
      </c>
      <c r="J47" s="247">
        <f ca="1">IF(I47="","",IF(COUNTIF($D$12:D47,D47)=1,IF(H47=1,I47*H47,IF(H47="X","X",0)),0))</f>
        <v>0</v>
      </c>
      <c r="K47" s="248">
        <f t="shared" ca="1" si="6"/>
        <v>0</v>
      </c>
      <c r="L47" s="304" t="s">
        <v>648</v>
      </c>
      <c r="M47" s="264" t="s">
        <v>448</v>
      </c>
      <c r="N47" s="264" t="s">
        <v>470</v>
      </c>
      <c r="O47" s="265">
        <v>41419</v>
      </c>
      <c r="P47" s="264" t="s">
        <v>531</v>
      </c>
      <c r="Q47" s="266">
        <v>100</v>
      </c>
      <c r="R47" s="264" t="s">
        <v>445</v>
      </c>
      <c r="S47" s="264" t="s">
        <v>532</v>
      </c>
      <c r="T47" s="264" t="s">
        <v>445</v>
      </c>
      <c r="U47" s="264" t="s">
        <v>446</v>
      </c>
      <c r="V47" s="266" t="b">
        <v>1</v>
      </c>
      <c r="W47" s="266">
        <v>1989</v>
      </c>
      <c r="X47" s="266">
        <v>5</v>
      </c>
      <c r="Y47" s="266">
        <v>2</v>
      </c>
      <c r="Z47" s="266">
        <v>4</v>
      </c>
      <c r="AA47" s="264" t="s">
        <v>447</v>
      </c>
      <c r="AB47" s="264" t="s">
        <v>531</v>
      </c>
      <c r="AC47" s="264" t="s">
        <v>533</v>
      </c>
      <c r="AD47" s="266">
        <v>1.8322000000000001</v>
      </c>
      <c r="AE47" s="266">
        <v>671</v>
      </c>
      <c r="AF47" s="266">
        <v>14.883599999999999</v>
      </c>
      <c r="AG47" s="266">
        <v>-99</v>
      </c>
      <c r="AH47" s="264" t="s">
        <v>224</v>
      </c>
      <c r="AI47" s="264" t="s">
        <v>449</v>
      </c>
      <c r="AJ47" s="264" t="s">
        <v>288</v>
      </c>
      <c r="AK47" s="264" t="s">
        <v>531</v>
      </c>
      <c r="AL47" s="264" t="s">
        <v>382</v>
      </c>
      <c r="AM47" s="266" t="b">
        <v>1</v>
      </c>
      <c r="AN47" s="266" t="b">
        <v>0</v>
      </c>
      <c r="AO47" s="264" t="s">
        <v>289</v>
      </c>
      <c r="AP47" s="264" t="s">
        <v>290</v>
      </c>
      <c r="AQ47" s="266">
        <v>44.095619999999997</v>
      </c>
      <c r="AR47" s="266" t="b">
        <v>0</v>
      </c>
      <c r="AS47" s="264" t="s">
        <v>534</v>
      </c>
      <c r="AU47" s="222" t="s">
        <v>819</v>
      </c>
    </row>
    <row r="48" spans="1:47" s="219" customFormat="1" x14ac:dyDescent="0.25">
      <c r="A48" s="245">
        <f t="shared" si="7"/>
        <v>48</v>
      </c>
      <c r="B48" s="246" t="str">
        <f t="shared" si="0"/>
        <v>Oil Field - Compressor - Vapor Recovery</v>
      </c>
      <c r="C48" s="246" t="str">
        <f ca="1">IF(B48="","",VLOOKUP(D48,'Species Data'!B:E,4,FALSE))</f>
        <v>T_butben</v>
      </c>
      <c r="D48" s="246">
        <f t="shared" ca="1" si="2"/>
        <v>703</v>
      </c>
      <c r="E48" s="246">
        <f t="shared" ca="1" si="3"/>
        <v>1.15E-2</v>
      </c>
      <c r="F48" s="246" t="str">
        <f t="shared" ca="1" si="4"/>
        <v>T-butylbenzene</v>
      </c>
      <c r="G48" s="246">
        <f t="shared" ca="1" si="5"/>
        <v>134.21816000000001</v>
      </c>
      <c r="H48" s="204" t="str">
        <f ca="1">IF(G48="","",IF(VLOOKUP(Compressor!F48,'Species Data'!D:F,3,FALSE)=0,"X",IF(G48&lt;44.1,2,1)))</f>
        <v>X</v>
      </c>
      <c r="I48" s="204">
        <f t="shared" ca="1" si="1"/>
        <v>1.1499689508383273E-2</v>
      </c>
      <c r="J48" s="247" t="str">
        <f ca="1">IF(I48="","",IF(COUNTIF($D$12:D48,D48)=1,IF(H48=1,I48*H48,IF(H48="X","X",0)),0))</f>
        <v>X</v>
      </c>
      <c r="K48" s="248">
        <f t="shared" ca="1" si="6"/>
        <v>0</v>
      </c>
      <c r="L48" s="304" t="s">
        <v>648</v>
      </c>
      <c r="M48" s="264" t="s">
        <v>448</v>
      </c>
      <c r="N48" s="264" t="s">
        <v>470</v>
      </c>
      <c r="O48" s="265">
        <v>41419</v>
      </c>
      <c r="P48" s="264" t="s">
        <v>531</v>
      </c>
      <c r="Q48" s="266">
        <v>100</v>
      </c>
      <c r="R48" s="264" t="s">
        <v>445</v>
      </c>
      <c r="S48" s="264" t="s">
        <v>532</v>
      </c>
      <c r="T48" s="264" t="s">
        <v>445</v>
      </c>
      <c r="U48" s="264" t="s">
        <v>446</v>
      </c>
      <c r="V48" s="266" t="b">
        <v>1</v>
      </c>
      <c r="W48" s="266">
        <v>1989</v>
      </c>
      <c r="X48" s="266">
        <v>5</v>
      </c>
      <c r="Y48" s="266">
        <v>2</v>
      </c>
      <c r="Z48" s="266">
        <v>4</v>
      </c>
      <c r="AA48" s="264" t="s">
        <v>447</v>
      </c>
      <c r="AB48" s="264" t="s">
        <v>531</v>
      </c>
      <c r="AC48" s="264" t="s">
        <v>533</v>
      </c>
      <c r="AD48" s="266">
        <v>1.8322000000000001</v>
      </c>
      <c r="AE48" s="266">
        <v>703</v>
      </c>
      <c r="AF48" s="266">
        <v>1.15E-2</v>
      </c>
      <c r="AG48" s="266">
        <v>-99</v>
      </c>
      <c r="AH48" s="264" t="s">
        <v>224</v>
      </c>
      <c r="AI48" s="264" t="s">
        <v>449</v>
      </c>
      <c r="AJ48" s="264" t="s">
        <v>423</v>
      </c>
      <c r="AK48" s="264" t="s">
        <v>531</v>
      </c>
      <c r="AL48" s="264" t="s">
        <v>455</v>
      </c>
      <c r="AM48" s="266" t="b">
        <v>0</v>
      </c>
      <c r="AN48" s="266" t="b">
        <v>0</v>
      </c>
      <c r="AO48" s="264" t="s">
        <v>424</v>
      </c>
      <c r="AP48" s="264" t="s">
        <v>531</v>
      </c>
      <c r="AQ48" s="266">
        <v>134.21816000000001</v>
      </c>
      <c r="AR48" s="266" t="b">
        <v>0</v>
      </c>
      <c r="AS48" s="264" t="s">
        <v>534</v>
      </c>
      <c r="AU48" s="222" t="s">
        <v>819</v>
      </c>
    </row>
    <row r="49" spans="1:47" s="219" customFormat="1" x14ac:dyDescent="0.25">
      <c r="A49" s="245">
        <f t="shared" si="7"/>
        <v>49</v>
      </c>
      <c r="B49" s="246" t="str">
        <f t="shared" si="0"/>
        <v>Oil Field - Compressor - Vapor Recovery</v>
      </c>
      <c r="C49" s="246" t="str">
        <f ca="1">IF(B49="","",VLOOKUP(D49,'Species Data'!B:E,4,FALSE))</f>
        <v>toluene</v>
      </c>
      <c r="D49" s="246">
        <f t="shared" ca="1" si="2"/>
        <v>717</v>
      </c>
      <c r="E49" s="246">
        <f t="shared" ca="1" si="3"/>
        <v>0.13819999999999999</v>
      </c>
      <c r="F49" s="246" t="str">
        <f t="shared" ca="1" si="4"/>
        <v>Toluene</v>
      </c>
      <c r="G49" s="246">
        <f t="shared" ca="1" si="5"/>
        <v>92.138419999999996</v>
      </c>
      <c r="H49" s="204">
        <f ca="1">IF(G49="","",IF(VLOOKUP(Compressor!F49,'Species Data'!D:F,3,FALSE)=0,"X",IF(G49&lt;44.1,2,1)))</f>
        <v>1</v>
      </c>
      <c r="I49" s="204">
        <f t="shared" ca="1" si="1"/>
        <v>0.13819626870074506</v>
      </c>
      <c r="J49" s="247">
        <f ca="1">IF(I49="","",IF(COUNTIF($D$12:D49,D49)=1,IF(H49=1,I49*H49,IF(H49="X","X",0)),0))</f>
        <v>0.13819626870074506</v>
      </c>
      <c r="K49" s="248">
        <f t="shared" ca="1" si="6"/>
        <v>0.34812573838174427</v>
      </c>
      <c r="L49" s="304" t="s">
        <v>648</v>
      </c>
      <c r="M49" s="264" t="s">
        <v>448</v>
      </c>
      <c r="N49" s="264" t="s">
        <v>470</v>
      </c>
      <c r="O49" s="265">
        <v>41419</v>
      </c>
      <c r="P49" s="264" t="s">
        <v>531</v>
      </c>
      <c r="Q49" s="266">
        <v>100</v>
      </c>
      <c r="R49" s="264" t="s">
        <v>445</v>
      </c>
      <c r="S49" s="264" t="s">
        <v>532</v>
      </c>
      <c r="T49" s="264" t="s">
        <v>445</v>
      </c>
      <c r="U49" s="264" t="s">
        <v>446</v>
      </c>
      <c r="V49" s="266" t="b">
        <v>1</v>
      </c>
      <c r="W49" s="266">
        <v>1989</v>
      </c>
      <c r="X49" s="266">
        <v>5</v>
      </c>
      <c r="Y49" s="266">
        <v>2</v>
      </c>
      <c r="Z49" s="266">
        <v>4</v>
      </c>
      <c r="AA49" s="264" t="s">
        <v>447</v>
      </c>
      <c r="AB49" s="264" t="s">
        <v>531</v>
      </c>
      <c r="AC49" s="264" t="s">
        <v>533</v>
      </c>
      <c r="AD49" s="266">
        <v>1.8322000000000001</v>
      </c>
      <c r="AE49" s="266">
        <v>717</v>
      </c>
      <c r="AF49" s="266">
        <v>0.13819999999999999</v>
      </c>
      <c r="AG49" s="266">
        <v>-99</v>
      </c>
      <c r="AH49" s="264" t="s">
        <v>224</v>
      </c>
      <c r="AI49" s="264" t="s">
        <v>449</v>
      </c>
      <c r="AJ49" s="264" t="s">
        <v>294</v>
      </c>
      <c r="AK49" s="264" t="s">
        <v>531</v>
      </c>
      <c r="AL49" s="264" t="s">
        <v>383</v>
      </c>
      <c r="AM49" s="266" t="b">
        <v>1</v>
      </c>
      <c r="AN49" s="266" t="b">
        <v>1</v>
      </c>
      <c r="AO49" s="264" t="s">
        <v>295</v>
      </c>
      <c r="AP49" s="264" t="s">
        <v>296</v>
      </c>
      <c r="AQ49" s="266">
        <v>92.138419999999996</v>
      </c>
      <c r="AR49" s="266" t="b">
        <v>0</v>
      </c>
      <c r="AS49" s="264" t="s">
        <v>534</v>
      </c>
      <c r="AU49" s="222" t="s">
        <v>819</v>
      </c>
    </row>
    <row r="50" spans="1:47" s="219" customFormat="1" x14ac:dyDescent="0.25">
      <c r="A50" s="245">
        <f t="shared" si="7"/>
        <v>50</v>
      </c>
      <c r="B50" s="246" t="str">
        <f t="shared" si="0"/>
        <v>Oil Field - Compressor - Vapor Recovery</v>
      </c>
      <c r="C50" s="246" t="str">
        <f ca="1">IF(B50="","",VLOOKUP(D50,'Species Data'!B:E,4,FALSE))</f>
        <v>c10_comp</v>
      </c>
      <c r="D50" s="246">
        <f t="shared" ca="1" si="2"/>
        <v>1924</v>
      </c>
      <c r="E50" s="246">
        <f t="shared" ca="1" si="3"/>
        <v>0.10730000000000001</v>
      </c>
      <c r="F50" s="246" t="str">
        <f t="shared" ca="1" si="4"/>
        <v>C-10 Compounds</v>
      </c>
      <c r="G50" s="246">
        <f t="shared" ca="1" si="5"/>
        <v>142.28167999999999</v>
      </c>
      <c r="H50" s="204" t="str">
        <f ca="1">IF(G50="","",IF(VLOOKUP(Compressor!F50,'Species Data'!D:F,3,FALSE)=0,"X",IF(G50&lt;44.1,2,1)))</f>
        <v>X</v>
      </c>
      <c r="I50" s="204">
        <f t="shared" ca="1" si="1"/>
        <v>0.10729710297821959</v>
      </c>
      <c r="J50" s="247" t="str">
        <f ca="1">IF(I50="","",IF(COUNTIF($D$12:D50,D50)=1,IF(H50=1,I50*H50,IF(H50="X","X",0)),0))</f>
        <v>X</v>
      </c>
      <c r="K50" s="248">
        <f t="shared" ca="1" si="6"/>
        <v>0</v>
      </c>
      <c r="L50" s="304" t="s">
        <v>648</v>
      </c>
      <c r="M50" s="264" t="s">
        <v>448</v>
      </c>
      <c r="N50" s="264" t="s">
        <v>470</v>
      </c>
      <c r="O50" s="265">
        <v>41419</v>
      </c>
      <c r="P50" s="264" t="s">
        <v>531</v>
      </c>
      <c r="Q50" s="266">
        <v>100</v>
      </c>
      <c r="R50" s="264" t="s">
        <v>445</v>
      </c>
      <c r="S50" s="264" t="s">
        <v>532</v>
      </c>
      <c r="T50" s="264" t="s">
        <v>445</v>
      </c>
      <c r="U50" s="264" t="s">
        <v>446</v>
      </c>
      <c r="V50" s="266" t="b">
        <v>1</v>
      </c>
      <c r="W50" s="266">
        <v>1989</v>
      </c>
      <c r="X50" s="266">
        <v>5</v>
      </c>
      <c r="Y50" s="266">
        <v>2</v>
      </c>
      <c r="Z50" s="266">
        <v>4</v>
      </c>
      <c r="AA50" s="264" t="s">
        <v>447</v>
      </c>
      <c r="AB50" s="264" t="s">
        <v>531</v>
      </c>
      <c r="AC50" s="264" t="s">
        <v>533</v>
      </c>
      <c r="AD50" s="266">
        <v>1.8322000000000001</v>
      </c>
      <c r="AE50" s="266">
        <v>1924</v>
      </c>
      <c r="AF50" s="266">
        <v>0.10730000000000001</v>
      </c>
      <c r="AG50" s="266">
        <v>-99</v>
      </c>
      <c r="AH50" s="264" t="s">
        <v>224</v>
      </c>
      <c r="AI50" s="264" t="s">
        <v>449</v>
      </c>
      <c r="AJ50" s="264" t="s">
        <v>224</v>
      </c>
      <c r="AK50" s="264" t="s">
        <v>531</v>
      </c>
      <c r="AL50" s="264" t="s">
        <v>466</v>
      </c>
      <c r="AM50" s="266" t="b">
        <v>0</v>
      </c>
      <c r="AN50" s="266" t="b">
        <v>0</v>
      </c>
      <c r="AO50" s="264" t="s">
        <v>535</v>
      </c>
      <c r="AP50" s="264" t="s">
        <v>536</v>
      </c>
      <c r="AQ50" s="266">
        <v>142.28167999999999</v>
      </c>
      <c r="AR50" s="266" t="b">
        <v>0</v>
      </c>
      <c r="AS50" s="264" t="s">
        <v>534</v>
      </c>
      <c r="AU50" s="222" t="s">
        <v>819</v>
      </c>
    </row>
    <row r="51" spans="1:47" s="219" customFormat="1" x14ac:dyDescent="0.25">
      <c r="A51" s="245">
        <f t="shared" si="7"/>
        <v>51</v>
      </c>
      <c r="B51" s="246" t="str">
        <f t="shared" si="0"/>
        <v>Oil Field - Compressor - Vapor Recovery</v>
      </c>
      <c r="C51" s="246" t="str">
        <f ca="1">IF(B51="","",VLOOKUP(D51,'Species Data'!B:E,4,FALSE))</f>
        <v>c11_comp</v>
      </c>
      <c r="D51" s="246">
        <f t="shared" ca="1" si="2"/>
        <v>1929</v>
      </c>
      <c r="E51" s="246">
        <f t="shared" ca="1" si="3"/>
        <v>6.7999999999999996E-3</v>
      </c>
      <c r="F51" s="246" t="str">
        <f t="shared" ca="1" si="4"/>
        <v>C-11 Compounds</v>
      </c>
      <c r="G51" s="246">
        <f t="shared" ca="1" si="5"/>
        <v>156.30826000000002</v>
      </c>
      <c r="H51" s="204" t="str">
        <f ca="1">IF(G51="","",IF(VLOOKUP(Compressor!F51,'Species Data'!D:F,3,FALSE)=0,"X",IF(G51&lt;44.1,2,1)))</f>
        <v>X</v>
      </c>
      <c r="I51" s="204">
        <f t="shared" ca="1" si="1"/>
        <v>6.7998164049570655E-3</v>
      </c>
      <c r="J51" s="247" t="str">
        <f ca="1">IF(I51="","",IF(COUNTIF($D$12:D51,D51)=1,IF(H51=1,I51*H51,IF(H51="X","X",0)),0))</f>
        <v>X</v>
      </c>
      <c r="K51" s="248">
        <f t="shared" ca="1" si="6"/>
        <v>0</v>
      </c>
      <c r="L51" s="304" t="s">
        <v>648</v>
      </c>
      <c r="M51" s="264" t="s">
        <v>448</v>
      </c>
      <c r="N51" s="264" t="s">
        <v>470</v>
      </c>
      <c r="O51" s="265">
        <v>41419</v>
      </c>
      <c r="P51" s="264" t="s">
        <v>531</v>
      </c>
      <c r="Q51" s="266">
        <v>100</v>
      </c>
      <c r="R51" s="264" t="s">
        <v>445</v>
      </c>
      <c r="S51" s="264" t="s">
        <v>532</v>
      </c>
      <c r="T51" s="264" t="s">
        <v>445</v>
      </c>
      <c r="U51" s="264" t="s">
        <v>446</v>
      </c>
      <c r="V51" s="266" t="b">
        <v>1</v>
      </c>
      <c r="W51" s="266">
        <v>1989</v>
      </c>
      <c r="X51" s="266">
        <v>5</v>
      </c>
      <c r="Y51" s="266">
        <v>2</v>
      </c>
      <c r="Z51" s="266">
        <v>4</v>
      </c>
      <c r="AA51" s="264" t="s">
        <v>447</v>
      </c>
      <c r="AB51" s="264" t="s">
        <v>531</v>
      </c>
      <c r="AC51" s="264" t="s">
        <v>533</v>
      </c>
      <c r="AD51" s="266">
        <v>1.8322000000000001</v>
      </c>
      <c r="AE51" s="266">
        <v>1929</v>
      </c>
      <c r="AF51" s="266">
        <v>6.7999999999999996E-3</v>
      </c>
      <c r="AG51" s="266">
        <v>-99</v>
      </c>
      <c r="AH51" s="264" t="s">
        <v>224</v>
      </c>
      <c r="AI51" s="264" t="s">
        <v>449</v>
      </c>
      <c r="AJ51" s="264" t="s">
        <v>224</v>
      </c>
      <c r="AK51" s="264" t="s">
        <v>531</v>
      </c>
      <c r="AL51" s="264" t="s">
        <v>467</v>
      </c>
      <c r="AM51" s="266" t="b">
        <v>0</v>
      </c>
      <c r="AN51" s="266" t="b">
        <v>0</v>
      </c>
      <c r="AO51" s="264" t="s">
        <v>468</v>
      </c>
      <c r="AP51" s="264" t="s">
        <v>469</v>
      </c>
      <c r="AQ51" s="266">
        <v>156.30826000000002</v>
      </c>
      <c r="AR51" s="266" t="b">
        <v>0</v>
      </c>
      <c r="AS51" s="264" t="s">
        <v>534</v>
      </c>
      <c r="AU51" s="222" t="s">
        <v>819</v>
      </c>
    </row>
    <row r="52" spans="1:47" s="219" customFormat="1" x14ac:dyDescent="0.25">
      <c r="A52" s="245">
        <f t="shared" si="7"/>
        <v>52</v>
      </c>
      <c r="B52" s="246" t="str">
        <f t="shared" si="0"/>
        <v>Oil Field - Compressor - Vapor Recovery</v>
      </c>
      <c r="C52" s="246" t="str">
        <f ca="1">IF(B52="","",VLOOKUP(D52,'Species Data'!B:E,4,FALSE))</f>
        <v>c_4_comp</v>
      </c>
      <c r="D52" s="246">
        <f t="shared" ca="1" si="2"/>
        <v>1976</v>
      </c>
      <c r="E52" s="246">
        <f t="shared" ca="1" si="3"/>
        <v>6.1069000000000004</v>
      </c>
      <c r="F52" s="246" t="str">
        <f t="shared" ca="1" si="4"/>
        <v>C-4 Compounds</v>
      </c>
      <c r="G52" s="246">
        <f t="shared" ca="1" si="5"/>
        <v>56.106319999999997</v>
      </c>
      <c r="H52" s="204" t="str">
        <f ca="1">IF(G52="","",IF(VLOOKUP(Compressor!F52,'Species Data'!D:F,3,FALSE)=0,"X",IF(G52&lt;44.1,2,1)))</f>
        <v>X</v>
      </c>
      <c r="I52" s="204">
        <f t="shared" ca="1" si="1"/>
        <v>6.1067351181518106</v>
      </c>
      <c r="J52" s="247" t="str">
        <f ca="1">IF(I52="","",IF(COUNTIF($D$12:D52,D52)=1,IF(H52=1,I52*H52,IF(H52="X","X",0)),0))</f>
        <v>X</v>
      </c>
      <c r="K52" s="248">
        <f t="shared" ca="1" si="6"/>
        <v>0</v>
      </c>
      <c r="L52" s="304" t="s">
        <v>648</v>
      </c>
      <c r="M52" s="264" t="s">
        <v>448</v>
      </c>
      <c r="N52" s="264" t="s">
        <v>470</v>
      </c>
      <c r="O52" s="265">
        <v>41419</v>
      </c>
      <c r="P52" s="264" t="s">
        <v>531</v>
      </c>
      <c r="Q52" s="266">
        <v>100</v>
      </c>
      <c r="R52" s="264" t="s">
        <v>445</v>
      </c>
      <c r="S52" s="264" t="s">
        <v>532</v>
      </c>
      <c r="T52" s="264" t="s">
        <v>445</v>
      </c>
      <c r="U52" s="264" t="s">
        <v>446</v>
      </c>
      <c r="V52" s="266" t="b">
        <v>1</v>
      </c>
      <c r="W52" s="266">
        <v>1989</v>
      </c>
      <c r="X52" s="266">
        <v>5</v>
      </c>
      <c r="Y52" s="266">
        <v>2</v>
      </c>
      <c r="Z52" s="266">
        <v>4</v>
      </c>
      <c r="AA52" s="264" t="s">
        <v>447</v>
      </c>
      <c r="AB52" s="264" t="s">
        <v>531</v>
      </c>
      <c r="AC52" s="264" t="s">
        <v>533</v>
      </c>
      <c r="AD52" s="266">
        <v>1.8322000000000001</v>
      </c>
      <c r="AE52" s="266">
        <v>1976</v>
      </c>
      <c r="AF52" s="266">
        <v>6.1069000000000004</v>
      </c>
      <c r="AG52" s="266">
        <v>-99</v>
      </c>
      <c r="AH52" s="264" t="s">
        <v>224</v>
      </c>
      <c r="AI52" s="264" t="s">
        <v>449</v>
      </c>
      <c r="AJ52" s="264" t="s">
        <v>224</v>
      </c>
      <c r="AK52" s="264" t="s">
        <v>531</v>
      </c>
      <c r="AL52" s="264" t="s">
        <v>465</v>
      </c>
      <c r="AM52" s="266" t="b">
        <v>0</v>
      </c>
      <c r="AN52" s="266" t="b">
        <v>0</v>
      </c>
      <c r="AO52" s="264" t="s">
        <v>551</v>
      </c>
      <c r="AP52" s="264" t="s">
        <v>552</v>
      </c>
      <c r="AQ52" s="266">
        <v>56.106319999999997</v>
      </c>
      <c r="AR52" s="266" t="b">
        <v>0</v>
      </c>
      <c r="AS52" s="264" t="s">
        <v>534</v>
      </c>
      <c r="AU52" s="222" t="s">
        <v>819</v>
      </c>
    </row>
    <row r="53" spans="1:47" s="219" customFormat="1" x14ac:dyDescent="0.25">
      <c r="A53" s="245">
        <f t="shared" si="7"/>
        <v>53</v>
      </c>
      <c r="B53" s="246" t="str">
        <f t="shared" si="0"/>
        <v>Oil Field - Compressor - Vapor Recovery</v>
      </c>
      <c r="C53" s="246" t="str">
        <f ca="1">IF(B53="","",VLOOKUP(D53,'Species Data'!B:E,4,FALSE))</f>
        <v>c5_comp</v>
      </c>
      <c r="D53" s="246">
        <f t="shared" ca="1" si="2"/>
        <v>1986</v>
      </c>
      <c r="E53" s="246">
        <f t="shared" ca="1" si="3"/>
        <v>3.0811999999999999</v>
      </c>
      <c r="F53" s="246" t="str">
        <f t="shared" ca="1" si="4"/>
        <v>C-5 Compounds</v>
      </c>
      <c r="G53" s="246">
        <f t="shared" ca="1" si="5"/>
        <v>72.148780000000002</v>
      </c>
      <c r="H53" s="204" t="str">
        <f ca="1">IF(G53="","",IF(VLOOKUP(Compressor!F53,'Species Data'!D:F,3,FALSE)=0,"X",IF(G53&lt;44.1,2,1)))</f>
        <v>X</v>
      </c>
      <c r="I53" s="204">
        <f t="shared" ca="1" si="1"/>
        <v>3.0811168098461339</v>
      </c>
      <c r="J53" s="247" t="str">
        <f ca="1">IF(I53="","",IF(COUNTIF($D$12:D53,D53)=1,IF(H53=1,I53*H53,IF(H53="X","X",0)),0))</f>
        <v>X</v>
      </c>
      <c r="K53" s="248">
        <f t="shared" ca="1" si="6"/>
        <v>0</v>
      </c>
      <c r="L53" s="304" t="s">
        <v>648</v>
      </c>
      <c r="M53" s="264" t="s">
        <v>448</v>
      </c>
      <c r="N53" s="264" t="s">
        <v>470</v>
      </c>
      <c r="O53" s="265">
        <v>41419</v>
      </c>
      <c r="P53" s="264" t="s">
        <v>531</v>
      </c>
      <c r="Q53" s="266">
        <v>100</v>
      </c>
      <c r="R53" s="264" t="s">
        <v>445</v>
      </c>
      <c r="S53" s="264" t="s">
        <v>532</v>
      </c>
      <c r="T53" s="264" t="s">
        <v>445</v>
      </c>
      <c r="U53" s="264" t="s">
        <v>446</v>
      </c>
      <c r="V53" s="266" t="b">
        <v>1</v>
      </c>
      <c r="W53" s="266">
        <v>1989</v>
      </c>
      <c r="X53" s="266">
        <v>5</v>
      </c>
      <c r="Y53" s="266">
        <v>2</v>
      </c>
      <c r="Z53" s="266">
        <v>4</v>
      </c>
      <c r="AA53" s="264" t="s">
        <v>447</v>
      </c>
      <c r="AB53" s="264" t="s">
        <v>531</v>
      </c>
      <c r="AC53" s="264" t="s">
        <v>533</v>
      </c>
      <c r="AD53" s="266">
        <v>1.8322000000000001</v>
      </c>
      <c r="AE53" s="266">
        <v>1986</v>
      </c>
      <c r="AF53" s="266">
        <v>3.0811999999999999</v>
      </c>
      <c r="AG53" s="266">
        <v>-99</v>
      </c>
      <c r="AH53" s="264" t="s">
        <v>224</v>
      </c>
      <c r="AI53" s="264" t="s">
        <v>449</v>
      </c>
      <c r="AJ53" s="264" t="s">
        <v>224</v>
      </c>
      <c r="AK53" s="264" t="s">
        <v>531</v>
      </c>
      <c r="AL53" s="264" t="s">
        <v>537</v>
      </c>
      <c r="AM53" s="266" t="b">
        <v>0</v>
      </c>
      <c r="AN53" s="266" t="b">
        <v>0</v>
      </c>
      <c r="AO53" s="264" t="s">
        <v>538</v>
      </c>
      <c r="AP53" s="264" t="s">
        <v>539</v>
      </c>
      <c r="AQ53" s="266">
        <v>72.148780000000002</v>
      </c>
      <c r="AR53" s="266" t="b">
        <v>0</v>
      </c>
      <c r="AS53" s="264" t="s">
        <v>534</v>
      </c>
      <c r="AU53" s="222" t="s">
        <v>819</v>
      </c>
    </row>
    <row r="54" spans="1:47" s="219" customFormat="1" ht="15" customHeight="1" x14ac:dyDescent="0.25">
      <c r="A54" s="245">
        <f t="shared" si="7"/>
        <v>54</v>
      </c>
      <c r="B54" s="246" t="str">
        <f t="shared" si="0"/>
        <v>Oil Field - Compressor - Vapor Recovery</v>
      </c>
      <c r="C54" s="246" t="str">
        <f ca="1">IF(B54="","",VLOOKUP(D54,'Species Data'!B:E,4,FALSE))</f>
        <v>c6_comp</v>
      </c>
      <c r="D54" s="246">
        <f t="shared" ca="1" si="2"/>
        <v>1999</v>
      </c>
      <c r="E54" s="246">
        <f t="shared" ca="1" si="3"/>
        <v>3.3492999999999999</v>
      </c>
      <c r="F54" s="246" t="str">
        <f t="shared" ca="1" si="4"/>
        <v>C-6 Compounds</v>
      </c>
      <c r="G54" s="246">
        <f t="shared" ca="1" si="5"/>
        <v>86.175359999999998</v>
      </c>
      <c r="H54" s="204" t="str">
        <f ca="1">IF(G54="","",IF(VLOOKUP(Compressor!F54,'Species Data'!D:F,3,FALSE)=0,"X",IF(G54&lt;44.1,2,1)))</f>
        <v>X</v>
      </c>
      <c r="I54" s="204">
        <f t="shared" ca="1" si="1"/>
        <v>3.3492095713415737</v>
      </c>
      <c r="J54" s="247" t="str">
        <f ca="1">IF(I54="","",IF(COUNTIF($D$12:D54,D54)=1,IF(H54=1,I54*H54,IF(H54="X","X",0)),0))</f>
        <v>X</v>
      </c>
      <c r="K54" s="248">
        <f t="shared" ca="1" si="6"/>
        <v>0</v>
      </c>
      <c r="L54" s="304" t="s">
        <v>648</v>
      </c>
      <c r="M54" s="264" t="s">
        <v>448</v>
      </c>
      <c r="N54" s="264" t="s">
        <v>470</v>
      </c>
      <c r="O54" s="265">
        <v>41419</v>
      </c>
      <c r="P54" s="264" t="s">
        <v>531</v>
      </c>
      <c r="Q54" s="266">
        <v>100</v>
      </c>
      <c r="R54" s="264" t="s">
        <v>445</v>
      </c>
      <c r="S54" s="264" t="s">
        <v>532</v>
      </c>
      <c r="T54" s="264" t="s">
        <v>445</v>
      </c>
      <c r="U54" s="264" t="s">
        <v>446</v>
      </c>
      <c r="V54" s="266" t="b">
        <v>1</v>
      </c>
      <c r="W54" s="266">
        <v>1989</v>
      </c>
      <c r="X54" s="266">
        <v>5</v>
      </c>
      <c r="Y54" s="266">
        <v>2</v>
      </c>
      <c r="Z54" s="266">
        <v>4</v>
      </c>
      <c r="AA54" s="264" t="s">
        <v>447</v>
      </c>
      <c r="AB54" s="264" t="s">
        <v>531</v>
      </c>
      <c r="AC54" s="264" t="s">
        <v>533</v>
      </c>
      <c r="AD54" s="266">
        <v>1.8322000000000001</v>
      </c>
      <c r="AE54" s="266">
        <v>1999</v>
      </c>
      <c r="AF54" s="266">
        <v>3.3492999999999999</v>
      </c>
      <c r="AG54" s="266">
        <v>-99</v>
      </c>
      <c r="AH54" s="264" t="s">
        <v>224</v>
      </c>
      <c r="AI54" s="264" t="s">
        <v>449</v>
      </c>
      <c r="AJ54" s="264" t="s">
        <v>224</v>
      </c>
      <c r="AK54" s="264" t="s">
        <v>531</v>
      </c>
      <c r="AL54" s="264" t="s">
        <v>540</v>
      </c>
      <c r="AM54" s="266" t="b">
        <v>0</v>
      </c>
      <c r="AN54" s="266" t="b">
        <v>0</v>
      </c>
      <c r="AO54" s="264" t="s">
        <v>541</v>
      </c>
      <c r="AP54" s="264" t="s">
        <v>542</v>
      </c>
      <c r="AQ54" s="266">
        <v>86.175359999999998</v>
      </c>
      <c r="AR54" s="266" t="b">
        <v>0</v>
      </c>
      <c r="AS54" s="264" t="s">
        <v>534</v>
      </c>
      <c r="AU54" s="222" t="s">
        <v>819</v>
      </c>
    </row>
    <row r="55" spans="1:47" s="219" customFormat="1" x14ac:dyDescent="0.25">
      <c r="A55" s="245">
        <f t="shared" si="7"/>
        <v>55</v>
      </c>
      <c r="B55" s="246" t="str">
        <f t="shared" si="0"/>
        <v>Oil Field - Compressor - Vapor Recovery</v>
      </c>
      <c r="C55" s="246" t="str">
        <f ca="1">IF(B55="","",VLOOKUP(D55,'Species Data'!B:E,4,FALSE))</f>
        <v>c7_comp</v>
      </c>
      <c r="D55" s="246">
        <f t="shared" ca="1" si="2"/>
        <v>2005</v>
      </c>
      <c r="E55" s="246">
        <f t="shared" ca="1" si="3"/>
        <v>2.3795999999999999</v>
      </c>
      <c r="F55" s="246" t="str">
        <f t="shared" ca="1" si="4"/>
        <v>C-7 Compounds</v>
      </c>
      <c r="G55" s="246">
        <f t="shared" ca="1" si="5"/>
        <v>100.20194000000001</v>
      </c>
      <c r="H55" s="204" t="str">
        <f ca="1">IF(G55="","",IF(VLOOKUP(Compressor!F55,'Species Data'!D:F,3,FALSE)=0,"X",IF(G55&lt;44.1,2,1)))</f>
        <v>X</v>
      </c>
      <c r="I55" s="204">
        <f t="shared" ca="1" si="1"/>
        <v>2.3795357525346814</v>
      </c>
      <c r="J55" s="247" t="str">
        <f ca="1">IF(I55="","",IF(COUNTIF($D$12:D55,D55)=1,IF(H55=1,I55*H55,IF(H55="X","X",0)),0))</f>
        <v>X</v>
      </c>
      <c r="K55" s="248">
        <f t="shared" ca="1" si="6"/>
        <v>0</v>
      </c>
      <c r="L55" s="304" t="s">
        <v>648</v>
      </c>
      <c r="M55" s="264" t="s">
        <v>448</v>
      </c>
      <c r="N55" s="264" t="s">
        <v>470</v>
      </c>
      <c r="O55" s="265">
        <v>41419</v>
      </c>
      <c r="P55" s="264" t="s">
        <v>531</v>
      </c>
      <c r="Q55" s="266">
        <v>100</v>
      </c>
      <c r="R55" s="264" t="s">
        <v>445</v>
      </c>
      <c r="S55" s="264" t="s">
        <v>532</v>
      </c>
      <c r="T55" s="264" t="s">
        <v>445</v>
      </c>
      <c r="U55" s="264" t="s">
        <v>446</v>
      </c>
      <c r="V55" s="266" t="b">
        <v>1</v>
      </c>
      <c r="W55" s="266">
        <v>1989</v>
      </c>
      <c r="X55" s="266">
        <v>5</v>
      </c>
      <c r="Y55" s="266">
        <v>2</v>
      </c>
      <c r="Z55" s="266">
        <v>4</v>
      </c>
      <c r="AA55" s="264" t="s">
        <v>447</v>
      </c>
      <c r="AB55" s="264" t="s">
        <v>531</v>
      </c>
      <c r="AC55" s="264" t="s">
        <v>533</v>
      </c>
      <c r="AD55" s="266">
        <v>1.8322000000000001</v>
      </c>
      <c r="AE55" s="266">
        <v>2005</v>
      </c>
      <c r="AF55" s="266">
        <v>2.3795999999999999</v>
      </c>
      <c r="AG55" s="266">
        <v>-99</v>
      </c>
      <c r="AH55" s="264" t="s">
        <v>224</v>
      </c>
      <c r="AI55" s="264" t="s">
        <v>449</v>
      </c>
      <c r="AJ55" s="264" t="s">
        <v>224</v>
      </c>
      <c r="AK55" s="264" t="s">
        <v>531</v>
      </c>
      <c r="AL55" s="264" t="s">
        <v>543</v>
      </c>
      <c r="AM55" s="266" t="b">
        <v>0</v>
      </c>
      <c r="AN55" s="266" t="b">
        <v>0</v>
      </c>
      <c r="AO55" s="264" t="s">
        <v>544</v>
      </c>
      <c r="AP55" s="264" t="s">
        <v>545</v>
      </c>
      <c r="AQ55" s="266">
        <v>100.20194000000001</v>
      </c>
      <c r="AR55" s="266" t="b">
        <v>0</v>
      </c>
      <c r="AS55" s="264" t="s">
        <v>534</v>
      </c>
      <c r="AU55" s="222" t="s">
        <v>819</v>
      </c>
    </row>
    <row r="56" spans="1:47" s="219" customFormat="1" x14ac:dyDescent="0.25">
      <c r="A56" s="245">
        <f t="shared" si="7"/>
        <v>56</v>
      </c>
      <c r="B56" s="246" t="str">
        <f t="shared" si="0"/>
        <v>Oil Field - Compressor - Vapor Recovery</v>
      </c>
      <c r="C56" s="246" t="str">
        <f ca="1">IF(B56="","",VLOOKUP(D56,'Species Data'!B:E,4,FALSE))</f>
        <v>c8_comp</v>
      </c>
      <c r="D56" s="246">
        <f t="shared" ca="1" si="2"/>
        <v>2011</v>
      </c>
      <c r="E56" s="246">
        <f t="shared" ca="1" si="3"/>
        <v>1.3165</v>
      </c>
      <c r="F56" s="246" t="str">
        <f t="shared" ca="1" si="4"/>
        <v>C-8 Compounds</v>
      </c>
      <c r="G56" s="246">
        <f t="shared" ca="1" si="5"/>
        <v>113.21160686946486</v>
      </c>
      <c r="H56" s="204" t="str">
        <f ca="1">IF(G56="","",IF(VLOOKUP(Compressor!F56,'Species Data'!D:F,3,FALSE)=0,"X",IF(G56&lt;44.1,2,1)))</f>
        <v>X</v>
      </c>
      <c r="I56" s="204">
        <f t="shared" ca="1" si="1"/>
        <v>1.3164644554597027</v>
      </c>
      <c r="J56" s="247" t="str">
        <f ca="1">IF(I56="","",IF(COUNTIF($D$12:D56,D56)=1,IF(H56=1,I56*H56,IF(H56="X","X",0)),0))</f>
        <v>X</v>
      </c>
      <c r="K56" s="248">
        <f t="shared" ca="1" si="6"/>
        <v>0</v>
      </c>
      <c r="L56" s="304" t="s">
        <v>648</v>
      </c>
      <c r="M56" s="264" t="s">
        <v>448</v>
      </c>
      <c r="N56" s="264" t="s">
        <v>470</v>
      </c>
      <c r="O56" s="265">
        <v>41419</v>
      </c>
      <c r="P56" s="264" t="s">
        <v>531</v>
      </c>
      <c r="Q56" s="266">
        <v>100</v>
      </c>
      <c r="R56" s="264" t="s">
        <v>445</v>
      </c>
      <c r="S56" s="264" t="s">
        <v>532</v>
      </c>
      <c r="T56" s="264" t="s">
        <v>445</v>
      </c>
      <c r="U56" s="264" t="s">
        <v>446</v>
      </c>
      <c r="V56" s="266" t="b">
        <v>1</v>
      </c>
      <c r="W56" s="266">
        <v>1989</v>
      </c>
      <c r="X56" s="266">
        <v>5</v>
      </c>
      <c r="Y56" s="266">
        <v>2</v>
      </c>
      <c r="Z56" s="266">
        <v>4</v>
      </c>
      <c r="AA56" s="264" t="s">
        <v>447</v>
      </c>
      <c r="AB56" s="264" t="s">
        <v>531</v>
      </c>
      <c r="AC56" s="264" t="s">
        <v>533</v>
      </c>
      <c r="AD56" s="266">
        <v>1.8322000000000001</v>
      </c>
      <c r="AE56" s="266">
        <v>2011</v>
      </c>
      <c r="AF56" s="266">
        <v>1.3165</v>
      </c>
      <c r="AG56" s="266">
        <v>-99</v>
      </c>
      <c r="AH56" s="264" t="s">
        <v>224</v>
      </c>
      <c r="AI56" s="264" t="s">
        <v>449</v>
      </c>
      <c r="AJ56" s="264" t="s">
        <v>224</v>
      </c>
      <c r="AK56" s="264" t="s">
        <v>531</v>
      </c>
      <c r="AL56" s="264" t="s">
        <v>546</v>
      </c>
      <c r="AM56" s="266" t="b">
        <v>0</v>
      </c>
      <c r="AN56" s="266" t="b">
        <v>0</v>
      </c>
      <c r="AO56" s="264" t="s">
        <v>547</v>
      </c>
      <c r="AP56" s="264" t="s">
        <v>548</v>
      </c>
      <c r="AQ56" s="266">
        <v>113.21160686946486</v>
      </c>
      <c r="AR56" s="266" t="b">
        <v>0</v>
      </c>
      <c r="AS56" s="264" t="s">
        <v>534</v>
      </c>
      <c r="AU56" s="222" t="s">
        <v>819</v>
      </c>
    </row>
    <row r="57" spans="1:47" s="219" customFormat="1" ht="15.75" thickBot="1" x14ac:dyDescent="0.3">
      <c r="A57" s="249">
        <f t="shared" si="7"/>
        <v>57</v>
      </c>
      <c r="B57" s="250" t="str">
        <f t="shared" si="0"/>
        <v>Oil Field - Compressor - Vapor Recovery</v>
      </c>
      <c r="C57" s="250" t="str">
        <f ca="1">IF(B57="","",VLOOKUP(D57,'Species Data'!B:E,4,FALSE))</f>
        <v>c9_comp</v>
      </c>
      <c r="D57" s="250">
        <f t="shared" ca="1" si="2"/>
        <v>2018</v>
      </c>
      <c r="E57" s="250">
        <f t="shared" ca="1" si="3"/>
        <v>0.60899999999999999</v>
      </c>
      <c r="F57" s="250" t="str">
        <f t="shared" ca="1" si="4"/>
        <v>C-9 Compounds</v>
      </c>
      <c r="G57" s="250">
        <f t="shared" ca="1" si="5"/>
        <v>127.23917598649743</v>
      </c>
      <c r="H57" s="251" t="str">
        <f ca="1">IF(G57="","",IF(VLOOKUP(Compressor!F57,'Species Data'!D:F,3,FALSE)=0,"X",IF(G57&lt;44.1,2,1)))</f>
        <v>X</v>
      </c>
      <c r="I57" s="251">
        <f t="shared" ca="1" si="1"/>
        <v>0.60898355744394905</v>
      </c>
      <c r="J57" s="252" t="str">
        <f ca="1">IF(I57="","",IF(COUNTIF($D$12:D57,D57)=1,IF(H57=1,I57*H57,IF(H57="X","X",0)),0))</f>
        <v>X</v>
      </c>
      <c r="K57" s="253">
        <f t="shared" ca="1" si="6"/>
        <v>0</v>
      </c>
      <c r="L57" s="308" t="s">
        <v>648</v>
      </c>
      <c r="M57" s="309" t="s">
        <v>448</v>
      </c>
      <c r="N57" s="309" t="s">
        <v>470</v>
      </c>
      <c r="O57" s="265">
        <v>41419</v>
      </c>
      <c r="P57" s="264" t="s">
        <v>531</v>
      </c>
      <c r="Q57" s="266">
        <v>100</v>
      </c>
      <c r="R57" s="264" t="s">
        <v>445</v>
      </c>
      <c r="S57" s="264" t="s">
        <v>532</v>
      </c>
      <c r="T57" s="264" t="s">
        <v>445</v>
      </c>
      <c r="U57" s="264" t="s">
        <v>446</v>
      </c>
      <c r="V57" s="266" t="b">
        <v>1</v>
      </c>
      <c r="W57" s="266">
        <v>1989</v>
      </c>
      <c r="X57" s="266">
        <v>5</v>
      </c>
      <c r="Y57" s="266">
        <v>2</v>
      </c>
      <c r="Z57" s="266">
        <v>4</v>
      </c>
      <c r="AA57" s="264" t="s">
        <v>447</v>
      </c>
      <c r="AB57" s="264" t="s">
        <v>531</v>
      </c>
      <c r="AC57" s="264" t="s">
        <v>533</v>
      </c>
      <c r="AD57" s="266">
        <v>1.8322000000000001</v>
      </c>
      <c r="AE57" s="266">
        <v>2018</v>
      </c>
      <c r="AF57" s="266">
        <v>0.60899999999999999</v>
      </c>
      <c r="AG57" s="266">
        <v>-99</v>
      </c>
      <c r="AH57" s="264" t="s">
        <v>224</v>
      </c>
      <c r="AI57" s="264" t="s">
        <v>449</v>
      </c>
      <c r="AJ57" s="264" t="s">
        <v>224</v>
      </c>
      <c r="AK57" s="264" t="s">
        <v>531</v>
      </c>
      <c r="AL57" s="264" t="s">
        <v>464</v>
      </c>
      <c r="AM57" s="266" t="b">
        <v>0</v>
      </c>
      <c r="AN57" s="266" t="b">
        <v>0</v>
      </c>
      <c r="AO57" s="264" t="s">
        <v>549</v>
      </c>
      <c r="AP57" s="264" t="s">
        <v>550</v>
      </c>
      <c r="AQ57" s="266">
        <v>127.23917598649743</v>
      </c>
      <c r="AR57" s="266" t="b">
        <v>0</v>
      </c>
      <c r="AS57" s="264" t="s">
        <v>534</v>
      </c>
      <c r="AU57" s="222" t="s">
        <v>819</v>
      </c>
    </row>
    <row r="58" spans="1:47" s="219" customFormat="1" x14ac:dyDescent="0.25">
      <c r="B58" s="218"/>
      <c r="C58" s="218"/>
      <c r="D58" s="218"/>
      <c r="E58" s="218"/>
      <c r="F58" s="218"/>
      <c r="G58" s="218"/>
      <c r="H58" s="218"/>
      <c r="I58" s="218"/>
      <c r="J58" s="218"/>
      <c r="K58" s="221"/>
      <c r="L58" s="246"/>
      <c r="M58" s="246"/>
      <c r="N58" s="204"/>
    </row>
    <row r="59" spans="1:47" s="219" customFormat="1" x14ac:dyDescent="0.25">
      <c r="B59" s="218"/>
      <c r="C59" s="218"/>
      <c r="D59" s="218"/>
      <c r="E59" s="218"/>
      <c r="F59" s="218"/>
      <c r="G59" s="218"/>
      <c r="H59" s="218"/>
      <c r="I59" s="218"/>
      <c r="J59" s="218"/>
      <c r="K59" s="221"/>
      <c r="L59" s="246"/>
      <c r="M59" s="246"/>
      <c r="N59" s="204"/>
    </row>
    <row r="60" spans="1:47" s="219" customFormat="1" x14ac:dyDescent="0.25">
      <c r="B60" s="218"/>
      <c r="C60" s="218"/>
      <c r="D60" s="218"/>
      <c r="E60" s="218"/>
      <c r="F60" s="218"/>
      <c r="G60" s="218"/>
      <c r="H60" s="218"/>
      <c r="I60" s="218"/>
      <c r="J60" s="218"/>
      <c r="K60" s="221"/>
      <c r="L60" s="246"/>
      <c r="M60" s="246"/>
      <c r="N60" s="204"/>
    </row>
    <row r="61" spans="1:47" s="219" customFormat="1" x14ac:dyDescent="0.25">
      <c r="B61" s="218"/>
      <c r="C61" s="218"/>
      <c r="D61" s="218"/>
      <c r="E61" s="218"/>
      <c r="F61" s="218"/>
      <c r="G61" s="218"/>
      <c r="H61" s="218"/>
      <c r="I61" s="218"/>
      <c r="J61" s="218"/>
      <c r="K61" s="221"/>
      <c r="L61" s="246"/>
      <c r="M61" s="246"/>
      <c r="N61" s="204"/>
    </row>
    <row r="62" spans="1:47" s="219" customFormat="1" x14ac:dyDescent="0.25">
      <c r="B62" s="218"/>
      <c r="C62" s="218"/>
      <c r="D62" s="218"/>
      <c r="E62" s="218"/>
      <c r="F62" s="218"/>
      <c r="G62" s="218"/>
      <c r="H62" s="218"/>
      <c r="I62" s="218"/>
      <c r="J62" s="218"/>
      <c r="K62" s="221"/>
      <c r="L62" s="246"/>
      <c r="M62" s="246"/>
      <c r="N62" s="204"/>
    </row>
    <row r="63" spans="1:47" s="219" customFormat="1" x14ac:dyDescent="0.25">
      <c r="B63" s="218"/>
      <c r="C63" s="218"/>
      <c r="D63" s="218"/>
      <c r="E63" s="218"/>
      <c r="F63" s="218"/>
      <c r="G63" s="218"/>
      <c r="H63" s="218"/>
      <c r="I63" s="218"/>
      <c r="J63" s="218"/>
      <c r="K63" s="221"/>
      <c r="L63" s="246"/>
      <c r="M63" s="246"/>
      <c r="N63" s="204"/>
    </row>
    <row r="64" spans="1:47" s="219" customFormat="1" x14ac:dyDescent="0.25">
      <c r="B64" s="218"/>
      <c r="C64" s="218"/>
      <c r="D64" s="218"/>
      <c r="E64" s="218"/>
      <c r="F64" s="218"/>
      <c r="G64" s="218"/>
      <c r="H64" s="218"/>
      <c r="I64" s="218"/>
      <c r="J64" s="218"/>
      <c r="K64" s="221"/>
      <c r="L64" s="246"/>
      <c r="M64" s="246"/>
      <c r="N64" s="204"/>
    </row>
    <row r="65" spans="2:14" s="219" customFormat="1" x14ac:dyDescent="0.25">
      <c r="B65" s="218"/>
      <c r="C65" s="218"/>
      <c r="D65" s="218"/>
      <c r="E65" s="218"/>
      <c r="F65" s="218"/>
      <c r="G65" s="218"/>
      <c r="H65" s="218"/>
      <c r="I65" s="218"/>
      <c r="J65" s="218"/>
      <c r="K65" s="221"/>
      <c r="L65" s="246"/>
      <c r="M65" s="246"/>
      <c r="N65" s="204"/>
    </row>
    <row r="66" spans="2:14" s="219" customFormat="1" x14ac:dyDescent="0.25">
      <c r="B66" s="218"/>
      <c r="C66" s="218"/>
      <c r="D66" s="218"/>
      <c r="E66" s="218"/>
      <c r="F66" s="218"/>
      <c r="G66" s="218"/>
      <c r="H66" s="218"/>
      <c r="I66" s="218"/>
      <c r="J66" s="218"/>
      <c r="K66" s="221"/>
      <c r="L66" s="246"/>
      <c r="M66" s="246"/>
      <c r="N66" s="204"/>
    </row>
    <row r="67" spans="2:14" s="219" customFormat="1" x14ac:dyDescent="0.25">
      <c r="B67" s="218"/>
      <c r="C67" s="218"/>
      <c r="D67" s="218"/>
      <c r="E67" s="218"/>
      <c r="F67" s="218"/>
      <c r="G67" s="218"/>
      <c r="H67" s="218"/>
      <c r="I67" s="218"/>
      <c r="J67" s="218"/>
      <c r="K67" s="221"/>
      <c r="L67" s="246"/>
      <c r="M67" s="246"/>
      <c r="N67" s="204"/>
    </row>
    <row r="68" spans="2:14" s="219" customFormat="1" x14ac:dyDescent="0.25">
      <c r="B68" s="218"/>
      <c r="C68" s="218"/>
      <c r="D68" s="218"/>
      <c r="E68" s="218"/>
      <c r="F68" s="218"/>
      <c r="G68" s="218"/>
      <c r="H68" s="218"/>
      <c r="I68" s="218"/>
      <c r="J68" s="218"/>
      <c r="K68" s="221"/>
      <c r="L68" s="246"/>
      <c r="M68" s="246"/>
      <c r="N68" s="204"/>
    </row>
    <row r="69" spans="2:14" s="219" customFormat="1" x14ac:dyDescent="0.25">
      <c r="B69" s="218"/>
      <c r="C69" s="218"/>
      <c r="D69" s="218"/>
      <c r="E69" s="218"/>
      <c r="F69" s="218"/>
      <c r="G69" s="218"/>
      <c r="H69" s="218"/>
      <c r="I69" s="218"/>
      <c r="J69" s="218"/>
      <c r="K69" s="221"/>
      <c r="L69" s="246"/>
      <c r="M69" s="246"/>
      <c r="N69" s="204"/>
    </row>
    <row r="70" spans="2:14" s="219" customFormat="1" x14ac:dyDescent="0.25">
      <c r="B70" s="218"/>
      <c r="C70" s="218"/>
      <c r="D70" s="218"/>
      <c r="E70" s="218"/>
      <c r="F70" s="218"/>
      <c r="G70" s="218"/>
      <c r="H70" s="218"/>
      <c r="I70" s="218"/>
      <c r="J70" s="218"/>
      <c r="K70" s="221"/>
      <c r="L70" s="246"/>
      <c r="M70" s="246"/>
      <c r="N70" s="204"/>
    </row>
    <row r="71" spans="2:14" s="219" customFormat="1" x14ac:dyDescent="0.25">
      <c r="B71" s="218"/>
      <c r="C71" s="218"/>
      <c r="D71" s="218"/>
      <c r="E71" s="218"/>
      <c r="F71" s="218"/>
      <c r="G71" s="218"/>
      <c r="H71" s="218"/>
      <c r="I71" s="218"/>
      <c r="J71" s="218"/>
      <c r="K71" s="221"/>
      <c r="L71" s="246"/>
      <c r="M71" s="246"/>
      <c r="N71" s="204"/>
    </row>
    <row r="72" spans="2:14" s="219" customFormat="1" x14ac:dyDescent="0.25">
      <c r="B72" s="218"/>
      <c r="C72" s="218"/>
      <c r="D72" s="218"/>
      <c r="E72" s="218"/>
      <c r="F72" s="218"/>
      <c r="G72" s="218"/>
      <c r="H72" s="218"/>
      <c r="I72" s="218"/>
      <c r="J72" s="218"/>
      <c r="K72" s="221"/>
      <c r="L72" s="246"/>
      <c r="M72" s="246"/>
      <c r="N72" s="204"/>
    </row>
    <row r="73" spans="2:14" s="219" customFormat="1" x14ac:dyDescent="0.25">
      <c r="B73" s="218"/>
      <c r="C73" s="218"/>
      <c r="D73" s="218"/>
      <c r="E73" s="218"/>
      <c r="F73" s="218"/>
      <c r="G73" s="218"/>
      <c r="H73" s="218"/>
      <c r="I73" s="218"/>
      <c r="J73" s="218"/>
      <c r="K73" s="221"/>
      <c r="L73" s="246"/>
      <c r="M73" s="246"/>
      <c r="N73" s="204"/>
    </row>
    <row r="74" spans="2:14" s="219" customFormat="1" x14ac:dyDescent="0.25">
      <c r="B74" s="218"/>
      <c r="C74" s="218"/>
      <c r="D74" s="218"/>
      <c r="E74" s="218"/>
      <c r="F74" s="218"/>
      <c r="G74" s="218"/>
      <c r="H74" s="218"/>
      <c r="I74" s="218"/>
      <c r="J74" s="218"/>
      <c r="K74" s="221"/>
      <c r="L74" s="246"/>
      <c r="M74" s="246"/>
      <c r="N74" s="204"/>
    </row>
    <row r="75" spans="2:14" s="219" customFormat="1" x14ac:dyDescent="0.25">
      <c r="B75" s="218"/>
      <c r="C75" s="218"/>
      <c r="D75" s="218"/>
      <c r="E75" s="218"/>
      <c r="F75" s="218"/>
      <c r="G75" s="218"/>
      <c r="H75" s="218"/>
      <c r="I75" s="218"/>
      <c r="J75" s="218"/>
      <c r="K75" s="221"/>
      <c r="L75" s="246"/>
      <c r="M75" s="246"/>
      <c r="N75" s="204"/>
    </row>
    <row r="76" spans="2:14" s="219" customFormat="1" x14ac:dyDescent="0.25">
      <c r="B76" s="218"/>
      <c r="C76" s="218"/>
      <c r="D76" s="218"/>
      <c r="E76" s="218"/>
      <c r="F76" s="218"/>
      <c r="G76" s="218"/>
      <c r="H76" s="218"/>
      <c r="I76" s="218"/>
      <c r="J76" s="218"/>
      <c r="K76" s="221"/>
      <c r="L76" s="246"/>
      <c r="M76" s="246"/>
      <c r="N76" s="204"/>
    </row>
    <row r="77" spans="2:14" s="219" customFormat="1" x14ac:dyDescent="0.25">
      <c r="B77" s="218"/>
      <c r="C77" s="218"/>
      <c r="D77" s="218"/>
      <c r="E77" s="218"/>
      <c r="F77" s="218"/>
      <c r="G77" s="218"/>
      <c r="H77" s="218"/>
      <c r="I77" s="218"/>
      <c r="J77" s="218"/>
      <c r="K77" s="221"/>
      <c r="L77" s="246"/>
      <c r="M77" s="246"/>
      <c r="N77" s="204"/>
    </row>
    <row r="78" spans="2:14" s="219" customFormat="1" x14ac:dyDescent="0.25">
      <c r="B78" s="218"/>
      <c r="C78" s="218"/>
      <c r="D78" s="218"/>
      <c r="E78" s="218"/>
      <c r="F78" s="218"/>
      <c r="G78" s="218"/>
      <c r="H78" s="218"/>
      <c r="I78" s="218"/>
      <c r="J78" s="218"/>
      <c r="K78" s="221"/>
      <c r="L78" s="246"/>
      <c r="M78" s="246"/>
      <c r="N78" s="204"/>
    </row>
    <row r="79" spans="2:14" s="219" customFormat="1" x14ac:dyDescent="0.25">
      <c r="B79" s="218"/>
      <c r="C79" s="218"/>
      <c r="D79" s="218"/>
      <c r="E79" s="218"/>
      <c r="F79" s="218"/>
      <c r="G79" s="218"/>
      <c r="H79" s="218"/>
      <c r="I79" s="218"/>
      <c r="J79" s="218"/>
      <c r="K79" s="221"/>
      <c r="L79" s="246"/>
      <c r="M79" s="246"/>
      <c r="N79" s="204"/>
    </row>
    <row r="80" spans="2:14" s="219" customFormat="1" x14ac:dyDescent="0.25">
      <c r="B80" s="218"/>
      <c r="C80" s="218"/>
      <c r="D80" s="218"/>
      <c r="E80" s="218"/>
      <c r="F80" s="218"/>
      <c r="G80" s="218"/>
      <c r="H80" s="218"/>
      <c r="I80" s="218"/>
      <c r="J80" s="218"/>
      <c r="K80" s="221"/>
      <c r="L80" s="246"/>
      <c r="M80" s="246"/>
      <c r="N80" s="204"/>
    </row>
    <row r="81" spans="2:14" s="219" customFormat="1" x14ac:dyDescent="0.25">
      <c r="B81" s="218"/>
      <c r="C81" s="218"/>
      <c r="D81" s="218"/>
      <c r="E81" s="218"/>
      <c r="F81" s="218"/>
      <c r="G81" s="218"/>
      <c r="H81" s="218"/>
      <c r="I81" s="218"/>
      <c r="J81" s="218"/>
      <c r="K81" s="221"/>
      <c r="L81" s="246"/>
      <c r="M81" s="246"/>
      <c r="N81" s="204"/>
    </row>
    <row r="82" spans="2:14" s="219" customFormat="1" x14ac:dyDescent="0.25">
      <c r="B82" s="218"/>
      <c r="C82" s="218"/>
      <c r="D82" s="218"/>
      <c r="E82" s="218"/>
      <c r="F82" s="218"/>
      <c r="G82" s="218"/>
      <c r="H82" s="218"/>
      <c r="I82" s="218"/>
      <c r="J82" s="218"/>
      <c r="K82" s="221"/>
      <c r="L82" s="246"/>
      <c r="M82" s="246"/>
      <c r="N82" s="204"/>
    </row>
    <row r="83" spans="2:14" s="219" customFormat="1" x14ac:dyDescent="0.25">
      <c r="B83" s="218"/>
      <c r="C83" s="218"/>
      <c r="D83" s="218"/>
      <c r="E83" s="218"/>
      <c r="F83" s="218"/>
      <c r="G83" s="218"/>
      <c r="H83" s="218"/>
      <c r="I83" s="218"/>
      <c r="J83" s="218"/>
      <c r="K83" s="221"/>
      <c r="L83" s="246"/>
      <c r="M83" s="246"/>
      <c r="N83" s="204"/>
    </row>
    <row r="84" spans="2:14" s="219" customFormat="1" x14ac:dyDescent="0.25">
      <c r="B84" s="218"/>
      <c r="C84" s="218"/>
      <c r="D84" s="218"/>
      <c r="E84" s="218"/>
      <c r="F84" s="218"/>
      <c r="G84" s="218"/>
      <c r="H84" s="218"/>
      <c r="I84" s="218"/>
      <c r="J84" s="218"/>
      <c r="K84" s="221"/>
      <c r="L84" s="246"/>
      <c r="M84" s="246"/>
      <c r="N84" s="204"/>
    </row>
    <row r="85" spans="2:14" s="219" customFormat="1" x14ac:dyDescent="0.25">
      <c r="B85" s="218"/>
      <c r="C85" s="218"/>
      <c r="D85" s="218"/>
      <c r="E85" s="218"/>
      <c r="F85" s="218"/>
      <c r="G85" s="218"/>
      <c r="H85" s="218"/>
      <c r="I85" s="218"/>
      <c r="J85" s="218"/>
      <c r="K85" s="221"/>
      <c r="L85" s="246"/>
      <c r="M85" s="246"/>
      <c r="N85" s="204"/>
    </row>
    <row r="86" spans="2:14" s="219" customFormat="1" x14ac:dyDescent="0.25">
      <c r="B86" s="218"/>
      <c r="C86" s="218"/>
      <c r="D86" s="218"/>
      <c r="E86" s="218"/>
      <c r="F86" s="218"/>
      <c r="G86" s="218"/>
      <c r="H86" s="218"/>
      <c r="I86" s="218"/>
      <c r="J86" s="218"/>
      <c r="K86" s="221"/>
      <c r="L86" s="246"/>
      <c r="M86" s="246"/>
      <c r="N86" s="204"/>
    </row>
    <row r="87" spans="2:14" s="219" customFormat="1" x14ac:dyDescent="0.25">
      <c r="B87" s="218"/>
      <c r="C87" s="218"/>
      <c r="D87" s="218"/>
      <c r="E87" s="218"/>
      <c r="F87" s="218"/>
      <c r="G87" s="218"/>
      <c r="H87" s="218"/>
      <c r="I87" s="218"/>
      <c r="J87" s="218"/>
      <c r="K87" s="221"/>
      <c r="L87" s="246"/>
      <c r="M87" s="246"/>
      <c r="N87" s="204"/>
    </row>
    <row r="88" spans="2:14" s="219" customFormat="1" x14ac:dyDescent="0.25">
      <c r="B88" s="218"/>
      <c r="C88" s="218"/>
      <c r="D88" s="218"/>
      <c r="E88" s="218"/>
      <c r="F88" s="218"/>
      <c r="G88" s="218"/>
      <c r="H88" s="218"/>
      <c r="I88" s="218"/>
      <c r="J88" s="218"/>
      <c r="K88" s="221"/>
      <c r="L88" s="246"/>
      <c r="M88" s="246"/>
      <c r="N88" s="204"/>
    </row>
    <row r="89" spans="2:14" s="219" customFormat="1" x14ac:dyDescent="0.25">
      <c r="B89" s="218"/>
      <c r="C89" s="218"/>
      <c r="D89" s="218"/>
      <c r="E89" s="218"/>
      <c r="F89" s="218"/>
      <c r="G89" s="218"/>
      <c r="H89" s="218"/>
      <c r="I89" s="218"/>
      <c r="J89" s="218"/>
      <c r="K89" s="221"/>
      <c r="L89" s="246"/>
      <c r="M89" s="246"/>
      <c r="N89" s="204"/>
    </row>
    <row r="90" spans="2:14" s="219" customFormat="1" x14ac:dyDescent="0.25">
      <c r="J90" s="223"/>
      <c r="K90" s="222"/>
      <c r="L90" s="204"/>
      <c r="M90" s="204"/>
      <c r="N90" s="204"/>
    </row>
    <row r="91" spans="2:14" s="219" customFormat="1" x14ac:dyDescent="0.25">
      <c r="J91" s="223"/>
      <c r="K91" s="222"/>
      <c r="L91" s="204"/>
      <c r="M91" s="204"/>
      <c r="N91" s="204"/>
    </row>
    <row r="92" spans="2:14" s="219" customFormat="1" x14ac:dyDescent="0.25">
      <c r="J92" s="223"/>
      <c r="K92" s="222"/>
      <c r="L92" s="204"/>
      <c r="M92" s="204"/>
      <c r="N92" s="204"/>
    </row>
    <row r="93" spans="2:14" s="219" customFormat="1" x14ac:dyDescent="0.25">
      <c r="J93" s="223"/>
      <c r="K93" s="222"/>
      <c r="L93" s="204"/>
      <c r="M93" s="204"/>
      <c r="N93" s="204"/>
    </row>
    <row r="94" spans="2:14" s="219" customFormat="1" x14ac:dyDescent="0.25">
      <c r="J94" s="223"/>
      <c r="K94" s="222"/>
      <c r="L94" s="204"/>
      <c r="M94" s="204"/>
      <c r="N94" s="204"/>
    </row>
    <row r="95" spans="2:14" s="219" customFormat="1" x14ac:dyDescent="0.25">
      <c r="J95" s="223"/>
      <c r="K95" s="222"/>
      <c r="L95" s="204"/>
      <c r="M95" s="204"/>
      <c r="N95" s="204"/>
    </row>
    <row r="96" spans="2:14" s="219" customFormat="1" x14ac:dyDescent="0.25">
      <c r="J96" s="223"/>
      <c r="K96" s="222"/>
      <c r="L96" s="204"/>
      <c r="M96" s="204"/>
      <c r="N96" s="204"/>
    </row>
    <row r="97" spans="10:14" s="219" customFormat="1" x14ac:dyDescent="0.25">
      <c r="J97" s="223"/>
      <c r="K97" s="222"/>
      <c r="L97" s="204"/>
      <c r="M97" s="204"/>
      <c r="N97" s="204"/>
    </row>
    <row r="98" spans="10:14" s="219" customFormat="1" x14ac:dyDescent="0.25">
      <c r="J98" s="223"/>
      <c r="K98" s="222"/>
      <c r="L98" s="204"/>
      <c r="M98" s="204"/>
      <c r="N98" s="204"/>
    </row>
    <row r="99" spans="10:14" s="219" customFormat="1" x14ac:dyDescent="0.25">
      <c r="J99" s="223"/>
      <c r="K99" s="222"/>
      <c r="L99" s="204"/>
      <c r="M99" s="204"/>
      <c r="N99" s="204"/>
    </row>
    <row r="100" spans="10:14" s="219" customFormat="1" x14ac:dyDescent="0.25">
      <c r="J100" s="223"/>
      <c r="K100" s="222"/>
      <c r="L100" s="204"/>
      <c r="M100" s="204"/>
      <c r="N100" s="204"/>
    </row>
    <row r="101" spans="10:14" s="219" customFormat="1" x14ac:dyDescent="0.25">
      <c r="J101" s="223"/>
      <c r="K101" s="222"/>
      <c r="L101" s="204"/>
      <c r="M101" s="204"/>
      <c r="N101" s="204"/>
    </row>
    <row r="102" spans="10:14" s="219" customFormat="1" x14ac:dyDescent="0.25">
      <c r="J102" s="223"/>
      <c r="K102" s="222"/>
      <c r="L102" s="204"/>
      <c r="M102" s="204"/>
      <c r="N102" s="204"/>
    </row>
    <row r="103" spans="10:14" s="219" customFormat="1" x14ac:dyDescent="0.25">
      <c r="J103" s="223"/>
      <c r="K103" s="222"/>
      <c r="L103" s="204"/>
      <c r="M103" s="204"/>
      <c r="N103" s="204"/>
    </row>
    <row r="104" spans="10:14" s="219" customFormat="1" x14ac:dyDescent="0.25">
      <c r="J104" s="223"/>
      <c r="K104" s="222"/>
      <c r="L104" s="204"/>
      <c r="M104" s="204"/>
      <c r="N104" s="204"/>
    </row>
    <row r="105" spans="10:14" s="219" customFormat="1" x14ac:dyDescent="0.25">
      <c r="J105" s="223"/>
      <c r="K105" s="222"/>
      <c r="L105" s="204"/>
      <c r="M105" s="204"/>
      <c r="N105" s="204"/>
    </row>
    <row r="106" spans="10:14" s="219" customFormat="1" x14ac:dyDescent="0.25">
      <c r="J106" s="223"/>
      <c r="K106" s="222"/>
      <c r="L106" s="204"/>
      <c r="M106" s="204"/>
      <c r="N106" s="204"/>
    </row>
    <row r="107" spans="10:14" s="219" customFormat="1" x14ac:dyDescent="0.25">
      <c r="J107" s="223"/>
      <c r="K107" s="222"/>
      <c r="L107" s="204"/>
      <c r="M107" s="204"/>
      <c r="N107" s="204"/>
    </row>
    <row r="108" spans="10:14" s="219" customFormat="1" x14ac:dyDescent="0.25">
      <c r="J108" s="223"/>
      <c r="K108" s="222"/>
      <c r="L108" s="204"/>
      <c r="M108" s="204"/>
      <c r="N108" s="204"/>
    </row>
    <row r="109" spans="10:14" s="219" customFormat="1" x14ac:dyDescent="0.25">
      <c r="J109" s="223"/>
      <c r="K109" s="222"/>
      <c r="L109" s="204"/>
      <c r="M109" s="204"/>
      <c r="N109" s="204"/>
    </row>
    <row r="110" spans="10:14" s="219" customFormat="1" x14ac:dyDescent="0.25">
      <c r="J110" s="223"/>
      <c r="K110" s="222"/>
      <c r="L110" s="204"/>
      <c r="M110" s="204"/>
      <c r="N110" s="204"/>
    </row>
    <row r="111" spans="10:14" s="219" customFormat="1" x14ac:dyDescent="0.25">
      <c r="J111" s="223"/>
      <c r="K111" s="222"/>
      <c r="L111" s="204"/>
      <c r="M111" s="204"/>
      <c r="N111" s="204"/>
    </row>
    <row r="112" spans="10:14" s="219" customFormat="1" x14ac:dyDescent="0.25">
      <c r="J112" s="223"/>
      <c r="K112" s="222"/>
      <c r="L112" s="204"/>
      <c r="M112" s="204"/>
      <c r="N112" s="204"/>
    </row>
    <row r="113" spans="10:14" s="219" customFormat="1" x14ac:dyDescent="0.25">
      <c r="J113" s="223"/>
      <c r="K113" s="222"/>
      <c r="L113" s="204"/>
      <c r="M113" s="204"/>
      <c r="N113" s="204"/>
    </row>
    <row r="114" spans="10:14" s="219" customFormat="1" x14ac:dyDescent="0.25">
      <c r="J114" s="223"/>
      <c r="K114" s="222"/>
      <c r="L114" s="204"/>
      <c r="M114" s="204"/>
      <c r="N114" s="204"/>
    </row>
    <row r="115" spans="10:14" s="219" customFormat="1" x14ac:dyDescent="0.25">
      <c r="J115" s="223"/>
      <c r="K115" s="222"/>
      <c r="L115" s="204"/>
      <c r="M115" s="204"/>
      <c r="N115" s="204"/>
    </row>
    <row r="116" spans="10:14" s="219" customFormat="1" x14ac:dyDescent="0.25">
      <c r="J116" s="223"/>
      <c r="K116" s="222"/>
      <c r="L116" s="204"/>
      <c r="M116" s="204"/>
      <c r="N116" s="204"/>
    </row>
    <row r="117" spans="10:14" s="219" customFormat="1" x14ac:dyDescent="0.25">
      <c r="J117" s="223"/>
      <c r="K117" s="222"/>
    </row>
    <row r="118" spans="10:14" s="219" customFormat="1" x14ac:dyDescent="0.25">
      <c r="J118" s="223"/>
      <c r="K118" s="222"/>
    </row>
    <row r="119" spans="10:14" s="219" customFormat="1" x14ac:dyDescent="0.25">
      <c r="J119" s="223"/>
      <c r="K119" s="222"/>
    </row>
    <row r="120" spans="10:14" s="219" customFormat="1" x14ac:dyDescent="0.25">
      <c r="J120" s="223"/>
      <c r="K120" s="222"/>
    </row>
    <row r="121" spans="10:14" s="219" customFormat="1" x14ac:dyDescent="0.25">
      <c r="J121" s="223"/>
      <c r="K121" s="222"/>
    </row>
    <row r="122" spans="10:14" s="219" customFormat="1" x14ac:dyDescent="0.25">
      <c r="J122" s="223"/>
      <c r="K122" s="222"/>
    </row>
    <row r="123" spans="10:14" s="219" customFormat="1" x14ac:dyDescent="0.25">
      <c r="J123" s="223"/>
      <c r="K123" s="222"/>
    </row>
    <row r="124" spans="10:14" s="219" customFormat="1" x14ac:dyDescent="0.25">
      <c r="J124" s="223"/>
      <c r="K124" s="222"/>
    </row>
    <row r="125" spans="10:14" s="219" customFormat="1" x14ac:dyDescent="0.25">
      <c r="J125" s="223"/>
      <c r="K125" s="222"/>
    </row>
    <row r="126" spans="10:14" s="219" customFormat="1" x14ac:dyDescent="0.25">
      <c r="J126" s="223"/>
      <c r="K126" s="222"/>
    </row>
    <row r="127" spans="10:14" s="219" customFormat="1" x14ac:dyDescent="0.25">
      <c r="J127" s="223"/>
      <c r="K127" s="222"/>
    </row>
    <row r="128" spans="10:14" s="219" customFormat="1" x14ac:dyDescent="0.25">
      <c r="J128" s="223"/>
      <c r="K128" s="222"/>
    </row>
    <row r="129" spans="10:11" s="219" customFormat="1" x14ac:dyDescent="0.25">
      <c r="J129" s="223"/>
      <c r="K129" s="222"/>
    </row>
    <row r="130" spans="10:11" s="219" customFormat="1" x14ac:dyDescent="0.25">
      <c r="J130" s="223"/>
      <c r="K130" s="222"/>
    </row>
    <row r="131" spans="10:11" s="219" customFormat="1" x14ac:dyDescent="0.25">
      <c r="J131" s="223"/>
      <c r="K131" s="222"/>
    </row>
    <row r="132" spans="10:11" s="219" customFormat="1" x14ac:dyDescent="0.25">
      <c r="J132" s="223"/>
      <c r="K132" s="222"/>
    </row>
    <row r="133" spans="10:11" s="219" customFormat="1" x14ac:dyDescent="0.25">
      <c r="J133" s="223"/>
      <c r="K133" s="222"/>
    </row>
    <row r="134" spans="10:11" s="219" customFormat="1" x14ac:dyDescent="0.25">
      <c r="J134" s="223"/>
      <c r="K134" s="222"/>
    </row>
    <row r="135" spans="10:11" s="219" customFormat="1" x14ac:dyDescent="0.25">
      <c r="J135" s="223"/>
      <c r="K135" s="222"/>
    </row>
    <row r="136" spans="10:11" s="219" customFormat="1" x14ac:dyDescent="0.25">
      <c r="J136" s="223"/>
      <c r="K136" s="222"/>
    </row>
    <row r="137" spans="10:11" s="219" customFormat="1" x14ac:dyDescent="0.25">
      <c r="J137" s="223"/>
      <c r="K137" s="222"/>
    </row>
    <row r="138" spans="10:11" s="219" customFormat="1" x14ac:dyDescent="0.25">
      <c r="J138" s="223"/>
      <c r="K138" s="222"/>
    </row>
    <row r="139" spans="10:11" s="219" customFormat="1" x14ac:dyDescent="0.25">
      <c r="J139" s="223"/>
      <c r="K139" s="222"/>
    </row>
    <row r="140" spans="10:11" s="219" customFormat="1" x14ac:dyDescent="0.25">
      <c r="J140" s="223"/>
      <c r="K140" s="222"/>
    </row>
  </sheetData>
  <conditionalFormatting sqref="F1:F9 F11:F1048576">
    <cfRule type="duplicateValues" dxfId="2"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BD41C3B3-2237-462E-9C2A-92B67F44A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954D99-65DB-4A0E-B6D7-CFC37583B385}">
  <ds:schemaRefs>
    <ds:schemaRef ds:uri="http://schemas.microsoft.com/sharepoint/v3/contenttype/forms"/>
  </ds:schemaRefs>
</ds:datastoreItem>
</file>

<file path=customXml/itemProps3.xml><?xml version="1.0" encoding="utf-8"?>
<ds:datastoreItem xmlns:ds="http://schemas.openxmlformats.org/officeDocument/2006/customXml" ds:itemID="{F29E9434-2EFA-4ADC-87A2-71A9F52305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Info</vt:lpstr>
      <vt:lpstr>Data Summary</vt:lpstr>
      <vt:lpstr>PS</vt:lpstr>
      <vt:lpstr>Reference Source Info</vt:lpstr>
      <vt:lpstr>DQI</vt:lpstr>
      <vt:lpstr>Species Data</vt:lpstr>
      <vt:lpstr>Well_Head</vt:lpstr>
      <vt:lpstr>Separator</vt:lpstr>
      <vt:lpstr>Compressor</vt:lpstr>
      <vt:lpstr>Tank</vt:lpstr>
      <vt:lpstr>Dehydration_Tank</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Krynock, Michelle M. (CONTR)</cp:lastModifiedBy>
  <dcterms:created xsi:type="dcterms:W3CDTF">2013-11-13T19:16:03Z</dcterms:created>
  <dcterms:modified xsi:type="dcterms:W3CDTF">2017-01-03T20:29:57Z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