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60" windowWidth="10860" windowHeight="10065" tabRatio="804"/>
  </bookViews>
  <sheets>
    <sheet name="Info" sheetId="1" r:id="rId1"/>
    <sheet name="Data Summary" sheetId="2" r:id="rId2"/>
    <sheet name="Reference Source Info" sheetId="4" r:id="rId3"/>
    <sheet name="DQI" sheetId="3" r:id="rId4"/>
    <sheet name="Calculations_SRWC" sheetId="5" r:id="rId5"/>
    <sheet name="Yield_SRWC" sheetId="8" r:id="rId6"/>
    <sheet name="Conversions" sheetId="6" r:id="rId7"/>
    <sheet name="Assumptions" sheetId="7" r:id="rId8"/>
  </sheets>
  <externalReferences>
    <externalReference r:id="rId9"/>
    <externalReference r:id="rId10"/>
    <externalReference r:id="rId11"/>
  </externalReferences>
  <definedNames>
    <definedName name="Barrel_to_Gallons" localSheetId="7">'[1]Misc Factors'!$B$88</definedName>
    <definedName name="Barrel_to_Gallons">'[1]Misc Factors'!$B$88</definedName>
    <definedName name="Catalytic_Reformer_Energy_Consumption_Sensitivity_Indicator" localSheetId="7">'[1]SA Inputs'!#REF!</definedName>
    <definedName name="Catalytic_Reformer_Energy_Consumption_Sensitivity_Indicator" localSheetId="6">'[1]SA Inputs'!#REF!</definedName>
    <definedName name="Catalytic_Reformer_Energy_Consumption_Sensitivity_Indicator">'[1]SA Inputs'!#REF!</definedName>
    <definedName name="Delayed_Coker_Energy_Consumption_Sensitivity_Indicator" localSheetId="7">'[1]SA Inputs'!#REF!</definedName>
    <definedName name="Delayed_Coker_Energy_Consumption_Sensitivity_Indicator" localSheetId="6">'[1]SA Inputs'!#REF!</definedName>
    <definedName name="Delayed_Coker_Energy_Consumption_Sensitivity_Indicator">'[1]SA Inputs'!#REF!</definedName>
    <definedName name="Hydrogen_Consump_minus_Production" localSheetId="7">'[1]H2 intensities'!#REF!</definedName>
    <definedName name="Hydrogen_Consump_minus_Production" localSheetId="6">'[1]H2 intensities'!#REF!</definedName>
    <definedName name="Hydrogen_Consump_minus_Production">'[1]H2 intensities'!#REF!</definedName>
    <definedName name="lstCompleteness" localSheetId="7">#REF!</definedName>
    <definedName name="lstCompleteness" localSheetId="6">'[3]Data Summary'!$E$126:$E$131</definedName>
    <definedName name="lstCompleteness" localSheetId="0">'[3]Data Summary'!$E$126:$E$131</definedName>
    <definedName name="lstCompleteness">#REF!</definedName>
    <definedName name="lstOrigin" localSheetId="7">#REF!</definedName>
    <definedName name="lstOrigin" localSheetId="6">'[3]Data Summary'!$H$126:$H$131</definedName>
    <definedName name="lstOrigin" localSheetId="0">'[3]Data Summary'!$H$126:$H$131</definedName>
    <definedName name="lstOrigin">#REF!</definedName>
    <definedName name="lstProcessScope" localSheetId="7">#REF!</definedName>
    <definedName name="lstProcessScope" localSheetId="6">'[3]Data Summary'!$D$126:$D$130</definedName>
    <definedName name="lstProcessScope" localSheetId="0">'[3]Data Summary'!$D$126:$D$130</definedName>
    <definedName name="lstProcessScope">#REF!</definedName>
    <definedName name="lstProcessType" localSheetId="7">#REF!</definedName>
    <definedName name="lstProcessType" localSheetId="6">'[3]Data Summary'!$C$126:$C$135</definedName>
    <definedName name="lstProcessType" localSheetId="0">'[3]Data Summary'!$C$126:$C$135</definedName>
    <definedName name="lstProcessType">#REF!</definedName>
    <definedName name="lstSourceType" localSheetId="7">#REF!</definedName>
    <definedName name="lstSourceType" localSheetId="6">'[3]Reference Source Info'!$B$51:$B$59</definedName>
    <definedName name="lstSourceType" localSheetId="0">'[3]Reference Source Info'!$B$51:$B$59</definedName>
    <definedName name="lstSourceType">#REF!</definedName>
    <definedName name="lstTracked" localSheetId="7">#REF!</definedName>
    <definedName name="lstTracked" localSheetId="6">'[3]Data Summary'!$J$126:$J$128</definedName>
    <definedName name="lstTracked" localSheetId="0">'[3]Data Summary'!$J$126:$J$128</definedName>
    <definedName name="lstTracked">#REF!</definedName>
    <definedName name="_xlnm.Print_Area" localSheetId="7">Assumptions!$C$1:$Q$8</definedName>
    <definedName name="_xlnm.Print_Area" localSheetId="1">'Data Summary'!$A$1:$P$56</definedName>
    <definedName name="_xlnm.Print_Area" localSheetId="3">DQI!$A$1:$L$47</definedName>
    <definedName name="_xlnm.Print_Area" localSheetId="0">Info!$A$1:$N$40</definedName>
    <definedName name="_xlnm.Print_Area" localSheetId="2">'Reference Source Info'!$A$1:$P$27</definedName>
    <definedName name="_xlnm.Print_Titles" localSheetId="2">'Reference Source Info'!$A:$A</definedName>
    <definedName name="Ton_to_Kilogram" localSheetId="7">'[1]Misc Factors'!#REF!</definedName>
    <definedName name="Ton_to_Kilogram" localSheetId="6">'[1]Misc Factors'!#REF!</definedName>
    <definedName name="Ton_to_Kilogram">'[1]Misc Factors'!#REF!</definedName>
    <definedName name="Vacuum_distillation_Energy_Consumption_Sensitivity_Indicator" localSheetId="7">'[1]SA Inputs'!#REF!</definedName>
    <definedName name="Vacuum_distillation_Energy_Consumption_Sensitivity_Indicator" localSheetId="6">'[1]SA Inputs'!#REF!</definedName>
    <definedName name="Vacuum_distillation_Energy_Consumption_Sensitivity_Indicator">'[1]SA Inputs'!#REF!</definedName>
    <definedName name="Weight_Conversion" localSheetId="7">'[1]Loss Factors'!#REF!</definedName>
    <definedName name="Weight_Conversion" localSheetId="6">'[1]Loss Factors'!#REF!</definedName>
    <definedName name="Weight_Conversion">'[1]Loss Factors'!#REF!</definedName>
    <definedName name="Z_A8892CA7_9094_4C03_B23A_DC3610B7C783_.wvu.PrintArea" localSheetId="1" hidden="1">'Data Summary'!$A$1:$P$56</definedName>
    <definedName name="Z_A8892CA7_9094_4C03_B23A_DC3610B7C783_.wvu.PrintArea" localSheetId="3" hidden="1">DQI!$A$1:$L$8</definedName>
    <definedName name="Z_A8892CA7_9094_4C03_B23A_DC3610B7C783_.wvu.PrintArea" localSheetId="0" hidden="1">Info!$A$1:$N$40</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D35" i="2" l="1"/>
  <c r="H53" i="2"/>
  <c r="H54" i="2"/>
  <c r="H52" i="2"/>
  <c r="H44" i="2"/>
  <c r="H45" i="2"/>
  <c r="H46" i="2"/>
  <c r="H43" i="2"/>
  <c r="G45" i="2"/>
  <c r="D37" i="2"/>
  <c r="D25" i="2"/>
  <c r="D31" i="2"/>
  <c r="G28" i="2"/>
  <c r="F28" i="2"/>
  <c r="H20" i="5"/>
  <c r="E30" i="2" s="1"/>
  <c r="H19" i="5"/>
  <c r="E29" i="2"/>
  <c r="E31" i="2" s="1"/>
  <c r="A42" i="8"/>
  <c r="A41" i="8"/>
  <c r="A40" i="8"/>
  <c r="A39" i="8"/>
  <c r="A38" i="8"/>
  <c r="A37" i="8"/>
  <c r="A36" i="8"/>
  <c r="A35" i="8"/>
  <c r="A34" i="8"/>
  <c r="A33" i="8"/>
  <c r="A32" i="8"/>
  <c r="C45" i="8"/>
  <c r="A31" i="8"/>
  <c r="A30" i="8"/>
  <c r="A29" i="8"/>
  <c r="A28" i="8"/>
  <c r="C17" i="8"/>
  <c r="C43" i="8"/>
  <c r="C16" i="8"/>
  <c r="B15" i="8"/>
  <c r="F32" i="5"/>
  <c r="F33" i="5" s="1"/>
  <c r="F34" i="5" s="1"/>
  <c r="F29" i="5"/>
  <c r="F30" i="5" s="1"/>
  <c r="F31" i="5" s="1"/>
  <c r="F35" i="5" s="1"/>
  <c r="F36" i="5" s="1"/>
  <c r="F39" i="5" s="1"/>
  <c r="F40" i="5" s="1"/>
  <c r="F53" i="5"/>
  <c r="F54" i="5" s="1"/>
  <c r="F56" i="5" s="1"/>
  <c r="E34" i="2" s="1"/>
  <c r="E35" i="2" s="1"/>
  <c r="G43" i="2"/>
  <c r="I43" i="2" s="1"/>
  <c r="G44" i="2"/>
  <c r="I44" i="2" s="1"/>
  <c r="M48" i="5"/>
  <c r="F43" i="5" s="1"/>
  <c r="F28" i="5"/>
  <c r="G52" i="2"/>
  <c r="I52" i="2"/>
  <c r="D32" i="6"/>
  <c r="D33" i="6"/>
  <c r="D28" i="6" s="1"/>
  <c r="D16" i="6"/>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L5" i="2"/>
  <c r="D4" i="1"/>
  <c r="D3" i="1"/>
  <c r="C44" i="8"/>
  <c r="C46" i="8"/>
  <c r="B4" i="8"/>
  <c r="B6" i="8"/>
  <c r="E23" i="2"/>
  <c r="E25" i="2"/>
  <c r="E26" i="2" s="1"/>
  <c r="D29" i="6" l="1"/>
  <c r="D30" i="6" s="1"/>
  <c r="D23" i="6"/>
  <c r="E32" i="2" s="1"/>
  <c r="E33" i="2" s="1"/>
  <c r="G46" i="2" s="1"/>
  <c r="I46" i="2" s="1"/>
  <c r="E37" i="2"/>
  <c r="G54" i="2" s="1"/>
  <c r="I54" i="2" s="1"/>
  <c r="G53" i="2"/>
  <c r="I53" i="2" s="1"/>
  <c r="F44" i="5"/>
  <c r="F52" i="5"/>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comments2.xml><?xml version="1.0" encoding="utf-8"?>
<comments xmlns="http://schemas.openxmlformats.org/spreadsheetml/2006/main">
  <authors>
    <author>Christopher D. Jones</author>
  </authors>
  <commentList>
    <comment ref="D7" authorId="0" shapeId="0">
      <text>
        <r>
          <rPr>
            <b/>
            <sz val="9"/>
            <color indexed="81"/>
            <rFont val="Tahoma"/>
            <family val="2"/>
          </rPr>
          <t>Christopher D. Jones:</t>
        </r>
        <r>
          <rPr>
            <sz val="9"/>
            <color indexed="81"/>
            <rFont val="Tahoma"/>
            <family val="2"/>
          </rPr>
          <t xml:space="preserve">
why SRWC</t>
        </r>
      </text>
    </comment>
  </commentList>
</comments>
</file>

<file path=xl/sharedStrings.xml><?xml version="1.0" encoding="utf-8"?>
<sst xmlns="http://schemas.openxmlformats.org/spreadsheetml/2006/main" count="941" uniqueCount="638">
  <si>
    <t>[unitless] Adjustable parameter; binary switch - field grinding as conventional chips (enter 0) or microchips (enter 1).</t>
  </si>
  <si>
    <t>[kg/acre-year] Annual yield rate of SRWC; accounts for losses.</t>
  </si>
  <si>
    <t>[unitless] Adjustable parameter; assumed loss rate of biomass during harvest.</t>
  </si>
  <si>
    <t>Estimate of mercury emission from gasoline and diesel fuel consumption, San Francisco Bay area, California.</t>
  </si>
  <si>
    <t>Development and Selection of Ammonia Emission Factors, Final Report</t>
  </si>
  <si>
    <t>Conaway, C.H.</t>
  </si>
  <si>
    <t>Battye, R.</t>
  </si>
  <si>
    <t>Mason, R.P., Steding, D.J., Flegal, A.R.</t>
  </si>
  <si>
    <t>Battye, W., Overcash, C., Fudge, S.</t>
  </si>
  <si>
    <t>1994</t>
  </si>
  <si>
    <t>August, 1994</t>
  </si>
  <si>
    <t>Elsevier/Science Direct</t>
  </si>
  <si>
    <t>Washington, DC</t>
  </si>
  <si>
    <t>104 (PDF page 4)</t>
  </si>
  <si>
    <t>PDF page 74</t>
  </si>
  <si>
    <t>Table 2</t>
  </si>
  <si>
    <t>Table 5-6</t>
  </si>
  <si>
    <t>Atmospheric Environment</t>
  </si>
  <si>
    <t>39</t>
  </si>
  <si>
    <t>http://www.sciencedirect.com/science?_ob=MImg&amp;_imagekey=B6VH3-4DPC3KY-2-1&amp;_cdi=6055&amp;_user=2638189&amp;_orig=search&amp;_coverDate=01%2F01%2F2005&amp;_sk=999609998&amp;view=c&amp;wchp=dGLbVzb-zSkWA&amp;md5=08247b48f4834470afb239b4a93b0efd&amp;ie=/sdarticle.pdf</t>
  </si>
  <si>
    <t>http://www.epa.gov/ttn/chief/old/efdocs/ammonia.pdf</t>
  </si>
  <si>
    <t>Conaway, C.H., Mason, R.P., Steding, D.J., Flegal, A.R. 2005. "Estimate of mercury emission from gasoline and diesel consumption, San Francisco Bay area, California."  Atmospheric Environment 39:101-105. http://www.sciencedirect.com/science?_ob=MImg&amp;_imagekey=B6VH3-4DPC3KY-2-1&amp;_cdi=6055&amp;_user=2638189&amp;_orig=search&amp;_coverDate=01%2F01%2F2005&amp;_sk=999609998&amp;view=c&amp;wchp=dGLbVzb-zSkWA&amp;md5=08247b48f4834470afb239b4a93b0efd&amp;ie=/sdarticle.pdf (Accessed December 16, 2009).</t>
  </si>
  <si>
    <t>Battye R., Battye, W., Overcash, C., Fudge, S. 1994. Development and Selection of Ammonia Emissions Factors, Final Report. US Environmental Protection Agency, Washington, D.C. http://www.epa.gov/ttn/chief/old/efdocs/ammonia.pdf (Accessed December 16, 2009).</t>
  </si>
  <si>
    <t>2012</t>
  </si>
  <si>
    <t>http://www.deere.com/en_US/docs/engines_and_drivetrain/specsheet/IGS/6135HF485_T.pdf</t>
  </si>
  <si>
    <r>
      <t xml:space="preserve">John Deere. 2012. </t>
    </r>
    <r>
      <rPr>
        <i/>
        <sz val="10"/>
        <rFont val="Arial"/>
        <family val="2"/>
      </rPr>
      <t>PowerTech 6135H Diesel Engine Specifications.</t>
    </r>
    <r>
      <rPr>
        <sz val="10"/>
        <rFont val="Arial"/>
        <family val="2"/>
      </rPr>
      <t xml:space="preserve"> Deere &amp; Company. http://www.deere.com/en_US/docs/engines_and_drivetrain/specsheet/IGS/6135HF485_T.pdf (Accessed April 2, 2012).</t>
    </r>
  </si>
  <si>
    <t>http://www.nextenergynews.com/news1/next-energy-news12.21a.html</t>
  </si>
  <si>
    <r>
      <t xml:space="preserve">Next Energy News. 2007. </t>
    </r>
    <r>
      <rPr>
        <i/>
        <sz val="10"/>
        <rFont val="Arial"/>
        <family val="2"/>
      </rPr>
      <t>Biomass Harvester Eats Trees to Make Biodiesel.</t>
    </r>
    <r>
      <rPr>
        <sz val="10"/>
        <rFont val="Arial"/>
        <family val="2"/>
      </rPr>
      <t xml:space="preserve"> Next Energy News. http://www.nextenergynews.com/news1/next-energy-news12.21a.html (Accessed April 2, 2012). </t>
    </r>
  </si>
  <si>
    <t>11/18/2010</t>
  </si>
  <si>
    <t>184 (pdf pg 188)</t>
  </si>
  <si>
    <t>http://www.eia.gov/oiaf/1605/pdf/Form%20EIA-1605%20Instructions.pdf</t>
  </si>
  <si>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</si>
  <si>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</si>
  <si>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</si>
  <si>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</si>
  <si>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</si>
  <si>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</si>
  <si>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</si>
  <si>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</si>
  <si>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</si>
  <si>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</si>
  <si>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</si>
  <si>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</si>
  <si>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</si>
  <si>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</si>
  <si>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</si>
  <si>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</si>
  <si>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</si>
  <si>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</si>
  <si>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</si>
  <si>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</si>
  <si>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</si>
  <si>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</si>
  <si>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</si>
  <si>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</si>
  <si>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</si>
  <si>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</si>
  <si>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</si>
  <si>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</si>
  <si>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</si>
  <si>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</si>
  <si>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</si>
  <si>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</si>
  <si>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</si>
  <si>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</si>
  <si>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</si>
  <si>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</si>
  <si>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</si>
  <si>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</si>
  <si>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</si>
  <si>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</si>
  <si>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</si>
  <si>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</si>
  <si>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</si>
  <si>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</si>
  <si>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</si>
  <si>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</si>
  <si>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</si>
  <si>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</si>
  <si>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</si>
  <si>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</si>
  <si>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</si>
  <si>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</si>
  <si>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</si>
  <si>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</si>
  <si>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</si>
  <si>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</si>
  <si>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</si>
  <si>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</si>
  <si>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</si>
  <si>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</si>
  <si>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</si>
  <si>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</si>
  <si>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</si>
  <si>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</si>
  <si>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</si>
  <si>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</si>
  <si>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</si>
  <si>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</si>
  <si>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</si>
  <si>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</si>
  <si>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</si>
  <si>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</si>
  <si>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</si>
  <si>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</si>
  <si>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</si>
  <si>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</si>
  <si>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</si>
  <si>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</si>
  <si>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</si>
  <si>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</si>
  <si>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</si>
  <si>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</si>
  <si>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</si>
  <si>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</si>
  <si>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</si>
  <si>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</si>
  <si>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</si>
  <si>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</si>
  <si>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</si>
  <si>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</si>
  <si>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</si>
  <si>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</si>
  <si>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</si>
  <si>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</si>
  <si>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</si>
  <si>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</si>
  <si>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</si>
  <si>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</si>
  <si>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</si>
  <si>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</si>
  <si>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</si>
  <si>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</si>
  <si>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</si>
  <si>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</si>
  <si>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</si>
  <si>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</si>
  <si>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</si>
  <si>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</si>
  <si>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</si>
  <si>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</si>
  <si>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</si>
  <si>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</si>
  <si>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</si>
  <si>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</si>
  <si>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</si>
  <si>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</si>
  <si>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</si>
  <si>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</si>
  <si>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</si>
  <si>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</si>
  <si>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</si>
  <si>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</si>
  <si>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</si>
  <si>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</si>
  <si>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</si>
  <si>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</si>
  <si>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</si>
  <si>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</si>
  <si>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</si>
  <si>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</si>
  <si>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</si>
  <si>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</si>
  <si>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</si>
  <si>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</si>
  <si>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</si>
  <si>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</si>
  <si>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</si>
  <si>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</si>
  <si>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</si>
  <si>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</si>
  <si>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</si>
  <si>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</si>
  <si>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</si>
  <si>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</si>
  <si>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</si>
  <si>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</si>
  <si>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</si>
  <si>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</si>
  <si>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</si>
  <si>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</si>
  <si>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</si>
  <si>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</si>
  <si>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</si>
  <si>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</si>
  <si>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</si>
  <si>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</si>
  <si>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</si>
  <si>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</si>
  <si>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</si>
  <si>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</si>
  <si>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</si>
  <si>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</si>
  <si>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</si>
  <si>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</si>
  <si>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</si>
  <si>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</si>
  <si>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</si>
  <si>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</si>
  <si>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</si>
  <si>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</si>
  <si>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</si>
  <si>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</si>
  <si>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</si>
  <si>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</si>
  <si>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</si>
  <si>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</si>
  <si>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</si>
  <si>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</si>
  <si>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</si>
  <si>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</si>
  <si>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</si>
  <si>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</si>
  <si>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</si>
  <si>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</si>
  <si>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</si>
  <si>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</si>
  <si>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</si>
  <si>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</si>
  <si>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</si>
  <si>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</si>
  <si>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</si>
  <si>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</si>
  <si>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</si>
  <si>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</si>
  <si>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</si>
  <si>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</si>
  <si>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</si>
  <si>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</si>
  <si>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</si>
  <si>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</si>
  <si>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</si>
  <si>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</si>
  <si>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Diesel_kg</t>
  </si>
  <si>
    <t>L/kg biomass</t>
  </si>
  <si>
    <t>Diesel_kgL</t>
  </si>
  <si>
    <t>kg diesel/L diesel</t>
  </si>
  <si>
    <t>Diesel_use</t>
  </si>
  <si>
    <t>Diesel_kg*Diesel_kgL</t>
  </si>
  <si>
    <t>kg diesel/kg biomass</t>
  </si>
  <si>
    <t>kg/kg biomass</t>
  </si>
  <si>
    <t>Instructions for Form EIA-1605, Voluntary Reporting of Greenhouse Gases, Appendix H</t>
  </si>
  <si>
    <t>WRAP Fugitive Dust Handbook</t>
  </si>
  <si>
    <t>Separate Publication</t>
  </si>
  <si>
    <t>US Department of Energy</t>
  </si>
  <si>
    <t>Western Regional Air Partnership</t>
  </si>
  <si>
    <t>2004</t>
  </si>
  <si>
    <t>Washington, D.C.</t>
  </si>
  <si>
    <t>Denver, CO</t>
  </si>
  <si>
    <t>US Average</t>
  </si>
  <si>
    <t>Representative Samples</t>
  </si>
  <si>
    <t>Item</t>
  </si>
  <si>
    <t>gram</t>
  </si>
  <si>
    <t>inches</t>
  </si>
  <si>
    <t>acres/hour</t>
  </si>
  <si>
    <t>ft</t>
  </si>
  <si>
    <t>Reference</t>
  </si>
  <si>
    <t>Diesel fuel density</t>
  </si>
  <si>
    <t>kg/gal</t>
  </si>
  <si>
    <t>Pound</t>
  </si>
  <si>
    <t>grams</t>
  </si>
  <si>
    <t>US gallon</t>
  </si>
  <si>
    <t>lb/gal</t>
  </si>
  <si>
    <t>gal</t>
  </si>
  <si>
    <t>Fugitive Dust Emissions</t>
  </si>
  <si>
    <t>PM emissions in lbs per acre-pass</t>
  </si>
  <si>
    <t>US Midwest</t>
  </si>
  <si>
    <t>kg/acre-year</t>
  </si>
  <si>
    <t>Biomass_yield_y</t>
  </si>
  <si>
    <t>L</t>
  </si>
  <si>
    <t>The abbreviation "kg" is used for the word, "kilogram" in the 'Data Summary' sheet</t>
  </si>
  <si>
    <t>Undefined</t>
  </si>
  <si>
    <t>Article</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</si>
  <si>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</si>
  <si>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</si>
  <si>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</si>
  <si>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Nonroad Diesel Engines</t>
  </si>
  <si>
    <t>John Deere</t>
  </si>
  <si>
    <t>Federal Register</t>
  </si>
  <si>
    <t>South Coast Air Quality Management District</t>
  </si>
  <si>
    <t>DieselNet</t>
  </si>
  <si>
    <t>US EPA</t>
  </si>
  <si>
    <t>USDA</t>
  </si>
  <si>
    <t>2009</t>
  </si>
  <si>
    <t>2007</t>
  </si>
  <si>
    <t>2005</t>
  </si>
  <si>
    <t>2008</t>
  </si>
  <si>
    <t>Internet</t>
  </si>
  <si>
    <t>California</t>
  </si>
  <si>
    <t>Washington D.C./web</t>
  </si>
  <si>
    <t>2011</t>
  </si>
  <si>
    <t>2010</t>
  </si>
  <si>
    <t>US West-Midwest</t>
  </si>
  <si>
    <t>US Regulatory Maximum</t>
  </si>
  <si>
    <t>California Average Diesel Equipment</t>
  </si>
  <si>
    <t>Stationary diesel engines</t>
  </si>
  <si>
    <t>offroad diesel engines</t>
  </si>
  <si>
    <t>Greenhouse gas emissions report, including standard conversion factors used by the US EPA.</t>
  </si>
  <si>
    <t>mile</t>
  </si>
  <si>
    <t>acre</t>
  </si>
  <si>
    <t>square feet</t>
  </si>
  <si>
    <t>Average</t>
  </si>
  <si>
    <t>SO2 emission factor is calculated based on assumption of 15 ppm diesel and stiochiometry, assuming all S in diesel is converted to SO2.</t>
  </si>
  <si>
    <t>hectare</t>
  </si>
  <si>
    <t>acres</t>
  </si>
  <si>
    <t>inch</t>
  </si>
  <si>
    <t>mm</t>
  </si>
  <si>
    <t>megagram</t>
  </si>
  <si>
    <t>tonne</t>
  </si>
  <si>
    <t>square meters</t>
  </si>
  <si>
    <t xml:space="preserve">m </t>
  </si>
  <si>
    <t>cubic meter</t>
  </si>
  <si>
    <t>mg</t>
  </si>
  <si>
    <t>ug</t>
  </si>
  <si>
    <t>short ton</t>
  </si>
  <si>
    <t>L of water</t>
  </si>
  <si>
    <t>kg of water</t>
  </si>
  <si>
    <t>L diesel</t>
  </si>
  <si>
    <t>kg diesel</t>
  </si>
  <si>
    <t>Diesel consumption in equipment</t>
  </si>
  <si>
    <t>Tonne (matric) fuel</t>
  </si>
  <si>
    <t>L/kg</t>
  </si>
  <si>
    <t>kg/L</t>
  </si>
  <si>
    <t>Liter diesel</t>
  </si>
  <si>
    <t>lb diesel</t>
  </si>
  <si>
    <t>Diesel fuel characterizations</t>
  </si>
  <si>
    <t>Emission to air</t>
  </si>
  <si>
    <t xml:space="preserve">US </t>
  </si>
  <si>
    <t>No</t>
  </si>
  <si>
    <t>Biomass_yield_s</t>
  </si>
  <si>
    <t>Biomass_yield_y*30</t>
  </si>
  <si>
    <t>kg/acre-study period</t>
  </si>
  <si>
    <t>Assumes 1 pass required for each piece of equipment.</t>
  </si>
  <si>
    <t>2003</t>
  </si>
  <si>
    <t>Computing Agricultural PM10 Fugitive Dust Emissions Using Process Specific Emissions Rates and GIS</t>
  </si>
  <si>
    <t>Gaffney, P.</t>
  </si>
  <si>
    <t>Yu, H.</t>
  </si>
  <si>
    <t>San Diego, CA and Internet</t>
  </si>
  <si>
    <t>California Air Resources Board</t>
  </si>
  <si>
    <t>US EPA Annual Emission Inventory Conference Literature</t>
  </si>
  <si>
    <t>lb diesel/hp-hr</t>
  </si>
  <si>
    <t>hp</t>
  </si>
  <si>
    <t>L per tonne of diesel</t>
  </si>
  <si>
    <t>L per kg of diesel</t>
  </si>
  <si>
    <t>L diesel/hr</t>
  </si>
  <si>
    <t>L diesel/acre-pass</t>
  </si>
  <si>
    <t>L diesel/kg</t>
  </si>
  <si>
    <t>Header operating speed</t>
  </si>
  <si>
    <t>Fuel consumption for indicated equipment</t>
  </si>
  <si>
    <t>Volume of diesel per kg</t>
  </si>
  <si>
    <t>Volume of diesel per hour</t>
  </si>
  <si>
    <t>Acres of harvester coverage per hour</t>
  </si>
  <si>
    <t>Liters of fuel used per acre coverage</t>
  </si>
  <si>
    <t>Liters of fuel used per kg of biomass</t>
  </si>
  <si>
    <t xml:space="preserve">L diesel/kg </t>
  </si>
  <si>
    <t>Liters of fuel used per kg of biomass, total</t>
  </si>
  <si>
    <t>SRWC Biomass [Biomass Fuels]</t>
  </si>
  <si>
    <t>This reference flow represents mass of SRWC.</t>
  </si>
  <si>
    <t>PowerTech 6135H Diesel Engine Specifications</t>
  </si>
  <si>
    <t>Deere &amp; Company</t>
  </si>
  <si>
    <t>Specifications for a diesel engine</t>
  </si>
  <si>
    <t>2014</t>
  </si>
  <si>
    <t>US data from 1990 to 2005</t>
  </si>
  <si>
    <t>Specifications for harvester</t>
  </si>
  <si>
    <t>PM10 emissions for land prep and harvesting</t>
  </si>
  <si>
    <t>PM (dust) emissions for farm operations</t>
  </si>
  <si>
    <t>Average biomass yield on grasslands in northeastern USA</t>
  </si>
  <si>
    <t>Estimated biomass yield for grasslands in the northrn Great Plains</t>
  </si>
  <si>
    <t>Biomass Harvester Eats Trees to Make Biodiesel</t>
  </si>
  <si>
    <t>Emission Standards, United States: Stationary Diesel Engines</t>
  </si>
  <si>
    <t>Inventory of U.S. Greenhouse Gas Emissions and Sinks: 1990 - 2005, Annex 6: Additional Information</t>
  </si>
  <si>
    <t>Fact Sheet: Management and Life Cycle Assessment of Bioenergy Crop Production</t>
  </si>
  <si>
    <t>Management Guide for Biomass Feedstock Production From Switchgrass in the Northern Great Plains.</t>
  </si>
  <si>
    <t xml:space="preserve">Next Energy News </t>
  </si>
  <si>
    <t>National Archives and Records Administration</t>
  </si>
  <si>
    <t>Countess Environmental</t>
  </si>
  <si>
    <t>SunGrant Initiative</t>
  </si>
  <si>
    <t>12/21/07</t>
  </si>
  <si>
    <t>Next Energy News</t>
  </si>
  <si>
    <t>US DOE</t>
  </si>
  <si>
    <t>SCAQMD</t>
  </si>
  <si>
    <t>EcoPoint Inc.</t>
  </si>
  <si>
    <t>Ecopoint Inc.</t>
  </si>
  <si>
    <t>South Dakota State University</t>
  </si>
  <si>
    <t>5</t>
  </si>
  <si>
    <t>38971</t>
  </si>
  <si>
    <t>A294</t>
  </si>
  <si>
    <t>2-2 (pdf pg 24)</t>
  </si>
  <si>
    <t>4</t>
  </si>
  <si>
    <t>Table 1</t>
  </si>
  <si>
    <t>Tables II.A-1, II.A-2</t>
  </si>
  <si>
    <t>Table 3</t>
  </si>
  <si>
    <t>Table 7</t>
  </si>
  <si>
    <t>Table 2-1</t>
  </si>
  <si>
    <t>69</t>
  </si>
  <si>
    <t>124</t>
  </si>
  <si>
    <t>OMB No. 1905-0194</t>
  </si>
  <si>
    <t>1. Tree Harvester/chipper</t>
  </si>
  <si>
    <t>tons/hr</t>
  </si>
  <si>
    <t>kg/hr</t>
  </si>
  <si>
    <t>hp for indicated equipment</t>
  </si>
  <si>
    <t>2-4 tons of biomass per hour</t>
  </si>
  <si>
    <t>Pounds of diesel used per hour</t>
  </si>
  <si>
    <t>Volume of diesel per tonne diesel</t>
  </si>
  <si>
    <t>1. SRWC yield acre per year</t>
  </si>
  <si>
    <t>Reference [12]</t>
  </si>
  <si>
    <t>Taxon</t>
  </si>
  <si>
    <t>SWRC Yield</t>
  </si>
  <si>
    <t>Michigan</t>
  </si>
  <si>
    <t>kg/acre-30yr</t>
  </si>
  <si>
    <t>tons/acre-year</t>
  </si>
  <si>
    <t>SRWC yield value</t>
  </si>
  <si>
    <t>[14]</t>
  </si>
  <si>
    <t>[15]</t>
  </si>
  <si>
    <t>2. Total Diesel Use</t>
  </si>
  <si>
    <t>PM emissions in kg/kg biomass</t>
  </si>
  <si>
    <t>PM emissions in kg/acre</t>
  </si>
  <si>
    <t>[1], [2], [3], [14], [15]</t>
  </si>
  <si>
    <t>Growth and Yield of Willow and Poplar Hybrids in the Central Upper Peninsula of Michigan</t>
  </si>
  <si>
    <t>Miller, R.</t>
  </si>
  <si>
    <t>Bender, B.</t>
  </si>
  <si>
    <t>Michigan State University</t>
  </si>
  <si>
    <t>SRWC Biomass [Resource]</t>
  </si>
  <si>
    <t>Biomass Operation [Installation]</t>
  </si>
  <si>
    <t xml:space="preserve">This unit process is assembled with Cultivation operations process in series. </t>
  </si>
  <si>
    <t>[L/kg biomass] Liters of diesel used per kg of biomass produced.</t>
  </si>
  <si>
    <t>[kg diesel/L diesel] mass of diesel per liter (unit conversion)</t>
  </si>
  <si>
    <t>[kg diesel/kg biomass] Mass of diesel used per kg of biomass produced.</t>
  </si>
  <si>
    <t>Diesel would be consumed by the tree harvester/chipper.</t>
  </si>
  <si>
    <t>2,2,2,2,2</t>
  </si>
  <si>
    <t>1,2,2,2,1</t>
  </si>
  <si>
    <t>Reference [1], [2]</t>
  </si>
  <si>
    <t>Reference [2]</t>
  </si>
  <si>
    <t>Reference [14]</t>
  </si>
  <si>
    <t>Reference [15]</t>
  </si>
  <si>
    <t>Reference  [1]</t>
  </si>
  <si>
    <r>
      <t xml:space="preserve">SunGrant Initiative. 2007. </t>
    </r>
    <r>
      <rPr>
        <i/>
        <sz val="10"/>
        <rFont val="Arial"/>
        <family val="2"/>
      </rPr>
      <t xml:space="preserve">Management Guide for Biomass Feedstock Production From Switchgrass in the Northern Great Plains. </t>
    </r>
    <r>
      <rPr>
        <sz val="10"/>
        <rFont val="Arial"/>
        <family val="2"/>
      </rPr>
      <t>South Dakota State University.</t>
    </r>
  </si>
  <si>
    <r>
      <t xml:space="preserve">Countess Environmental. 2004. </t>
    </r>
    <r>
      <rPr>
        <i/>
        <sz val="10"/>
        <rFont val="Arial"/>
        <family val="2"/>
      </rPr>
      <t>WRAP Fugitive Dust Handbook</t>
    </r>
    <r>
      <rPr>
        <sz val="10"/>
        <rFont val="Arial"/>
        <family val="2"/>
      </rPr>
      <t>.  WGA Contract No. 30204-83.  Western Regional Air Partnership.</t>
    </r>
  </si>
  <si>
    <r>
      <t xml:space="preserve">Gaffney, P. and Yu, H. 2003. </t>
    </r>
    <r>
      <rPr>
        <i/>
        <sz val="10"/>
        <rFont val="Arial"/>
        <family val="2"/>
      </rPr>
      <t>Computing Agricultural PM10 Fugitive Dust Emissions Using Process Specific Emissions Rates and GIS.</t>
    </r>
    <r>
      <rPr>
        <sz val="10"/>
        <rFont val="Arial"/>
        <family val="2"/>
      </rPr>
      <t xml:space="preserve"> US EPA Annual Emission Inventory Conference. April, 2003.</t>
    </r>
  </si>
  <si>
    <t>liters</t>
  </si>
  <si>
    <t>The abbreviation "SRWC" is used for the phrase, "short rotation woody crops" in the 'Data Summary' sheet</t>
  </si>
  <si>
    <t>[kg/acre-study period] Amount of biomass produced over the study period; see Assumption #3.</t>
  </si>
  <si>
    <t>[Resource] Amount of SRWC biomass required to produce 1 kg of biomass ready for transport</t>
  </si>
  <si>
    <t>Single manufacturer</t>
  </si>
  <si>
    <t>06/29/2004</t>
  </si>
  <si>
    <t>04/15/2007</t>
  </si>
  <si>
    <t>11/15/2004</t>
  </si>
  <si>
    <t>http://www.dieselnet.com/standards/us/stationary.php</t>
  </si>
  <si>
    <t>http://www.epa.gov/climatechange/emissions/downloads06/07CR.pdf</t>
  </si>
  <si>
    <t>http://www.dieselnet.com/standards/us/nonroad.php</t>
  </si>
  <si>
    <r>
      <t xml:space="preserve">USDA. 2009. </t>
    </r>
    <r>
      <rPr>
        <i/>
        <sz val="10"/>
        <color indexed="8"/>
        <rFont val="Arial"/>
        <family val="2"/>
      </rPr>
      <t>Fact Sheet: Management and Lifecycle Assessment of Bioenergy Crop Production.</t>
    </r>
    <r>
      <rPr>
        <sz val="10"/>
        <color indexed="8"/>
        <rFont val="Arial"/>
        <family val="2"/>
      </rPr>
      <t>U.S. Department of Agriculture.</t>
    </r>
  </si>
  <si>
    <r>
      <t xml:space="preserve">EPA. 2007. </t>
    </r>
    <r>
      <rPr>
        <i/>
        <sz val="10"/>
        <rFont val="Arial"/>
        <family val="2"/>
      </rPr>
      <t xml:space="preserve">Inventory of U.S. Greenhouse Gas Emissions and Sinks: 1990-2005: Annex 6 Additional Information. </t>
    </r>
    <r>
      <rPr>
        <sz val="10"/>
        <rFont val="Arial"/>
        <family val="2"/>
      </rPr>
      <t xml:space="preserve"> U.S. Environmental Protection Agency.  http://www.epa.gov/climatechange/emissions/downloads06/07CR.pdf (Accessed February 8, 2010).</t>
    </r>
  </si>
  <si>
    <t>[kg/acre-year] Adjustable parameter; the annual yield rate of SRWC.</t>
  </si>
  <si>
    <t>Calculations_SRWC</t>
  </si>
  <si>
    <t>Assumption [5]</t>
  </si>
  <si>
    <t>Reference [15], pg 5, Assumption [4]</t>
  </si>
  <si>
    <t>EPA Tier 4 Standard.</t>
  </si>
  <si>
    <t>Assumes that fugitive dust emissions for almond harvest are similar to SRWC harvest.</t>
  </si>
  <si>
    <t>Study period is assumed to be 30 years.</t>
  </si>
  <si>
    <t>lb diesel/hr</t>
  </si>
  <si>
    <t>Liters of fuel used per acre-yr</t>
  </si>
  <si>
    <t>L diesel/acre-yr</t>
  </si>
  <si>
    <t>NETL Life Cycle Inventory Data - Detailed Spreadsheet Documentation</t>
  </si>
  <si>
    <t>Note: Some conversion factors are hard-keyed into calculations</t>
  </si>
  <si>
    <t>SRWC Yield per Acre</t>
  </si>
  <si>
    <t>Notes</t>
  </si>
  <si>
    <t>yield per acre, per year</t>
  </si>
  <si>
    <t>See data and calculations below.</t>
  </si>
  <si>
    <t>Harvest Frequency</t>
  </si>
  <si>
    <t>years</t>
  </si>
  <si>
    <t>Assumption [6]</t>
  </si>
  <si>
    <t>yield per acre over study period</t>
  </si>
  <si>
    <t>kg/acre-30yr; 13 year harvest rotation</t>
  </si>
  <si>
    <t>Southern Pines Yield Data Compilation</t>
  </si>
  <si>
    <t>Green Tons per Acre</t>
  </si>
  <si>
    <t>Dry Tons per Acre</t>
  </si>
  <si>
    <t>http://www.gabioenergy.org/ppt/McClure--Forest%20Biomass%20as%20a%20Feedstock%20for%20Energy%20Production.pdf</t>
  </si>
  <si>
    <t>Loblolly Pine</t>
  </si>
  <si>
    <t>Slash Pine</t>
  </si>
  <si>
    <t>weed control and fertilization</t>
  </si>
  <si>
    <t>http://www.apsaf.org/meetings/apsaf-2011/ppt/Fox-ApSAF-2011-Growth_Potential_of_Plantations_in_the_South.pdf</t>
  </si>
  <si>
    <t>Pinus taeda (loblolly pine)</t>
  </si>
  <si>
    <t xml:space="preserve"> @13 year harvest with fertilizer and weed control</t>
  </si>
  <si>
    <t>http://forestproductivity.com/sitefactors/soils/nutrient_management_southern_pines.pdf</t>
  </si>
  <si>
    <t>Pinus elliottii</t>
  </si>
  <si>
    <t>3.3 to 3.8</t>
  </si>
  <si>
    <t>site prep plus weed control no fertilizer</t>
  </si>
  <si>
    <t>http://www1.eere.energy.gov/biomass/pdfs/billion_ton_update.pdf</t>
  </si>
  <si>
    <t>3.6 to 5.2</t>
  </si>
  <si>
    <t>site prep weed control fertilizer</t>
  </si>
  <si>
    <t>5.1 to 7.3</t>
  </si>
  <si>
    <t>above plus high fertilizer</t>
  </si>
  <si>
    <t>5.4 to 8.4</t>
  </si>
  <si>
    <t>optimal conditions</t>
  </si>
  <si>
    <t>6 to 8</t>
  </si>
  <si>
    <t>industry predicted based on higher intesnity management</t>
  </si>
  <si>
    <t>Loblolly Pine, low</t>
  </si>
  <si>
    <t>dry MG/ha-yr</t>
  </si>
  <si>
    <t>http://www.ornl.gov/sci/ees/cbes/Publications/Kline_Coleman_%20Woody%20energy%20crops%20in%20the%20southeastern%20United%20States%20Two%20centuries%20of%20practitioner%20experience.pdf</t>
  </si>
  <si>
    <t>Loblolly Pine, average</t>
  </si>
  <si>
    <t>Loblolly Pine, high yield est</t>
  </si>
  <si>
    <t>Dry Tons/Acre, kg/acre-year</t>
  </si>
  <si>
    <t>Min</t>
  </si>
  <si>
    <t>Max</t>
  </si>
  <si>
    <t>Best Estimate</t>
  </si>
  <si>
    <t>SRWC Grinding &amp; Storage, Operation</t>
  </si>
  <si>
    <t>ENERGY NEEDS FOR SOUTHERN PINE HARVESTING THROUGH DELIVERY TO CBTL PLANT AND SUBSEQUENT GRINDING</t>
  </si>
  <si>
    <t>QUANTITY OF GREEN WOOD</t>
  </si>
  <si>
    <t>TPD</t>
  </si>
  <si>
    <t>HARVESTING WOOD LOSS</t>
  </si>
  <si>
    <t>%</t>
  </si>
  <si>
    <t>MBTU</t>
  </si>
  <si>
    <t>GAL DIESEL</t>
  </si>
  <si>
    <t>KWHRS</t>
  </si>
  <si>
    <t>DM:GM</t>
  </si>
  <si>
    <t>TREE FELLING</t>
  </si>
  <si>
    <t>WOOD SKIDDING</t>
  </si>
  <si>
    <t>WOOD CHIPPING</t>
  </si>
  <si>
    <t>MILES</t>
  </si>
  <si>
    <t>TRANSPORT CHIPS TO CBTL PLANT</t>
  </si>
  <si>
    <t>MICRONS</t>
  </si>
  <si>
    <t>GRINDING CHIPS TO SIZE AT CBTL PLANT</t>
  </si>
  <si>
    <t>WOOD MICROCHIPPING</t>
  </si>
  <si>
    <t>Conv Chipping</t>
  </si>
  <si>
    <t>Microchipping</t>
  </si>
  <si>
    <t>Gal Diesel/kg biomass</t>
  </si>
  <si>
    <t>ChipType</t>
  </si>
  <si>
    <t>[unitless]</t>
  </si>
  <si>
    <t>Diesel_conv</t>
  </si>
  <si>
    <t>Diesel_micro</t>
  </si>
  <si>
    <t>[L/kg biomass] Liters of diesel used per kg of biomass produced, conventional chipping.</t>
  </si>
  <si>
    <t>[L/kg biomass] Liters of diesel used per kg of biomass produced, microchipping.</t>
  </si>
  <si>
    <t>LossRate</t>
  </si>
  <si>
    <t>Biomass_yield_r</t>
  </si>
  <si>
    <t>Loss_Storage</t>
  </si>
  <si>
    <t>[unitless] Loss rate during storage.</t>
  </si>
  <si>
    <t>Southern Pine Harvesting &amp; Storage, Operation</t>
  </si>
  <si>
    <t>Southern Pine Biomass</t>
  </si>
  <si>
    <t>Journal Article</t>
  </si>
  <si>
    <t>Forest Biomass as a Feedstock for Energy Production</t>
  </si>
  <si>
    <t>The Growth Potential of Southern Pine Plantations: Untapped Opportunities</t>
  </si>
  <si>
    <t>Nutrient Management of Southern Pines</t>
  </si>
  <si>
    <t>U.S. Billion Ton Update: Biomass Supply for a Bioenergy and Bioproducts Industry</t>
  </si>
  <si>
    <t>Woody Energy Crops in the Doutheastern United States: Two Centuries of Practitioner Experience</t>
  </si>
  <si>
    <t>McClure, N.</t>
  </si>
  <si>
    <t>Fox, T</t>
  </si>
  <si>
    <t>Jokela, E.</t>
  </si>
  <si>
    <t>U.S. DOE</t>
  </si>
  <si>
    <t>Kline, K.</t>
  </si>
  <si>
    <t>Dickens, E.D.; Barnett, J.P.; Hubbard, W.G.</t>
  </si>
  <si>
    <t>Coleman, M.</t>
  </si>
  <si>
    <t>1655-1666</t>
  </si>
  <si>
    <t>Biomass and Bioenergy</t>
  </si>
  <si>
    <t>34</t>
  </si>
  <si>
    <t>2006-2011</t>
  </si>
  <si>
    <t>US Southeast</t>
  </si>
  <si>
    <t>McClure, N. 2011. Forest Biomass as a Feedstock for Energy Production. Available at: http://www.gabioenergy.org/ppt/McClure--Forest%20Biomass%20as%20a%20Feedstock%20for%20Energy%20Production.pdf Accessed May 4, 2012.</t>
  </si>
  <si>
    <t>Fox, T. 2011. The Growth Potential of Southern Pine Plantations: Untapped Opportunities. Available at: http://www.apsaf.org/meetings/apsaf-2011/ppt/Fox-ApSAF-2011-Growth_Potential_of_Plantations_in_the_South.pdf Accessed May 4, 2012.</t>
  </si>
  <si>
    <t>Jokela, E., Dickens, E.D., Barnett, J.P., and Hubbard, W.G.. Nutrient Management of Southern Pines. Available at: http://forestproductivity.com/sitefactors/soils/nutrient_management_southern_pines.pdf Accessed May 4, 2012.</t>
  </si>
  <si>
    <t>U.S. DOE. 2011. U.S. Billion Ton Update: Biomass Supply for a Bioenergy and Bioproducts Industry. Available at: http://www1.eere.energy.gov/biomass/pdfs/billion_ton_update.pdf Accessed May 4, 2012.</t>
  </si>
  <si>
    <t>Kline, K., and Coleman, M. 2010. Woody Energy Crops in the Doutheastern United States: Two Centuries of Practitioner Experience. Biomass and Bioenergy 34:1655-1666</t>
  </si>
  <si>
    <t>Yield data</t>
  </si>
  <si>
    <t>Reference [18] page 21</t>
  </si>
  <si>
    <t>Reference [19] page 22</t>
  </si>
  <si>
    <t>Reference [22]</t>
  </si>
  <si>
    <t>Reference [21]</t>
  </si>
  <si>
    <t>Reference [20] page 7</t>
  </si>
  <si>
    <t>Reference [20]</t>
  </si>
  <si>
    <t>Reference [21] page 119</t>
  </si>
  <si>
    <t>Reference [22[ page 1958</t>
  </si>
  <si>
    <t>Biomass Yield</t>
  </si>
  <si>
    <t>[18], [19], [20], [21], [22]</t>
  </si>
  <si>
    <t>1,1,2,1,1</t>
  </si>
  <si>
    <t>18-22</t>
  </si>
  <si>
    <t>DOE. 2010. Instructions for Form EIA-1605, Voluntary Reporting of Greenhouse Gases. OMB No. 1905-0194. U.S. Department of Energy. http://www.eia.gov/oiaf/1605/pdf/Form%20EIA-1605%20Instructions.pdf (Accessed April 2, 2012)</t>
  </si>
  <si>
    <t xml:space="preserve"> National Archives and Records Administration. 2004. Part II: Environmental Protection Agency: 40 CFR Parts 9, 69, et al. Control of Emissions of Air Pollution from Nonroad Diesel Engines and Fuel; Final Rule. Federal Register 69(124): 38971. National Archives and Records Administration.</t>
  </si>
  <si>
    <t>South Coast Air Quality Management District. 2005. Final Environmental Assessment: Proposed Rule 1469.1 - Spraying Operations Using Coatings Containing Chromium. SCAQMD. February, 2005.</t>
  </si>
  <si>
    <t>DieselNet. 2009. Emission Standards, United States: Stationary Diesel Engines. Ecopoint Inc.  http://www.dieselnet.com/standards/us/stationary.php (Accessed February 8, 2010).</t>
  </si>
  <si>
    <t>EPA. 2007. Inventory of U.S. Greenhouse Gas Emissions and Sinks: 1990-2005: Annex 6 Additional Information.  U.S. Environmental Protection Agency.  http://www.epa.gov/climatechange/emissions/downloads06/07CR.pdf (Accessed February 8, 2010).</t>
  </si>
  <si>
    <t>DieselNet. 2009. Nonroad Diesel Engines. Ecopoint Inc. http://www.dieselnet.com/standards/us/nonroad.php (Accessed February 8, 2010).</t>
  </si>
  <si>
    <t>DOE. 2010. Instructions for Form EIA-1605, Voluntary Reporting of Greenhouse Gases Appendix H. OMB No. 1905-0194. U.S. Department of Energy. http://www.eia.gov/oiaf/1605/pdf/Form%20EIA-1605%20Instructions.pdf (Accessed April 2, 2012)</t>
  </si>
  <si>
    <t>CO2 emissions per gallon of diesel consumed                                       *As of version 2, this reference is no longer in use as the combustion process is now an input.</t>
  </si>
  <si>
    <t>PM, NOx, and VOC emission factors                                       *As of version 2, this reference is no longer in use as the combustion process is now an input.</t>
  </si>
  <si>
    <t>Conversion factor for diesel equipment                                       *As of version 2, this reference is no longer in use as the combustion process is now an input.</t>
  </si>
  <si>
    <t>Industry review page for US diesel emission standards and assocaited regs                                           *As of version 2, this reference is no longer in use as the combustion process is now an input.</t>
  </si>
  <si>
    <t>Greenhouse gas emissions report, including standard conversion factors used by the US EPA.                                       *As of version 2, this reference is no longer in use as the combustion process is now an input.</t>
  </si>
  <si>
    <t>CO emissions for diesel engines                                       *As of version 2, this reference is no longer in use as the combustion process is now an input.</t>
  </si>
  <si>
    <t>Emission factors for N2O and CH4 in diesel                                       *As of version 2, this reference is no longer in use as the combustion process is now an input.</t>
  </si>
  <si>
    <t>Miller, R. and B. Bender. 2008. Growth and Yield of Willow and Poplar Hybrids in the Central Upper Peninsula of Michigan.  Michigan State University.  August, 2008.</t>
  </si>
  <si>
    <t>Yield of SRWC for farms in Michigan                                       *As of version 2, this reference is no longer in use as the combustion process is now an input.</t>
  </si>
  <si>
    <t>Mercury concentration in gasoline and diesel from Table 2, page 104 (PDF page 4)                                       *As of version 2, this reference is no longer in use as the combustion process is now an input.</t>
  </si>
  <si>
    <t>Calculations: Diesel consumption in harvesting and storage of SRWC biomass.</t>
  </si>
  <si>
    <t>Diesel Combustion, Mobile Sources, Truck  [Refinery products]</t>
  </si>
  <si>
    <r>
      <t xml:space="preserve">This unit process is composed of this document and the file, </t>
    </r>
    <r>
      <rPr>
        <i/>
        <sz val="10"/>
        <rFont val="Arial"/>
        <family val="2"/>
      </rPr>
      <t>DF_Stage1_O_SouthernPine_Harvesting_Storage_2012.02.doc</t>
    </r>
    <r>
      <rPr>
        <sz val="10"/>
        <rFont val="Tahoma"/>
        <family val="2"/>
      </rPr>
      <t xml:space="preserve">, which provides additional details regarding relevant calculations, data quality, and references. </t>
    </r>
  </si>
  <si>
    <t>[Technosphere] Amount of diesel combusted within the mobile source</t>
  </si>
  <si>
    <t>Data for ammonia emissions    *As of version 2, this reference is no longer in use as the combustion process is now an input.</t>
  </si>
  <si>
    <t>*As of version 2, this assumption is no longer applied as the combustion process is now an input.</t>
  </si>
  <si>
    <t>1,2,14,15</t>
  </si>
  <si>
    <t>[kg/kg biomass] Calculated emissions for fugitive dust, per kg of biomass produced.</t>
  </si>
  <si>
    <t>1,2</t>
  </si>
  <si>
    <t>1,1</t>
  </si>
  <si>
    <t>2,2</t>
  </si>
  <si>
    <t>Template Version:</t>
  </si>
  <si>
    <t>4.0</t>
  </si>
  <si>
    <t>Note: Inventory items not included are assumed to be zero based on best engineering judgment or assumed to be zero because no data was available to categorize them for this unit process at the time of its creation.</t>
  </si>
  <si>
    <t>Dust (PM10) [Particles to air]</t>
  </si>
  <si>
    <t>E_PM10fd</t>
  </si>
  <si>
    <t>PM25_PM10</t>
  </si>
  <si>
    <t>kg/kg</t>
  </si>
  <si>
    <t>E_PM25fd</t>
  </si>
  <si>
    <t>[kg/kg] Emissions of PM2.5 fugitive dust-related particulate matter per kg of crop production</t>
  </si>
  <si>
    <t>Dust (PM2.5) [Particles to air]</t>
  </si>
  <si>
    <t>Assumption [1]</t>
  </si>
  <si>
    <t>[kg/kg] Ratio of PM2.5 to PM10 from  harvesting activities</t>
  </si>
  <si>
    <t>lbs PM10/acre-pass</t>
  </si>
  <si>
    <t>kg PM10/kg biomass</t>
  </si>
  <si>
    <t>PM2.5/PM10</t>
  </si>
  <si>
    <t>kg PM10/acre-harvest</t>
  </si>
  <si>
    <t>Equipment Assembly per kg Biomass [Valuable substances]</t>
  </si>
  <si>
    <t>pieces</t>
  </si>
  <si>
    <t>piece</t>
  </si>
  <si>
    <t>[Technosphere] Amount of equipment required for cultivation</t>
  </si>
  <si>
    <t>kg PM10/acre-yr</t>
  </si>
  <si>
    <t>kg PM10/acre-study-period</t>
  </si>
  <si>
    <t>yr/study-period</t>
  </si>
  <si>
    <t>PM emissions for study period</t>
  </si>
  <si>
    <t>PM emissions per year</t>
  </si>
  <si>
    <t>[kg/acre-year] Calculated emission factor for fugitive dust-related particulate matter, per acre per year</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</si>
  <si>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</si>
  <si>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</si>
  <si>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</si>
  <si>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</si>
  <si>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</si>
  <si>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</si>
  <si>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23</t>
  </si>
  <si>
    <t>EF_PM10fd</t>
  </si>
  <si>
    <t xml:space="preserve">This unit process includes farming operations (activities) for harvesting, grinding and storage for short rotation woody crop (SRWC), Southern pine biomass production including combusted diesel, dust emissions, and a calculation of yield.  </t>
  </si>
  <si>
    <r>
      <t>This document should be cited as:</t>
    </r>
    <r>
      <rPr>
        <i/>
        <sz val="10"/>
        <rFont val="Arial"/>
        <family val="2"/>
      </rPr>
      <t xml:space="preserve"> </t>
    </r>
    <r>
      <rPr>
        <sz val="10"/>
        <rFont val="Arial"/>
        <family val="2"/>
      </rPr>
      <t xml:space="preserve">NETL (2012). </t>
    </r>
    <r>
      <rPr>
        <i/>
        <sz val="10"/>
        <rFont val="Arial"/>
        <family val="2"/>
      </rPr>
      <t xml:space="preserve">NETL Life Cycle Inventory Data – Unit Process: Southern Pine Harvesting &amp; Storage, Operation. </t>
    </r>
    <r>
      <rPr>
        <sz val="10"/>
        <rFont val="Arial"/>
        <family val="2"/>
      </rPr>
      <t>U.S. Department of Energy, National Energy Technology Laboratory. Last Updated: December 2014 (version 02). www.netl.doe.gov/energy-analyses (http://www.netl.doe.gov/energy-analyses)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</si>
</sst>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88" formatCode="#,##0.0000000"/>
  </numFmts>
  <fonts count="51"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sz val="10"/>
      <color indexed="8"/>
      <name val="Arial"/>
      <family val="2"/>
    </font>
    <font>
      <i/>
      <sz val="10"/>
      <color indexed="8"/>
      <name val="Arial"/>
      <family val="2"/>
    </font>
    <font>
      <strike/>
      <sz val="10"/>
      <name val="Arial"/>
      <family val="2"/>
    </font>
    <font>
      <b/>
      <sz val="11"/>
      <color indexed="8"/>
      <name val="Calibri"/>
      <family val="2"/>
    </font>
    <font>
      <sz val="11"/>
      <color indexed="10"/>
      <name val="Calibri"/>
      <family val="2"/>
    </font>
    <font>
      <b/>
      <sz val="16"/>
      <color indexed="56"/>
      <name val="Arial"/>
      <family val="2"/>
    </font>
    <font>
      <sz val="10"/>
      <color indexed="8"/>
      <name val="Arial"/>
      <family val="2"/>
    </font>
    <font>
      <b/>
      <sz val="11"/>
      <color indexed="8"/>
      <name val="Arial"/>
      <family val="2"/>
    </font>
    <font>
      <b/>
      <sz val="10"/>
      <color indexed="8"/>
      <name val="Arial"/>
      <family val="2"/>
    </font>
    <font>
      <sz val="12"/>
      <color indexed="8"/>
      <name val="Calibri"/>
      <family val="2"/>
    </font>
    <font>
      <sz val="10"/>
      <color indexed="10"/>
      <name val="Arial"/>
      <family val="2"/>
    </font>
    <font>
      <i/>
      <sz val="10"/>
      <color indexed="10"/>
      <name val="Arial"/>
      <family val="2"/>
    </font>
    <font>
      <b/>
      <u/>
      <sz val="10"/>
      <color indexed="8"/>
      <name val="Arial"/>
      <family val="2"/>
    </font>
    <font>
      <u/>
      <sz val="10"/>
      <color indexed="8"/>
      <name val="Arial"/>
      <family val="2"/>
    </font>
    <font>
      <strike/>
      <sz val="11"/>
      <color indexed="10"/>
      <name val="Calibri"/>
      <family val="2"/>
    </font>
    <font>
      <sz val="8"/>
      <name val="Helv"/>
    </font>
    <font>
      <b/>
      <sz val="12"/>
      <name val="Helv"/>
    </font>
    <font>
      <sz val="8"/>
      <name val="Arial"/>
      <family val="2"/>
    </font>
    <font>
      <i/>
      <u/>
      <sz val="10"/>
      <color indexed="12"/>
      <name val="Arial"/>
      <family val="2"/>
    </font>
    <font>
      <sz val="9"/>
      <color indexed="81"/>
      <name val="Tahoma"/>
      <family val="2"/>
    </font>
    <font>
      <b/>
      <sz val="9"/>
      <color indexed="81"/>
      <name val="Tahoma"/>
      <family val="2"/>
    </font>
    <font>
      <sz val="10"/>
      <color theme="1"/>
      <name val="Arial"/>
      <family val="2"/>
    </font>
    <font>
      <i/>
      <sz val="11"/>
      <color theme="1"/>
      <name val="Calibri"/>
      <family val="2"/>
      <scheme val="minor"/>
    </font>
  </fonts>
  <fills count="19">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34">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6"/>
      </left>
      <right style="thin">
        <color indexed="26"/>
      </right>
      <top style="thin">
        <color indexed="26"/>
      </top>
      <bottom style="thin">
        <color indexed="26"/>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7">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43" fillId="0" borderId="0">
      <alignment horizontal="left"/>
    </xf>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0" fontId="44" fillId="0" borderId="0">
      <alignment horizontal="left"/>
    </xf>
    <xf numFmtId="165" fontId="11" fillId="0" borderId="0">
      <alignment horizontal="center" vertical="center"/>
    </xf>
    <xf numFmtId="165" fontId="1" fillId="0" borderId="0">
      <alignment horizontal="center" vertical="center"/>
    </xf>
  </cellStyleXfs>
  <cellXfs count="377">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0" borderId="0" xfId="0" applyFont="1" applyFill="1"/>
    <xf numFmtId="0" fontId="0" fillId="10"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72" fontId="0" fillId="0" borderId="4" xfId="0" applyNumberFormat="1" applyFill="1" applyBorder="1" applyAlignment="1" applyProtection="1">
      <alignment vertical="center"/>
      <protection locked="0"/>
    </xf>
    <xf numFmtId="0" fontId="1" fillId="8" borderId="4" xfId="4" applyFill="1" applyBorder="1" applyAlignment="1" applyProtection="1">
      <alignment vertical="center"/>
      <protection hidden="1"/>
    </xf>
    <xf numFmtId="0" fontId="0" fillId="0" borderId="4" xfId="0" applyFill="1" applyBorder="1" applyAlignment="1" applyProtection="1">
      <alignment vertical="center" wrapText="1"/>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1" fillId="0" borderId="4" xfId="0" applyFont="1" applyFill="1" applyBorder="1" applyAlignment="1" applyProtection="1">
      <alignment horizontal="center" vertical="top"/>
      <protection locked="0"/>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3"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33"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2" fillId="0" borderId="0" xfId="4" applyFont="1" applyAlignment="1"/>
    <xf numFmtId="0" fontId="1" fillId="0" borderId="0" xfId="4" applyAlignment="1">
      <alignment vertical="center"/>
    </xf>
    <xf numFmtId="171" fontId="1" fillId="11" borderId="21" xfId="3" applyNumberFormat="1" applyFont="1" applyFill="1" applyBorder="1" applyAlignment="1" applyProtection="1">
      <alignment horizontal="left" vertical="top" wrapText="1"/>
      <protection locked="0"/>
    </xf>
    <xf numFmtId="0" fontId="0" fillId="9" borderId="21" xfId="0" applyFill="1" applyBorder="1" applyAlignment="1" applyProtection="1">
      <alignment horizontal="left" vertical="top" wrapText="1"/>
      <protection locked="0"/>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0" fontId="1" fillId="0" borderId="0" xfId="4" applyAlignment="1">
      <alignment vertical="center" wrapText="1"/>
    </xf>
    <xf numFmtId="0" fontId="1" fillId="0" borderId="0" xfId="0" applyFont="1" applyAlignment="1">
      <alignment horizontal="left"/>
    </xf>
    <xf numFmtId="0" fontId="1" fillId="0" borderId="0" xfId="0" applyFont="1" applyAlignment="1">
      <alignment vertical="center"/>
    </xf>
    <xf numFmtId="0" fontId="34" fillId="0" borderId="0" xfId="0" applyFont="1" applyFill="1" applyAlignment="1">
      <alignment vertical="center"/>
    </xf>
    <xf numFmtId="0" fontId="34"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1" fillId="0" borderId="0" xfId="4" applyNumberFormat="1" applyAlignment="1">
      <alignment horizontal="right"/>
    </xf>
    <xf numFmtId="0" fontId="1" fillId="0" borderId="0" xfId="4" applyFont="1" applyAlignment="1">
      <alignment horizontal="right" vertical="center"/>
    </xf>
    <xf numFmtId="0" fontId="0" fillId="10" borderId="0" xfId="0" applyFill="1" applyAlignment="1">
      <alignment vertical="center"/>
    </xf>
    <xf numFmtId="0" fontId="0" fillId="0" borderId="0" xfId="0" applyAlignment="1">
      <alignment horizontal="right"/>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0" fontId="1" fillId="0" borderId="0" xfId="0" applyFont="1" applyFill="1" applyBorder="1"/>
    <xf numFmtId="0" fontId="24" fillId="0" borderId="0" xfId="0" applyFont="1" applyAlignment="1">
      <alignment vertical="center"/>
    </xf>
    <xf numFmtId="0" fontId="1" fillId="0" borderId="0" xfId="4" applyFont="1" applyFill="1" applyAlignment="1">
      <alignment vertical="center"/>
    </xf>
    <xf numFmtId="0" fontId="2" fillId="0" borderId="0" xfId="4" applyFont="1" applyAlignment="1">
      <alignment horizontal="center" vertical="center"/>
    </xf>
    <xf numFmtId="0" fontId="0" fillId="0" borderId="0" xfId="0" applyFill="1" applyAlignment="1">
      <alignment vertical="center"/>
    </xf>
    <xf numFmtId="0" fontId="2" fillId="0" borderId="0" xfId="4" applyFont="1" applyAlignment="1">
      <alignment vertical="center"/>
    </xf>
    <xf numFmtId="0" fontId="0" fillId="0" borderId="4" xfId="0" applyBorder="1" applyAlignment="1">
      <alignment horizontal="left"/>
    </xf>
    <xf numFmtId="0" fontId="2" fillId="10" borderId="4" xfId="0" applyFont="1" applyFill="1" applyBorder="1" applyAlignment="1">
      <alignment horizontal="left"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0" xfId="4" applyFont="1"/>
    <xf numFmtId="0" fontId="1" fillId="9" borderId="21" xfId="0" applyFont="1" applyFill="1" applyBorder="1" applyAlignment="1" applyProtection="1">
      <alignment horizontal="left" vertical="top" wrapText="1"/>
      <protection locked="0"/>
    </xf>
    <xf numFmtId="0" fontId="0" fillId="11" borderId="21" xfId="0" applyFill="1" applyBorder="1" applyAlignment="1" applyProtection="1">
      <alignment horizontal="left" vertical="top" wrapText="1"/>
      <protection locked="0"/>
    </xf>
    <xf numFmtId="0" fontId="1" fillId="11" borderId="21" xfId="0" applyFont="1" applyFill="1" applyBorder="1" applyAlignment="1" applyProtection="1">
      <alignment horizontal="left" vertical="top" wrapText="1"/>
      <protection locked="0"/>
    </xf>
    <xf numFmtId="49" fontId="0" fillId="9" borderId="21" xfId="0" applyNumberFormat="1" applyFill="1" applyBorder="1" applyAlignment="1" applyProtection="1">
      <alignment horizontal="left" vertical="top" wrapText="1"/>
      <protection locked="0"/>
    </xf>
    <xf numFmtId="49" fontId="1" fillId="9" borderId="21" xfId="0" applyNumberFormat="1" applyFont="1" applyFill="1" applyBorder="1" applyAlignment="1" applyProtection="1">
      <alignment horizontal="left" vertical="top" wrapText="1"/>
      <protection locked="0"/>
    </xf>
    <xf numFmtId="49" fontId="1" fillId="11" borderId="21" xfId="3" applyNumberFormat="1" applyFont="1" applyFill="1" applyBorder="1" applyAlignment="1" applyProtection="1">
      <alignment horizontal="left" vertical="top" wrapText="1"/>
      <protection locked="0"/>
    </xf>
    <xf numFmtId="0" fontId="1" fillId="11" borderId="21" xfId="3" applyNumberFormat="1" applyFont="1" applyFill="1" applyBorder="1" applyAlignment="1" applyProtection="1">
      <alignment horizontal="left" vertical="top" wrapText="1"/>
      <protection locked="0"/>
    </xf>
    <xf numFmtId="0" fontId="1" fillId="11" borderId="21" xfId="3" applyFont="1" applyFill="1" applyBorder="1" applyAlignment="1" applyProtection="1">
      <alignment horizontal="left" vertical="top" wrapText="1"/>
      <protection locked="0"/>
    </xf>
    <xf numFmtId="49" fontId="0" fillId="11" borderId="21" xfId="0" applyNumberFormat="1" applyFill="1" applyBorder="1" applyAlignment="1" applyProtection="1">
      <alignment horizontal="left" vertical="top" wrapText="1"/>
      <protection locked="0"/>
    </xf>
    <xf numFmtId="171" fontId="1" fillId="11" borderId="21" xfId="0" applyNumberFormat="1" applyFont="1" applyFill="1" applyBorder="1" applyAlignment="1" applyProtection="1">
      <alignment horizontal="left" vertical="top" wrapText="1"/>
      <protection locked="0"/>
    </xf>
    <xf numFmtId="0" fontId="1" fillId="11" borderId="21" xfId="0" applyFont="1" applyFill="1" applyBorder="1" applyAlignment="1">
      <alignment horizontal="left" vertical="top" wrapText="1"/>
    </xf>
    <xf numFmtId="0" fontId="12" fillId="11" borderId="21" xfId="0" applyFont="1" applyFill="1" applyBorder="1" applyAlignment="1" applyProtection="1">
      <alignment horizontal="left" vertical="top" wrapText="1"/>
      <protection locked="0"/>
    </xf>
    <xf numFmtId="0" fontId="34" fillId="11" borderId="21" xfId="0" applyFont="1" applyFill="1" applyBorder="1" applyAlignment="1">
      <alignment horizontal="left" vertical="top" wrapText="1"/>
    </xf>
    <xf numFmtId="0" fontId="26" fillId="0" borderId="0" xfId="0" applyFont="1" applyFill="1" applyBorder="1" applyAlignment="1">
      <alignment horizontal="center" wrapText="1"/>
    </xf>
    <xf numFmtId="0" fontId="27" fillId="0" borderId="0" xfId="0" applyFont="1" applyFill="1" applyBorder="1" applyAlignment="1">
      <alignment horizontal="center" wrapText="1"/>
    </xf>
    <xf numFmtId="0" fontId="27" fillId="0" borderId="0" xfId="0" applyFont="1" applyFill="1" applyBorder="1" applyAlignment="1">
      <alignment horizontal="left" wrapText="1"/>
    </xf>
    <xf numFmtId="49" fontId="1" fillId="11" borderId="21" xfId="0" applyNumberFormat="1" applyFont="1" applyFill="1" applyBorder="1" applyAlignment="1" applyProtection="1">
      <alignment horizontal="left" vertical="top" wrapText="1"/>
      <protection locked="0"/>
    </xf>
    <xf numFmtId="0" fontId="1" fillId="0" borderId="0" xfId="0" applyFont="1" applyFill="1" applyAlignment="1">
      <alignment vertical="center"/>
    </xf>
    <xf numFmtId="0" fontId="35" fillId="0" borderId="0" xfId="0" applyFont="1" applyAlignment="1">
      <alignment vertical="center"/>
    </xf>
    <xf numFmtId="0" fontId="36" fillId="0" borderId="0" xfId="0" applyFont="1" applyFill="1" applyAlignment="1">
      <alignment vertical="center"/>
    </xf>
    <xf numFmtId="1" fontId="0" fillId="10" borderId="0" xfId="0" applyNumberFormat="1" applyFill="1" applyAlignment="1">
      <alignment vertical="center"/>
    </xf>
    <xf numFmtId="0" fontId="2" fillId="8" borderId="4" xfId="0" applyFont="1" applyFill="1" applyBorder="1"/>
    <xf numFmtId="1" fontId="0" fillId="0" borderId="0" xfId="0" applyNumberFormat="1" applyAlignment="1">
      <alignment vertical="center"/>
    </xf>
    <xf numFmtId="0" fontId="0" fillId="0" borderId="4" xfId="0" applyBorder="1"/>
    <xf numFmtId="0" fontId="34" fillId="0" borderId="0" xfId="0" applyFont="1" applyAlignment="1">
      <alignment vertical="center"/>
    </xf>
    <xf numFmtId="0" fontId="37" fillId="0" borderId="0" xfId="0" applyFont="1" applyFill="1" applyAlignment="1">
      <alignment vertical="center"/>
    </xf>
    <xf numFmtId="1" fontId="0" fillId="0" borderId="0" xfId="0" applyNumberFormat="1" applyFill="1" applyAlignment="1">
      <alignment vertical="center"/>
    </xf>
    <xf numFmtId="11" fontId="1" fillId="8" borderId="4" xfId="4"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0" xfId="0" applyAlignment="1"/>
    <xf numFmtId="0" fontId="1" fillId="0" borderId="0" xfId="0" applyFont="1" applyAlignment="1"/>
    <xf numFmtId="0" fontId="2" fillId="5" borderId="21" xfId="0" applyFont="1" applyFill="1" applyBorder="1" applyAlignment="1">
      <alignment horizontal="left" vertical="top" wrapText="1"/>
    </xf>
    <xf numFmtId="0" fontId="0" fillId="5" borderId="21" xfId="0" applyFill="1" applyBorder="1" applyAlignment="1">
      <alignment horizontal="left" vertical="top" wrapText="1"/>
    </xf>
    <xf numFmtId="0" fontId="0" fillId="12" borderId="21" xfId="0" applyFill="1" applyBorder="1" applyAlignment="1" applyProtection="1">
      <alignment horizontal="left" vertical="top" wrapText="1"/>
      <protection hidden="1"/>
    </xf>
    <xf numFmtId="0" fontId="2" fillId="12" borderId="21" xfId="0" applyFont="1" applyFill="1" applyBorder="1" applyAlignment="1" applyProtection="1">
      <alignment horizontal="left" vertical="top" wrapText="1"/>
      <protection hidden="1"/>
    </xf>
    <xf numFmtId="0" fontId="0" fillId="9" borderId="21" xfId="0" applyFill="1" applyBorder="1" applyAlignment="1">
      <alignment horizontal="left" vertical="top" wrapText="1"/>
    </xf>
    <xf numFmtId="0" fontId="0" fillId="9" borderId="21" xfId="0" applyFill="1" applyBorder="1" applyAlignment="1" applyProtection="1">
      <alignment horizontal="left"/>
      <protection locked="0"/>
    </xf>
    <xf numFmtId="0" fontId="0" fillId="11" borderId="21" xfId="0" applyFill="1" applyBorder="1" applyAlignment="1">
      <alignment horizontal="left" vertical="top" wrapText="1"/>
    </xf>
    <xf numFmtId="0" fontId="0" fillId="11" borderId="21" xfId="0" applyFill="1" applyBorder="1" applyAlignment="1" applyProtection="1">
      <alignment horizontal="left"/>
      <protection locked="0"/>
    </xf>
    <xf numFmtId="0" fontId="12" fillId="11" borderId="21" xfId="0" applyFont="1" applyFill="1" applyBorder="1" applyAlignment="1" applyProtection="1">
      <alignment horizontal="left"/>
      <protection locked="0"/>
    </xf>
    <xf numFmtId="49" fontId="0" fillId="9" borderId="21" xfId="0" applyNumberFormat="1" applyFill="1" applyBorder="1" applyAlignment="1" applyProtection="1">
      <alignment horizontal="left"/>
      <protection locked="0"/>
    </xf>
    <xf numFmtId="49" fontId="0" fillId="11" borderId="21" xfId="0" applyNumberFormat="1" applyFill="1" applyBorder="1" applyAlignment="1" applyProtection="1">
      <alignment horizontal="left"/>
      <protection locked="0"/>
    </xf>
    <xf numFmtId="171" fontId="1" fillId="11" borderId="21" xfId="3" applyNumberFormat="1" applyFont="1" applyFill="1" applyBorder="1" applyAlignment="1" applyProtection="1">
      <alignment horizontal="left"/>
      <protection locked="0"/>
    </xf>
    <xf numFmtId="171" fontId="1" fillId="11" borderId="21" xfId="0" applyNumberFormat="1" applyFont="1" applyFill="1" applyBorder="1" applyAlignment="1" applyProtection="1">
      <alignment horizontal="left"/>
      <protection locked="0"/>
    </xf>
    <xf numFmtId="0" fontId="1" fillId="11" borderId="21" xfId="0" applyFont="1" applyFill="1" applyBorder="1" applyAlignment="1" applyProtection="1">
      <alignment horizontal="left"/>
      <protection locked="0"/>
    </xf>
    <xf numFmtId="0" fontId="0" fillId="13"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3" applyFont="1" applyBorder="1" applyAlignment="1" applyProtection="1">
      <alignment horizontal="left"/>
    </xf>
    <xf numFmtId="0" fontId="0" fillId="0" borderId="19" xfId="0" applyBorder="1" applyAlignment="1">
      <alignment horizontal="center" vertical="center"/>
    </xf>
    <xf numFmtId="0" fontId="0" fillId="0" borderId="22" xfId="0" applyBorder="1" applyAlignment="1">
      <alignment horizontal="center" vertical="center"/>
    </xf>
    <xf numFmtId="0" fontId="1" fillId="0" borderId="0" xfId="0" applyFont="1" applyBorder="1" applyAlignment="1"/>
    <xf numFmtId="0" fontId="0" fillId="0" borderId="4" xfId="0" applyNumberFormat="1" applyFill="1" applyBorder="1" applyAlignment="1" applyProtection="1">
      <alignment vertical="center"/>
      <protection locked="0"/>
    </xf>
    <xf numFmtId="0" fontId="2" fillId="0" borderId="4" xfId="0" applyFont="1" applyFill="1" applyBorder="1" applyAlignment="1">
      <alignment horizontal="left"/>
    </xf>
    <xf numFmtId="0" fontId="1" fillId="5" borderId="23" xfId="0" applyFont="1" applyFill="1" applyBorder="1" applyAlignment="1">
      <alignment horizontal="left" vertical="center"/>
    </xf>
    <xf numFmtId="0" fontId="1" fillId="5" borderId="19" xfId="0" applyFont="1" applyFill="1" applyBorder="1" applyAlignment="1">
      <alignment horizontal="left" vertical="center"/>
    </xf>
    <xf numFmtId="0" fontId="1" fillId="9" borderId="19" xfId="0" applyFont="1" applyFill="1" applyBorder="1" applyAlignment="1">
      <alignment horizontal="left" vertical="center"/>
    </xf>
    <xf numFmtId="0" fontId="1" fillId="9" borderId="22" xfId="0" applyFont="1" applyFill="1" applyBorder="1" applyAlignment="1">
      <alignment horizontal="left" vertical="center"/>
    </xf>
    <xf numFmtId="0" fontId="1" fillId="9" borderId="24" xfId="0" applyFont="1" applyFill="1" applyBorder="1" applyAlignment="1">
      <alignment horizontal="left" vertical="center"/>
    </xf>
    <xf numFmtId="2" fontId="1" fillId="0" borderId="4" xfId="0" applyNumberFormat="1" applyFont="1" applyFill="1" applyBorder="1" applyAlignment="1" applyProtection="1">
      <alignment vertical="center"/>
      <protection locked="0"/>
    </xf>
    <xf numFmtId="1" fontId="1" fillId="0" borderId="4" xfId="0" applyNumberFormat="1" applyFont="1" applyFill="1" applyBorder="1" applyAlignment="1" applyProtection="1">
      <alignment vertical="center"/>
      <protection locked="0"/>
    </xf>
    <xf numFmtId="11" fontId="1" fillId="0" borderId="4" xfId="0" applyNumberFormat="1" applyFont="1" applyFill="1" applyBorder="1" applyAlignment="1" applyProtection="1">
      <alignment vertical="center"/>
      <protection locked="0"/>
    </xf>
    <xf numFmtId="0" fontId="38" fillId="0" borderId="0" xfId="0" applyFont="1" applyAlignment="1">
      <alignment vertical="center"/>
    </xf>
    <xf numFmtId="0" fontId="1" fillId="0" borderId="0" xfId="0" applyFont="1" applyFill="1" applyAlignment="1">
      <alignment horizontal="right" vertical="center"/>
    </xf>
    <xf numFmtId="0" fontId="1" fillId="0" borderId="0" xfId="4" applyFont="1" applyAlignment="1">
      <alignment vertical="center"/>
    </xf>
    <xf numFmtId="0" fontId="1" fillId="0" borderId="0" xfId="4" applyFill="1" applyAlignment="1">
      <alignment vertical="center"/>
    </xf>
    <xf numFmtId="0" fontId="39" fillId="0" borderId="0" xfId="4" applyFont="1" applyFill="1" applyAlignment="1">
      <alignment vertical="center"/>
    </xf>
    <xf numFmtId="0" fontId="33" fillId="0" borderId="0" xfId="4" applyFont="1" applyFill="1" applyAlignment="1">
      <alignment horizontal="center" vertical="center"/>
    </xf>
    <xf numFmtId="0" fontId="21" fillId="0" borderId="0" xfId="4" applyFont="1" applyFill="1" applyAlignment="1">
      <alignment vertical="center"/>
    </xf>
    <xf numFmtId="0" fontId="23" fillId="0" borderId="0" xfId="4" applyFont="1" applyFill="1"/>
    <xf numFmtId="0" fontId="40" fillId="0" borderId="0" xfId="4" applyFont="1" applyFill="1" applyAlignment="1">
      <alignment vertical="center"/>
    </xf>
    <xf numFmtId="0" fontId="40" fillId="0" borderId="0" xfId="4" applyFont="1" applyFill="1" applyAlignment="1">
      <alignment horizontal="right" vertical="center"/>
    </xf>
    <xf numFmtId="0" fontId="41" fillId="0" borderId="0" xfId="4" applyFont="1" applyFill="1" applyAlignment="1">
      <alignment vertical="center"/>
    </xf>
    <xf numFmtId="0" fontId="34" fillId="0" borderId="0" xfId="4" applyFont="1" applyFill="1" applyAlignment="1">
      <alignment vertical="center"/>
    </xf>
    <xf numFmtId="0" fontId="34" fillId="0" borderId="0" xfId="4" applyFont="1" applyFill="1" applyAlignment="1">
      <alignment horizontal="left" vertical="center"/>
    </xf>
    <xf numFmtId="1" fontId="2" fillId="10" borderId="0" xfId="4" applyNumberFormat="1" applyFont="1" applyFill="1" applyAlignment="1">
      <alignment vertical="center"/>
    </xf>
    <xf numFmtId="1" fontId="1" fillId="0" borderId="0" xfId="4" applyNumberFormat="1" applyAlignment="1">
      <alignment vertical="center"/>
    </xf>
    <xf numFmtId="0" fontId="34" fillId="0" borderId="0" xfId="4" applyFont="1" applyAlignment="1">
      <alignment vertical="center"/>
    </xf>
    <xf numFmtId="0" fontId="34" fillId="0" borderId="0" xfId="4" applyFont="1" applyFill="1" applyAlignment="1">
      <alignment horizontal="right" vertical="center"/>
    </xf>
    <xf numFmtId="0" fontId="35" fillId="0" borderId="0" xfId="4" applyFont="1" applyAlignment="1">
      <alignment vertical="center"/>
    </xf>
    <xf numFmtId="172" fontId="1" fillId="0" borderId="0" xfId="4" applyNumberFormat="1"/>
    <xf numFmtId="1" fontId="1" fillId="0" borderId="0" xfId="4" applyNumberFormat="1"/>
    <xf numFmtId="172" fontId="2" fillId="10" borderId="0" xfId="4" applyNumberFormat="1" applyFont="1" applyFill="1"/>
    <xf numFmtId="1" fontId="2" fillId="10" borderId="0" xfId="4" applyNumberFormat="1" applyFont="1" applyFill="1"/>
    <xf numFmtId="0" fontId="38" fillId="0" borderId="0" xfId="4" applyFont="1" applyAlignment="1">
      <alignment vertical="center"/>
    </xf>
    <xf numFmtId="0" fontId="38" fillId="0" borderId="0" xfId="4" applyFont="1" applyAlignment="1">
      <alignment horizontal="right" vertical="center"/>
    </xf>
    <xf numFmtId="0" fontId="38" fillId="0" borderId="0" xfId="4" applyFont="1" applyFill="1" applyAlignment="1">
      <alignment vertical="center"/>
    </xf>
    <xf numFmtId="0" fontId="31" fillId="0" borderId="0" xfId="0" applyFont="1"/>
    <xf numFmtId="0" fontId="32" fillId="0" borderId="0" xfId="0" applyFont="1"/>
    <xf numFmtId="188" fontId="0" fillId="0" borderId="0" xfId="0" applyNumberFormat="1"/>
    <xf numFmtId="0" fontId="30" fillId="0" borderId="0" xfId="0" applyFont="1"/>
    <xf numFmtId="0" fontId="42" fillId="0" borderId="0" xfId="0" applyFont="1"/>
    <xf numFmtId="188" fontId="30" fillId="0" borderId="0" xfId="0" applyNumberFormat="1" applyFont="1"/>
    <xf numFmtId="0" fontId="30" fillId="0" borderId="0" xfId="4" applyFont="1"/>
    <xf numFmtId="188" fontId="2" fillId="10" borderId="0" xfId="4" applyNumberFormat="1" applyFont="1" applyFill="1" applyAlignment="1">
      <alignment vertical="center"/>
    </xf>
    <xf numFmtId="11" fontId="1" fillId="0" borderId="4" xfId="0" applyNumberFormat="1" applyFont="1" applyFill="1" applyBorder="1" applyAlignment="1" applyProtection="1">
      <alignment vertical="center" wrapText="1"/>
      <protection locked="0"/>
    </xf>
    <xf numFmtId="0" fontId="0" fillId="9" borderId="21" xfId="0" applyFont="1" applyFill="1" applyBorder="1" applyAlignment="1">
      <alignment horizontal="left" vertical="top" wrapText="1"/>
    </xf>
    <xf numFmtId="0" fontId="9" fillId="9" borderId="21" xfId="3" applyFill="1" applyBorder="1" applyAlignment="1" applyProtection="1">
      <alignment horizontal="left" vertical="top" wrapText="1"/>
      <protection locked="0"/>
    </xf>
    <xf numFmtId="0" fontId="1" fillId="9" borderId="21" xfId="3" applyFont="1" applyFill="1" applyBorder="1" applyAlignment="1" applyProtection="1">
      <alignment horizontal="left" vertical="top" wrapText="1"/>
      <protection locked="0"/>
    </xf>
    <xf numFmtId="0" fontId="0" fillId="9" borderId="21" xfId="0" applyFont="1" applyFill="1" applyBorder="1" applyAlignment="1" applyProtection="1">
      <alignment horizontal="left" vertical="top" wrapText="1"/>
      <protection locked="0"/>
    </xf>
    <xf numFmtId="0" fontId="9" fillId="9" borderId="21" xfId="3" applyFill="1" applyBorder="1" applyAlignment="1" applyProtection="1">
      <alignment horizontal="left" wrapText="1"/>
      <protection locked="0"/>
    </xf>
    <xf numFmtId="0" fontId="0" fillId="9" borderId="21" xfId="0" applyFill="1" applyBorder="1" applyAlignment="1" applyProtection="1">
      <alignment horizontal="left" wrapText="1"/>
      <protection locked="0"/>
    </xf>
    <xf numFmtId="0" fontId="9" fillId="9" borderId="21" xfId="3" applyFont="1" applyFill="1" applyBorder="1" applyAlignment="1" applyProtection="1">
      <alignment horizontal="left" wrapText="1"/>
      <protection locked="0"/>
    </xf>
    <xf numFmtId="0" fontId="0" fillId="0" borderId="0" xfId="0" applyAlignment="1">
      <alignment wrapText="1"/>
    </xf>
    <xf numFmtId="0" fontId="0" fillId="14" borderId="33" xfId="0" applyFill="1" applyBorder="1" applyAlignment="1" applyProtection="1">
      <alignment horizontal="left" vertical="top" wrapText="1"/>
      <protection locked="0"/>
    </xf>
    <xf numFmtId="0" fontId="49" fillId="14" borderId="33" xfId="0" applyFont="1" applyFill="1" applyBorder="1" applyAlignment="1" applyProtection="1">
      <alignment horizontal="left" vertical="top" wrapText="1"/>
      <protection locked="0"/>
    </xf>
    <xf numFmtId="0" fontId="0" fillId="15" borderId="33" xfId="0" applyFill="1" applyBorder="1" applyAlignment="1" applyProtection="1">
      <alignment horizontal="left" vertical="top" wrapText="1"/>
      <protection locked="0"/>
    </xf>
    <xf numFmtId="0" fontId="49" fillId="15" borderId="33" xfId="0" applyFont="1" applyFill="1" applyBorder="1" applyAlignment="1" applyProtection="1">
      <alignment horizontal="left" vertical="top" wrapText="1"/>
      <protection locked="0"/>
    </xf>
    <xf numFmtId="49" fontId="1" fillId="14" borderId="33" xfId="0" applyNumberFormat="1" applyFont="1" applyFill="1" applyBorder="1" applyAlignment="1" applyProtection="1">
      <alignment horizontal="left" vertical="top" wrapText="1"/>
      <protection locked="0"/>
    </xf>
    <xf numFmtId="49" fontId="0" fillId="14" borderId="33" xfId="0" applyNumberFormat="1" applyFill="1" applyBorder="1" applyAlignment="1" applyProtection="1">
      <alignment horizontal="left" vertical="top" wrapText="1"/>
      <protection locked="0"/>
    </xf>
    <xf numFmtId="49" fontId="49" fillId="14" borderId="33" xfId="0" applyNumberFormat="1" applyFont="1" applyFill="1" applyBorder="1" applyAlignment="1" applyProtection="1">
      <alignment horizontal="left" vertical="top" wrapText="1"/>
      <protection locked="0"/>
    </xf>
    <xf numFmtId="0" fontId="1" fillId="15" borderId="33" xfId="0" applyFont="1" applyFill="1" applyBorder="1" applyAlignment="1" applyProtection="1">
      <alignment horizontal="left" vertical="top" wrapText="1"/>
      <protection locked="0"/>
    </xf>
    <xf numFmtId="49" fontId="0" fillId="15" borderId="33" xfId="0" applyNumberFormat="1" applyFill="1" applyBorder="1" applyAlignment="1" applyProtection="1">
      <alignment horizontal="left" vertical="top" wrapText="1"/>
      <protection locked="0"/>
    </xf>
    <xf numFmtId="49" fontId="49" fillId="15" borderId="33" xfId="0" applyNumberFormat="1" applyFont="1" applyFill="1" applyBorder="1" applyAlignment="1" applyProtection="1">
      <alignment horizontal="left" vertical="top" wrapText="1"/>
      <protection locked="0"/>
    </xf>
    <xf numFmtId="0" fontId="1" fillId="14" borderId="33" xfId="3" applyFont="1" applyFill="1" applyBorder="1" applyAlignment="1" applyProtection="1">
      <alignment horizontal="left" vertical="top"/>
      <protection locked="0"/>
    </xf>
    <xf numFmtId="171" fontId="1" fillId="15" borderId="33" xfId="0" applyNumberFormat="1" applyFont="1" applyFill="1" applyBorder="1" applyAlignment="1" applyProtection="1">
      <alignment horizontal="left" vertical="top" wrapText="1"/>
      <protection locked="0"/>
    </xf>
    <xf numFmtId="171" fontId="1" fillId="15" borderId="33" xfId="3" applyNumberFormat="1" applyFont="1" applyFill="1" applyBorder="1" applyAlignment="1" applyProtection="1">
      <alignment horizontal="left" vertical="top" wrapText="1"/>
      <protection locked="0"/>
    </xf>
    <xf numFmtId="0" fontId="0" fillId="16" borderId="19" xfId="0" applyFill="1" applyBorder="1" applyAlignment="1">
      <alignment horizontal="center" vertical="center"/>
    </xf>
    <xf numFmtId="0" fontId="0" fillId="16" borderId="22" xfId="0" applyFill="1" applyBorder="1" applyAlignment="1">
      <alignment horizontal="center" vertical="center"/>
    </xf>
    <xf numFmtId="0" fontId="12" fillId="16" borderId="21" xfId="0" applyFont="1" applyFill="1" applyBorder="1" applyAlignment="1">
      <alignment horizontal="left" vertical="top" wrapText="1"/>
    </xf>
    <xf numFmtId="0" fontId="18" fillId="16" borderId="21" xfId="0" applyFont="1" applyFill="1" applyBorder="1" applyAlignment="1" applyProtection="1">
      <alignment horizontal="left" vertical="top" wrapText="1"/>
      <protection hidden="1"/>
    </xf>
    <xf numFmtId="0" fontId="12" fillId="16" borderId="21" xfId="0" applyFont="1" applyFill="1" applyBorder="1" applyAlignment="1" applyProtection="1">
      <alignment horizontal="left" vertical="top" wrapText="1"/>
      <protection locked="0"/>
    </xf>
    <xf numFmtId="49" fontId="12" fillId="16" borderId="21" xfId="0" applyNumberFormat="1" applyFont="1" applyFill="1" applyBorder="1" applyAlignment="1" applyProtection="1">
      <alignment horizontal="left" vertical="top" wrapText="1"/>
      <protection locked="0"/>
    </xf>
    <xf numFmtId="0" fontId="12" fillId="16" borderId="21" xfId="3" applyFont="1" applyFill="1" applyBorder="1" applyAlignment="1" applyProtection="1">
      <alignment horizontal="left" vertical="top" wrapText="1"/>
      <protection locked="0"/>
    </xf>
    <xf numFmtId="0" fontId="12" fillId="16" borderId="0" xfId="0" applyFont="1" applyFill="1" applyAlignment="1">
      <alignment wrapText="1"/>
    </xf>
    <xf numFmtId="0" fontId="46" fillId="16" borderId="21" xfId="3" applyFont="1" applyFill="1" applyBorder="1" applyAlignment="1" applyProtection="1">
      <alignment horizontal="left" vertical="top" wrapText="1"/>
      <protection locked="0"/>
    </xf>
    <xf numFmtId="171" fontId="12" fillId="16" borderId="21" xfId="3" applyNumberFormat="1" applyFont="1" applyFill="1" applyBorder="1" applyAlignment="1" applyProtection="1">
      <alignment horizontal="left" vertical="top" wrapText="1"/>
      <protection locked="0"/>
    </xf>
    <xf numFmtId="0" fontId="12" fillId="16" borderId="0" xfId="0" applyFont="1" applyFill="1" applyBorder="1" applyAlignment="1">
      <alignment horizontal="left" vertical="top" wrapText="1"/>
    </xf>
    <xf numFmtId="0" fontId="18" fillId="16" borderId="0" xfId="0" applyFont="1" applyFill="1" applyBorder="1" applyAlignment="1">
      <alignment horizontal="left" vertical="top" wrapText="1"/>
    </xf>
    <xf numFmtId="0" fontId="50" fillId="17" borderId="0" xfId="0" applyFont="1" applyFill="1"/>
    <xf numFmtId="0" fontId="1" fillId="17" borderId="0" xfId="4" applyFill="1"/>
    <xf numFmtId="0" fontId="2" fillId="5" borderId="11" xfId="0" applyFont="1" applyFill="1" applyBorder="1" applyAlignment="1">
      <alignment horizontal="center"/>
    </xf>
    <xf numFmtId="0" fontId="0" fillId="6" borderId="0" xfId="0" applyFill="1" applyBorder="1" applyAlignment="1">
      <alignment vertical="top"/>
    </xf>
    <xf numFmtId="0" fontId="0" fillId="7" borderId="11" xfId="0" applyFill="1" applyBorder="1" applyAlignment="1">
      <alignment vertical="top" wrapText="1"/>
    </xf>
    <xf numFmtId="0" fontId="2" fillId="6" borderId="0" xfId="4" applyFont="1" applyFill="1"/>
    <xf numFmtId="0" fontId="1" fillId="6" borderId="0" xfId="4" applyFont="1" applyFill="1"/>
    <xf numFmtId="49" fontId="1" fillId="6" borderId="0" xfId="4" applyNumberFormat="1" applyFont="1" applyFill="1"/>
    <xf numFmtId="0" fontId="0" fillId="0" borderId="22" xfId="0" applyFill="1" applyBorder="1" applyAlignment="1" applyProtection="1">
      <alignment horizontal="right" vertical="center" wrapText="1"/>
      <protection locked="0"/>
    </xf>
    <xf numFmtId="0" fontId="0" fillId="0" borderId="0" xfId="0" applyFill="1" applyBorder="1" applyAlignment="1" applyProtection="1">
      <alignment horizontal="right" vertical="top" wrapText="1"/>
      <protection locked="0"/>
    </xf>
    <xf numFmtId="0" fontId="1" fillId="0" borderId="4" xfId="0" applyFont="1" applyFill="1" applyBorder="1" applyAlignment="1" applyProtection="1">
      <alignment horizontal="right" vertical="center" wrapText="1"/>
      <protection locked="0"/>
    </xf>
    <xf numFmtId="0" fontId="0" fillId="0" borderId="4" xfId="0" applyFill="1" applyBorder="1" applyAlignment="1" applyProtection="1">
      <alignment horizontal="right" vertical="top" wrapText="1"/>
      <protection locked="0"/>
    </xf>
    <xf numFmtId="0" fontId="1" fillId="0" borderId="4" xfId="0" applyFont="1" applyFill="1" applyBorder="1" applyAlignment="1" applyProtection="1">
      <alignment horizontal="right" vertical="center"/>
      <protection locked="0"/>
    </xf>
    <xf numFmtId="0" fontId="0" fillId="0" borderId="4" xfId="0" applyFill="1" applyBorder="1" applyAlignment="1" applyProtection="1">
      <alignment horizontal="right" vertical="center"/>
      <protection locked="0"/>
    </xf>
    <xf numFmtId="0" fontId="1" fillId="0" borderId="4" xfId="0" applyFont="1" applyFill="1" applyBorder="1" applyAlignment="1" applyProtection="1">
      <alignment horizontal="right" vertical="top"/>
      <protection locked="0"/>
    </xf>
    <xf numFmtId="0" fontId="49" fillId="0" borderId="4" xfId="0" applyFont="1" applyBorder="1" applyAlignment="1">
      <alignment vertical="top"/>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0" fillId="18" borderId="0" xfId="0" applyFill="1"/>
    <xf numFmtId="0" fontId="1" fillId="0" borderId="4" xfId="0" applyFont="1" applyFill="1" applyBorder="1" applyAlignment="1" applyProtection="1">
      <alignment horizontal="left" vertical="center"/>
      <protection locked="0"/>
    </xf>
    <xf numFmtId="172" fontId="0" fillId="0" borderId="0" xfId="0" applyNumberFormat="1" applyFill="1"/>
    <xf numFmtId="0" fontId="0" fillId="5" borderId="33" xfId="0" applyFill="1" applyBorder="1" applyAlignment="1">
      <alignment vertical="top" wrapText="1"/>
    </xf>
    <xf numFmtId="0" fontId="2" fillId="12" borderId="33" xfId="0" applyFont="1" applyFill="1" applyBorder="1" applyAlignment="1" applyProtection="1">
      <alignment horizontal="left" vertical="top" wrapText="1"/>
      <protection hidden="1"/>
    </xf>
    <xf numFmtId="0" fontId="1" fillId="14" borderId="33" xfId="0" applyFont="1" applyFill="1" applyBorder="1" applyAlignment="1" applyProtection="1">
      <alignment horizontal="left" vertical="top" wrapText="1"/>
      <protection locked="0"/>
    </xf>
    <xf numFmtId="0" fontId="9" fillId="14" borderId="33" xfId="3" applyFill="1" applyBorder="1" applyAlignment="1" applyProtection="1">
      <alignment horizontal="left" vertical="top"/>
      <protection locked="0"/>
    </xf>
    <xf numFmtId="0" fontId="0" fillId="13"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2" fillId="9" borderId="26" xfId="0" applyFont="1" applyFill="1" applyBorder="1" applyAlignment="1">
      <alignment horizontal="center" vertical="center" textRotation="45" shrinkToFit="1"/>
    </xf>
    <xf numFmtId="0" fontId="2" fillId="9" borderId="29" xfId="0" applyFont="1" applyFill="1" applyBorder="1" applyAlignment="1">
      <alignment horizontal="center" vertical="center" textRotation="45" shrinkToFit="1"/>
    </xf>
    <xf numFmtId="0" fontId="1" fillId="9" borderId="22" xfId="0" applyFont="1" applyFill="1" applyBorder="1" applyAlignment="1">
      <alignment horizontal="left" vertical="center" wrapText="1"/>
    </xf>
    <xf numFmtId="0" fontId="1" fillId="9" borderId="28"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5" borderId="25" xfId="0" applyFont="1" applyFill="1" applyBorder="1" applyAlignment="1">
      <alignment horizontal="center" textRotation="45"/>
    </xf>
    <xf numFmtId="0" fontId="2" fillId="5" borderId="26" xfId="0" applyFont="1" applyFill="1" applyBorder="1" applyAlignment="1">
      <alignment horizontal="center" textRotation="45"/>
    </xf>
    <xf numFmtId="0" fontId="1" fillId="5" borderId="23"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5" borderId="22" xfId="0" applyFont="1" applyFill="1" applyBorder="1" applyAlignment="1">
      <alignment horizontal="left" vertical="center" wrapText="1"/>
    </xf>
    <xf numFmtId="0" fontId="1" fillId="5" borderId="28" xfId="0" applyFont="1" applyFill="1" applyBorder="1" applyAlignment="1">
      <alignment horizontal="left" vertical="center" wrapText="1"/>
    </xf>
    <xf numFmtId="0" fontId="2" fillId="5" borderId="4" xfId="0" applyFont="1" applyFill="1" applyBorder="1" applyAlignment="1">
      <alignment horizontal="left"/>
    </xf>
    <xf numFmtId="0" fontId="0" fillId="0" borderId="4" xfId="0" applyBorder="1" applyAlignment="1" applyProtection="1">
      <alignment horizontal="left"/>
      <protection locked="0"/>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1" fillId="0" borderId="4" xfId="0" applyFont="1" applyFill="1" applyBorder="1" applyAlignment="1" applyProtection="1">
      <alignment vertical="center"/>
      <protection locked="0"/>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4" xfId="0" applyFont="1" applyFill="1" applyBorder="1" applyAlignment="1">
      <alignment horizontal="center"/>
    </xf>
    <xf numFmtId="0" fontId="0" fillId="0" borderId="4" xfId="0" applyFill="1"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0" fillId="0" borderId="4" xfId="0" applyFill="1" applyBorder="1" applyAlignment="1" applyProtection="1">
      <alignment vertical="center"/>
      <protection locked="0"/>
    </xf>
    <xf numFmtId="0" fontId="0" fillId="7" borderId="4" xfId="0" applyFill="1" applyBorder="1" applyAlignment="1"/>
    <xf numFmtId="0" fontId="2" fillId="5" borderId="11" xfId="4" applyFont="1" applyFill="1" applyBorder="1" applyAlignment="1">
      <alignment horizontal="left" vertical="center"/>
    </xf>
    <xf numFmtId="0" fontId="2" fillId="5" borderId="22" xfId="4" applyFont="1" applyFill="1" applyBorder="1" applyAlignment="1">
      <alignment horizontal="left" vertical="center"/>
    </xf>
    <xf numFmtId="0" fontId="2" fillId="5" borderId="6" xfId="4" applyFont="1" applyFill="1" applyBorder="1" applyAlignment="1">
      <alignment horizontal="left" vertical="center"/>
    </xf>
    <xf numFmtId="0" fontId="0" fillId="7" borderId="4" xfId="0" applyFill="1" applyBorder="1" applyAlignment="1">
      <alignment vertical="top" wrapText="1"/>
    </xf>
    <xf numFmtId="0" fontId="1" fillId="0" borderId="4" xfId="0" applyFont="1" applyFill="1" applyBorder="1" applyAlignment="1" applyProtection="1">
      <alignment vertical="center" wrapText="1"/>
      <protection locked="0"/>
    </xf>
    <xf numFmtId="0" fontId="0" fillId="0" borderId="4" xfId="0" applyBorder="1" applyAlignment="1">
      <alignment horizontal="left" wrapText="1"/>
    </xf>
    <xf numFmtId="0" fontId="1" fillId="0" borderId="4" xfId="0" applyFont="1" applyBorder="1" applyAlignment="1">
      <alignment horizontal="left" wrapText="1"/>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0" fillId="0" borderId="14" xfId="0" applyNumberFormat="1" applyBorder="1" applyAlignment="1" applyProtection="1">
      <alignment wrapText="1"/>
      <protection locked="0"/>
    </xf>
    <xf numFmtId="0" fontId="2" fillId="8" borderId="31"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3" fillId="0" borderId="0" xfId="0" applyFont="1" applyFill="1" applyAlignment="1">
      <alignment horizontal="center"/>
    </xf>
    <xf numFmtId="0" fontId="2" fillId="0" borderId="4" xfId="0" applyFont="1" applyFill="1" applyBorder="1" applyAlignment="1">
      <alignment horizontal="left" wrapText="1"/>
    </xf>
    <xf numFmtId="0" fontId="17" fillId="0" borderId="0" xfId="4" applyFont="1" applyAlignment="1">
      <alignment horizontal="center"/>
    </xf>
    <xf numFmtId="0" fontId="1" fillId="0" borderId="22" xfId="0" applyFont="1" applyBorder="1" applyAlignment="1"/>
    <xf numFmtId="0" fontId="1" fillId="0" borderId="19" xfId="0" applyFont="1" applyBorder="1" applyAlignment="1">
      <alignment horizontal="left"/>
    </xf>
    <xf numFmtId="0" fontId="1" fillId="16" borderId="22" xfId="0" applyFont="1" applyFill="1" applyBorder="1" applyAlignment="1"/>
    <xf numFmtId="0" fontId="1" fillId="0" borderId="22" xfId="0" applyFont="1" applyBorder="1" applyAlignment="1">
      <alignment horizontal="left" wrapText="1"/>
    </xf>
  </cellXfs>
  <cellStyles count="27">
    <cellStyle name="DateTime" xfId="1"/>
    <cellStyle name="Euro" xfId="2"/>
    <cellStyle name="Hyperlink" xfId="3" builtinId="8"/>
    <cellStyle name="Normal" xfId="0" builtinId="0"/>
    <cellStyle name="Normal 2" xfId="4"/>
    <cellStyle name="Source Text" xfId="5"/>
    <cellStyle name="Standard_Bsp-Datenaustausch_S&amp;U" xfId="6"/>
    <cellStyle name="Style 21" xfId="7"/>
    <cellStyle name="Style 22" xfId="8"/>
    <cellStyle name="Style 23" xfId="9"/>
    <cellStyle name="Style 24" xfId="10"/>
    <cellStyle name="Style 25" xfId="11"/>
    <cellStyle name="Style 26" xfId="12"/>
    <cellStyle name="Style 27" xfId="13"/>
    <cellStyle name="Style 28" xfId="14"/>
    <cellStyle name="Style 29" xfId="15"/>
    <cellStyle name="Style 30" xfId="16"/>
    <cellStyle name="Style 31" xfId="17"/>
    <cellStyle name="Style 32" xfId="18"/>
    <cellStyle name="Style 33" xfId="19"/>
    <cellStyle name="Style 34" xfId="20"/>
    <cellStyle name="Style 35" xfId="21"/>
    <cellStyle name="Style 36" xfId="22"/>
    <cellStyle name="text" xfId="23"/>
    <cellStyle name="Title-2" xfId="24"/>
    <cellStyle name="wissenschaft-Eingabe" xfId="25"/>
    <cellStyle name="wissenschaft-Eingabe 2" xfId="26"/>
  </cellStyles>
  <dxfs count="7">
    <dxf>
      <font>
        <condense val="0"/>
        <extend val="0"/>
        <color indexed="9"/>
      </font>
    </dxf>
    <dxf>
      <font>
        <condense val="0"/>
        <extend val="0"/>
        <color indexed="9"/>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17A0B24A-9B24-4C08-AAA3-C6B277B31D54}"/>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142874</xdr:rowOff>
    </xdr:from>
    <xdr:to>
      <xdr:col>14</xdr:col>
      <xdr:colOff>800101</xdr:colOff>
      <xdr:row>18</xdr:row>
      <xdr:rowOff>9524</xdr:rowOff>
    </xdr:to>
    <xdr:sp macro="" textlink="">
      <xdr:nvSpPr>
        <xdr:cNvPr id="2" name="Text Box 13">
          <a:extLst>
            <a:ext uri="{FF2B5EF4-FFF2-40B4-BE49-F238E27FC236}">
              <a16:creationId xmlns:a16="http://schemas.microsoft.com/office/drawing/2014/main" id="{AF69508E-0DB2-45A8-B9E7-CE2EB648C393}"/>
            </a:ext>
          </a:extLst>
        </xdr:cNvPr>
        <xdr:cNvSpPr txBox="1">
          <a:spLocks noChangeArrowheads="1"/>
        </xdr:cNvSpPr>
      </xdr:nvSpPr>
      <xdr:spPr bwMode="auto">
        <a:xfrm>
          <a:off x="7305675" y="1762124"/>
          <a:ext cx="6810376"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Southern Pine Biomass</a:t>
          </a: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pitchFamily="34" charset="0"/>
              <a:cs typeface="Arial" pitchFamily="34" charset="0"/>
            </a:rPr>
            <a:t>This unit process provides a summary of the farming activities of harvesting and storage of short rotation woody crop (SRWC) biomass processes, including </a:t>
          </a:r>
          <a:r>
            <a:rPr lang="en-US" sz="1000">
              <a:latin typeface="Arial" pitchFamily="34" charset="0"/>
              <a:ea typeface="+mn-ea"/>
              <a:cs typeface="Arial" pitchFamily="34" charset="0"/>
            </a:rPr>
            <a:t>diesel consumption in farming equipment, </a:t>
          </a:r>
          <a:r>
            <a:rPr lang="en-US" sz="1000">
              <a:solidFill>
                <a:sysClr val="windowText" lastClr="000000"/>
              </a:solidFill>
              <a:latin typeface="Arial" pitchFamily="34" charset="0"/>
              <a:ea typeface="+mn-ea"/>
              <a:cs typeface="Arial" pitchFamily="34" charset="0"/>
            </a:rPr>
            <a:t>emissions of fugitive </a:t>
          </a:r>
          <a:r>
            <a:rPr lang="en-US" sz="1000">
              <a:latin typeface="Arial" pitchFamily="34" charset="0"/>
              <a:ea typeface="+mn-ea"/>
              <a:cs typeface="Arial" pitchFamily="34" charset="0"/>
            </a:rPr>
            <a:t>dust caused </a:t>
          </a:r>
          <a:r>
            <a:rPr lang="en-US" sz="1000">
              <a:solidFill>
                <a:sysClr val="windowText" lastClr="000000"/>
              </a:solidFill>
              <a:latin typeface="Arial" pitchFamily="34" charset="0"/>
              <a:ea typeface="+mn-ea"/>
              <a:cs typeface="Arial" pitchFamily="34" charset="0"/>
            </a:rPr>
            <a:t>by operating</a:t>
          </a:r>
          <a:r>
            <a:rPr lang="en-US" sz="1000" baseline="0">
              <a:solidFill>
                <a:sysClr val="windowText" lastClr="000000"/>
              </a:solidFill>
              <a:latin typeface="Arial" pitchFamily="34" charset="0"/>
              <a:ea typeface="+mn-ea"/>
              <a:cs typeface="Arial" pitchFamily="34" charset="0"/>
            </a:rPr>
            <a:t> equipment over surface soil</a:t>
          </a:r>
          <a:r>
            <a:rPr lang="en-US" sz="1000">
              <a:latin typeface="Arial" pitchFamily="34" charset="0"/>
              <a:ea typeface="+mn-ea"/>
              <a:cs typeface="Arial" pitchFamily="34" charset="0"/>
            </a:rPr>
            <a:t>, and the annual yield rate of SRWC.</a:t>
          </a:r>
          <a:r>
            <a:rPr lang="en-US" sz="1000" baseline="0">
              <a:latin typeface="Arial" pitchFamily="34" charset="0"/>
              <a:ea typeface="+mn-ea"/>
              <a:cs typeface="Arial" pitchFamily="34" charset="0"/>
            </a:rPr>
            <a:t> SRWC</a:t>
          </a:r>
          <a:r>
            <a:rPr lang="en-US" sz="1000" b="0" i="0" u="none" strike="noStrike" baseline="0">
              <a:solidFill>
                <a:srgbClr val="000000"/>
              </a:solidFill>
              <a:latin typeface="Arial" pitchFamily="34" charset="0"/>
              <a:cs typeface="Arial" pitchFamily="34" charset="0"/>
            </a:rPr>
            <a:t> biomass is harvested using tree harvester equipment that is diesel-powered. </a:t>
          </a:r>
          <a:r>
            <a:rPr lang="en-US" sz="1000">
              <a:latin typeface="Arial" pitchFamily="34" charset="0"/>
              <a:ea typeface="+mn-ea"/>
              <a:cs typeface="Arial" pitchFamily="34" charset="0"/>
            </a:rPr>
            <a:t>The LC boundary of this unit process starts with the harvesting of SRWC and ends with SRWC ready for delivery to the fuel production facility. </a:t>
          </a:r>
          <a:r>
            <a:rPr lang="en-US" sz="1000" b="0" i="0" baseline="0">
              <a:effectLst/>
              <a:latin typeface="Arial" panose="020B0604020202020204" pitchFamily="34" charset="0"/>
              <a:ea typeface="+mn-ea"/>
              <a:cs typeface="Arial" panose="020B0604020202020204" pitchFamily="34" charset="0"/>
            </a:rPr>
            <a:t>Diesel combustion has been made external to this process and is now an input.</a:t>
          </a:r>
          <a:r>
            <a:rPr lang="en-US" sz="1000">
              <a:effectLst/>
              <a:latin typeface="Arial" panose="020B0604020202020204" pitchFamily="34" charset="0"/>
              <a:ea typeface="+mn-ea"/>
              <a:cs typeface="Arial" panose="020B0604020202020204" pitchFamily="34" charset="0"/>
            </a:rPr>
            <a:t> </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000" b="0" i="0" u="none" strike="noStrike" baseline="0">
              <a:solidFill>
                <a:srgbClr val="000000"/>
              </a:solidFill>
              <a:latin typeface="Arial"/>
              <a:cs typeface="Arial"/>
            </a:rPr>
            <a:t>Note: All inputs and outputs are normalized per the reference flow (e.g., per kg Southern pine biomass production).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0E9EFC6E-F08C-4B6E-A812-7752E81FAE5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901B1EF0-A8C2-4642-B886-B23C92DB05C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4CF20D21-0A6D-48AC-976F-D9F83DF3E7D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0E26D700-2AD0-4728-8896-0E34B6EA2AB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psaf.org/meetings/apsaf-2011/ppt/Fox-ApSAF-2011-Growth_Potential_of_Plantations_in_the_South.pdf" TargetMode="External"/><Relationship Id="rId7" Type="http://schemas.openxmlformats.org/officeDocument/2006/relationships/printerSettings" Target="../printerSettings/printerSettings6.bin"/><Relationship Id="rId2" Type="http://schemas.openxmlformats.org/officeDocument/2006/relationships/hyperlink" Target="http://www.gabioenergy.org/ppt/McClure--Forest%20Biomass%20as%20a%20Feedstock%20for%20Energy%20Production.pdf" TargetMode="External"/><Relationship Id="rId1" Type="http://schemas.openxmlformats.org/officeDocument/2006/relationships/printerSettings" Target="../printerSettings/printerSettings5.bin"/><Relationship Id="rId6" Type="http://schemas.openxmlformats.org/officeDocument/2006/relationships/hyperlink" Target="http://www.ecfr.gov/cgi-bin/text-idx?SID=ce19e4f40381388d99fccef4a71f67d5&amp;tpl=/ecfrbrowse/Title40/40cfr1039_main_02.tpl" TargetMode="External"/><Relationship Id="rId5" Type="http://schemas.openxmlformats.org/officeDocument/2006/relationships/hyperlink" Target="http://www1.eere.energy.gov/biomass/pdfs/billion_ton_update.pdf" TargetMode="External"/><Relationship Id="rId4" Type="http://schemas.openxmlformats.org/officeDocument/2006/relationships/hyperlink" Target="http://forestproductivity.com/sitefactors/soils/nutrient_management_southern_pines.pdf"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1.eere.energy.gov/biomass/pdfs/billion_ton_update.pdf" TargetMode="External"/><Relationship Id="rId1" Type="http://schemas.openxmlformats.org/officeDocument/2006/relationships/hyperlink" Target="http://www.gabioenergy.org/ppt/McClure--Forest%20Biomass%20as%20a%20Feedstock%20for%20Energy%20Production.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8"/>
  <sheetViews>
    <sheetView tabSelected="1" zoomScaleNormal="100" workbookViewId="0">
      <selection activeCell="C17" sqref="C17:M17"/>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6" max="27" width="9.140625" style="5"/>
  </cols>
  <sheetData>
    <row r="1" spans="1:27" ht="20.25" x14ac:dyDescent="0.3">
      <c r="A1" s="296" t="s">
        <v>462</v>
      </c>
      <c r="B1" s="296"/>
      <c r="C1" s="296"/>
      <c r="D1" s="296"/>
      <c r="E1" s="296"/>
      <c r="F1" s="296"/>
      <c r="G1" s="296"/>
      <c r="H1" s="296"/>
      <c r="I1" s="296"/>
      <c r="J1" s="296"/>
      <c r="K1" s="296"/>
      <c r="L1" s="296"/>
      <c r="M1" s="296"/>
      <c r="N1" s="296"/>
      <c r="O1" s="41"/>
    </row>
    <row r="2" spans="1:27" ht="21" thickBot="1" x14ac:dyDescent="0.35">
      <c r="A2" s="296" t="s">
        <v>158</v>
      </c>
      <c r="B2" s="296"/>
      <c r="C2" s="296"/>
      <c r="D2" s="296"/>
      <c r="E2" s="296"/>
      <c r="F2" s="296"/>
      <c r="G2" s="296"/>
      <c r="H2" s="296"/>
      <c r="I2" s="296"/>
      <c r="J2" s="296"/>
      <c r="K2" s="296"/>
      <c r="L2" s="296"/>
      <c r="M2" s="296"/>
      <c r="N2" s="296"/>
      <c r="O2" s="41"/>
    </row>
    <row r="3" spans="1:27" ht="12.75" customHeight="1" thickBot="1" x14ac:dyDescent="0.25">
      <c r="B3" s="5"/>
      <c r="C3" s="40" t="s">
        <v>159</v>
      </c>
      <c r="D3" s="42" t="str">
        <f>'Data Summary'!D4</f>
        <v>Southern Pine Harvesting &amp; Storage, Operation</v>
      </c>
      <c r="E3" s="43"/>
      <c r="F3" s="43"/>
      <c r="G3" s="43"/>
      <c r="H3" s="43"/>
      <c r="I3" s="43"/>
      <c r="J3" s="43"/>
      <c r="K3" s="43"/>
      <c r="L3" s="43"/>
      <c r="M3" s="44"/>
      <c r="N3" s="5"/>
      <c r="O3" s="5"/>
    </row>
    <row r="4" spans="1:27" ht="42.75" customHeight="1" thickBot="1" x14ac:dyDescent="0.25">
      <c r="B4" s="5"/>
      <c r="C4" s="40" t="s">
        <v>160</v>
      </c>
      <c r="D4" s="297" t="str">
        <f>'Data Summary'!D6:M6</f>
        <v xml:space="preserve">This unit process includes farming operations (activities) for harvesting, grinding and storage for short rotation woody crop (SRWC), Southern pine biomass production including combusted diesel, dust emissions, and a calculation of yield.  </v>
      </c>
      <c r="E4" s="298"/>
      <c r="F4" s="298"/>
      <c r="G4" s="298"/>
      <c r="H4" s="298"/>
      <c r="I4" s="298"/>
      <c r="J4" s="298"/>
      <c r="K4" s="298"/>
      <c r="L4" s="298"/>
      <c r="M4" s="299"/>
      <c r="N4" s="5"/>
      <c r="O4" s="5"/>
    </row>
    <row r="5" spans="1:27" ht="39" customHeight="1" thickBot="1" x14ac:dyDescent="0.25">
      <c r="B5" s="5"/>
      <c r="C5" s="40" t="s">
        <v>161</v>
      </c>
      <c r="D5" s="297" t="s">
        <v>593</v>
      </c>
      <c r="E5" s="298"/>
      <c r="F5" s="298"/>
      <c r="G5" s="298"/>
      <c r="H5" s="298"/>
      <c r="I5" s="298"/>
      <c r="J5" s="298"/>
      <c r="K5" s="298"/>
      <c r="L5" s="298"/>
      <c r="M5" s="299"/>
      <c r="N5" s="5"/>
      <c r="O5" s="5"/>
    </row>
    <row r="6" spans="1:27" ht="56.25" customHeight="1" thickBot="1" x14ac:dyDescent="0.25">
      <c r="B6" s="5"/>
      <c r="C6" s="45" t="s">
        <v>162</v>
      </c>
      <c r="D6" s="297" t="s">
        <v>205</v>
      </c>
      <c r="E6" s="298"/>
      <c r="F6" s="298"/>
      <c r="G6" s="298"/>
      <c r="H6" s="298"/>
      <c r="I6" s="298"/>
      <c r="J6" s="298"/>
      <c r="K6" s="298"/>
      <c r="L6" s="298"/>
      <c r="M6" s="299"/>
      <c r="N6" s="5"/>
      <c r="O6" s="5"/>
    </row>
    <row r="7" spans="1:27" x14ac:dyDescent="0.2">
      <c r="B7" s="4" t="s">
        <v>163</v>
      </c>
      <c r="C7" s="4"/>
      <c r="D7" s="4"/>
      <c r="E7" s="4"/>
      <c r="F7" s="4"/>
      <c r="G7" s="4"/>
      <c r="H7" s="4"/>
      <c r="I7" s="4"/>
      <c r="J7" s="4"/>
      <c r="K7" s="4"/>
      <c r="L7" s="4"/>
      <c r="M7" s="4"/>
      <c r="N7" s="5"/>
      <c r="O7" s="5"/>
    </row>
    <row r="8" spans="1:27" ht="13.5" thickBot="1" x14ac:dyDescent="0.25">
      <c r="B8" s="4"/>
      <c r="C8" s="4" t="s">
        <v>164</v>
      </c>
      <c r="D8" s="4" t="s">
        <v>165</v>
      </c>
      <c r="E8" s="4"/>
      <c r="F8" s="4"/>
      <c r="G8" s="4"/>
      <c r="H8" s="4"/>
      <c r="I8" s="4"/>
      <c r="J8" s="4"/>
      <c r="K8" s="4"/>
      <c r="L8" s="4"/>
      <c r="M8" s="4"/>
      <c r="N8" s="5"/>
      <c r="O8" s="5"/>
    </row>
    <row r="9" spans="1:27" s="21" customFormat="1" ht="15" customHeight="1" x14ac:dyDescent="0.2">
      <c r="A9" s="5"/>
      <c r="B9" s="300" t="s">
        <v>166</v>
      </c>
      <c r="C9" s="186" t="s">
        <v>167</v>
      </c>
      <c r="D9" s="302" t="s">
        <v>168</v>
      </c>
      <c r="E9" s="302"/>
      <c r="F9" s="302"/>
      <c r="G9" s="302"/>
      <c r="H9" s="302"/>
      <c r="I9" s="302"/>
      <c r="J9" s="302"/>
      <c r="K9" s="302"/>
      <c r="L9" s="302"/>
      <c r="M9" s="303"/>
      <c r="N9" s="5"/>
      <c r="O9" s="5"/>
      <c r="P9" s="5"/>
      <c r="Q9" s="5"/>
      <c r="R9" s="5"/>
      <c r="S9" s="5"/>
      <c r="T9" s="5"/>
      <c r="U9" s="5"/>
      <c r="V9" s="5"/>
      <c r="W9" s="5"/>
      <c r="X9" s="5"/>
      <c r="Y9" s="5"/>
      <c r="Z9" s="5"/>
      <c r="AA9" s="5"/>
    </row>
    <row r="10" spans="1:27" s="21" customFormat="1" ht="15" customHeight="1" x14ac:dyDescent="0.2">
      <c r="A10" s="5"/>
      <c r="B10" s="301"/>
      <c r="C10" s="187" t="s">
        <v>169</v>
      </c>
      <c r="D10" s="304" t="s">
        <v>170</v>
      </c>
      <c r="E10" s="304"/>
      <c r="F10" s="304"/>
      <c r="G10" s="304"/>
      <c r="H10" s="304"/>
      <c r="I10" s="304"/>
      <c r="J10" s="304"/>
      <c r="K10" s="304"/>
      <c r="L10" s="304"/>
      <c r="M10" s="305"/>
      <c r="N10" s="5"/>
      <c r="O10" s="5"/>
      <c r="P10" s="5"/>
      <c r="Q10" s="5"/>
      <c r="R10" s="5"/>
      <c r="S10" s="5"/>
      <c r="T10" s="5"/>
      <c r="U10" s="5"/>
      <c r="V10" s="5"/>
      <c r="W10" s="5"/>
      <c r="X10" s="5"/>
      <c r="Y10" s="5"/>
      <c r="Z10" s="5"/>
      <c r="AA10" s="5"/>
    </row>
    <row r="11" spans="1:27" s="21" customFormat="1" ht="15" customHeight="1" x14ac:dyDescent="0.2">
      <c r="A11" s="5"/>
      <c r="B11" s="301"/>
      <c r="C11" s="187" t="s">
        <v>148</v>
      </c>
      <c r="D11" s="304" t="s">
        <v>171</v>
      </c>
      <c r="E11" s="304"/>
      <c r="F11" s="304"/>
      <c r="G11" s="304"/>
      <c r="H11" s="304"/>
      <c r="I11" s="304"/>
      <c r="J11" s="304"/>
      <c r="K11" s="304"/>
      <c r="L11" s="304"/>
      <c r="M11" s="305"/>
      <c r="N11" s="5"/>
      <c r="O11" s="5"/>
      <c r="P11" s="5"/>
      <c r="Q11" s="5"/>
      <c r="R11" s="5"/>
      <c r="S11" s="5"/>
      <c r="T11" s="5"/>
      <c r="U11" s="5"/>
      <c r="V11" s="5"/>
      <c r="W11" s="5"/>
      <c r="X11" s="5"/>
      <c r="Y11" s="5"/>
      <c r="Z11" s="5"/>
      <c r="AA11" s="5"/>
    </row>
    <row r="12" spans="1:27" ht="15" customHeight="1" x14ac:dyDescent="0.2">
      <c r="B12" s="289" t="s">
        <v>172</v>
      </c>
      <c r="C12" s="188" t="s">
        <v>453</v>
      </c>
      <c r="D12" s="291" t="s">
        <v>591</v>
      </c>
      <c r="E12" s="291"/>
      <c r="F12" s="291"/>
      <c r="G12" s="291"/>
      <c r="H12" s="291"/>
      <c r="I12" s="291"/>
      <c r="J12" s="291"/>
      <c r="K12" s="291"/>
      <c r="L12" s="291"/>
      <c r="M12" s="292"/>
      <c r="N12" s="5"/>
      <c r="O12" s="5"/>
    </row>
    <row r="13" spans="1:27" ht="15" customHeight="1" x14ac:dyDescent="0.2">
      <c r="B13" s="289"/>
      <c r="C13" s="189" t="s">
        <v>173</v>
      </c>
      <c r="D13" s="291" t="s">
        <v>174</v>
      </c>
      <c r="E13" s="291"/>
      <c r="F13" s="291"/>
      <c r="G13" s="291"/>
      <c r="H13" s="291"/>
      <c r="I13" s="291"/>
      <c r="J13" s="291"/>
      <c r="K13" s="291"/>
      <c r="L13" s="291"/>
      <c r="M13" s="292"/>
      <c r="N13" s="5"/>
      <c r="O13" s="5"/>
    </row>
    <row r="14" spans="1:27" ht="15" customHeight="1" thickBot="1" x14ac:dyDescent="0.25">
      <c r="B14" s="290"/>
      <c r="C14" s="190" t="s">
        <v>175</v>
      </c>
      <c r="D14" s="293" t="s">
        <v>175</v>
      </c>
      <c r="E14" s="293"/>
      <c r="F14" s="293"/>
      <c r="G14" s="293"/>
      <c r="H14" s="293"/>
      <c r="I14" s="293"/>
      <c r="J14" s="293"/>
      <c r="K14" s="293"/>
      <c r="L14" s="293"/>
      <c r="M14" s="294"/>
      <c r="N14" s="5"/>
      <c r="O14" s="5"/>
    </row>
    <row r="15" spans="1:27" x14ac:dyDescent="0.2">
      <c r="B15" s="4"/>
      <c r="C15" s="4"/>
      <c r="D15" s="4"/>
      <c r="E15" s="4"/>
      <c r="F15" s="4"/>
      <c r="G15" s="4"/>
      <c r="H15" s="4"/>
      <c r="I15" s="4"/>
      <c r="J15" s="4"/>
      <c r="K15" s="4"/>
      <c r="L15" s="4"/>
      <c r="M15" s="4"/>
      <c r="N15" s="5"/>
      <c r="O15" s="5"/>
    </row>
    <row r="16" spans="1:27" x14ac:dyDescent="0.2">
      <c r="B16" s="4" t="s">
        <v>176</v>
      </c>
      <c r="C16" s="4"/>
      <c r="D16" s="4"/>
      <c r="E16" s="4"/>
      <c r="F16" s="4"/>
      <c r="G16" s="4"/>
      <c r="H16" s="4"/>
      <c r="I16" s="4"/>
      <c r="J16" s="4"/>
      <c r="K16" s="4"/>
      <c r="L16" s="4"/>
      <c r="M16" s="4"/>
      <c r="N16" s="5"/>
      <c r="O16" s="5"/>
    </row>
    <row r="17" spans="2:15" ht="38.25" customHeight="1" x14ac:dyDescent="0.2">
      <c r="B17" s="4"/>
      <c r="C17" s="295" t="s">
        <v>637</v>
      </c>
      <c r="D17" s="295"/>
      <c r="E17" s="295"/>
      <c r="F17" s="295"/>
      <c r="G17" s="295"/>
      <c r="H17" s="295"/>
      <c r="I17" s="295"/>
      <c r="J17" s="295"/>
      <c r="K17" s="295"/>
      <c r="L17" s="295"/>
      <c r="M17" s="295"/>
      <c r="N17" s="5"/>
      <c r="O17" s="5"/>
    </row>
    <row r="18" spans="2:15" x14ac:dyDescent="0.2">
      <c r="B18" s="4" t="s">
        <v>177</v>
      </c>
      <c r="C18" s="4"/>
      <c r="D18" s="4"/>
      <c r="E18" s="4"/>
      <c r="F18" s="4"/>
      <c r="G18" s="20"/>
      <c r="H18" s="20"/>
      <c r="I18" s="20"/>
      <c r="J18" s="20"/>
      <c r="K18" s="20"/>
      <c r="L18" s="20"/>
      <c r="M18" s="20"/>
      <c r="N18" s="5"/>
      <c r="O18" s="5"/>
    </row>
    <row r="19" spans="2:15" x14ac:dyDescent="0.2">
      <c r="B19" s="20"/>
      <c r="C19" s="20" t="s">
        <v>178</v>
      </c>
      <c r="D19" s="20"/>
      <c r="E19" s="46" t="s">
        <v>179</v>
      </c>
      <c r="F19" s="47"/>
      <c r="G19" s="20" t="s">
        <v>180</v>
      </c>
      <c r="H19" s="20"/>
      <c r="I19" s="20"/>
      <c r="J19" s="20"/>
      <c r="K19" s="20"/>
      <c r="L19" s="20"/>
      <c r="M19" s="20"/>
      <c r="N19" s="5"/>
      <c r="O19" s="5"/>
    </row>
    <row r="20" spans="2:15" x14ac:dyDescent="0.2">
      <c r="B20" s="20"/>
      <c r="C20" s="20" t="s">
        <v>181</v>
      </c>
      <c r="D20" s="20"/>
      <c r="E20" s="20"/>
      <c r="F20" s="20"/>
      <c r="G20" s="20"/>
      <c r="H20" s="20"/>
      <c r="I20" s="20"/>
      <c r="J20" s="20"/>
      <c r="K20" s="20"/>
      <c r="L20" s="20"/>
      <c r="M20" s="20"/>
      <c r="N20" s="5"/>
      <c r="O20" s="5"/>
    </row>
    <row r="21" spans="2:15" x14ac:dyDescent="0.2">
      <c r="B21" s="20"/>
      <c r="C21" s="20" t="s">
        <v>270</v>
      </c>
      <c r="D21" s="20"/>
      <c r="E21" s="20"/>
      <c r="F21" s="20"/>
      <c r="G21" s="20"/>
      <c r="H21" s="20"/>
      <c r="I21" s="20"/>
      <c r="J21" s="20"/>
      <c r="K21" s="20"/>
      <c r="L21" s="20"/>
      <c r="M21" s="20"/>
      <c r="N21" s="5"/>
      <c r="O21" s="5"/>
    </row>
    <row r="22" spans="2:15" x14ac:dyDescent="0.2">
      <c r="B22" s="20"/>
      <c r="C22" s="20" t="s">
        <v>440</v>
      </c>
      <c r="D22" s="20"/>
      <c r="E22" s="20"/>
      <c r="F22" s="20"/>
      <c r="G22" s="20"/>
      <c r="H22" s="20"/>
      <c r="I22" s="20"/>
      <c r="J22" s="20"/>
      <c r="K22" s="20"/>
      <c r="L22" s="20"/>
      <c r="M22" s="20"/>
      <c r="N22" s="5"/>
      <c r="O22" s="5"/>
    </row>
    <row r="23" spans="2:15" x14ac:dyDescent="0.2">
      <c r="B23" s="20"/>
      <c r="C23" s="20" t="s">
        <v>182</v>
      </c>
      <c r="D23" s="20"/>
      <c r="E23" s="20"/>
      <c r="F23" s="20"/>
      <c r="G23" s="20"/>
      <c r="H23" s="20"/>
      <c r="I23" s="20"/>
      <c r="J23" s="20"/>
      <c r="K23" s="20"/>
      <c r="L23" s="20"/>
      <c r="M23" s="20"/>
      <c r="N23" s="20"/>
      <c r="O23" s="20"/>
    </row>
    <row r="24" spans="2:15" x14ac:dyDescent="0.2">
      <c r="B24" s="20"/>
      <c r="C24" s="20"/>
      <c r="D24" s="20"/>
      <c r="E24" s="20"/>
      <c r="F24" s="20"/>
      <c r="G24" s="20"/>
      <c r="H24" s="20"/>
      <c r="I24" s="20"/>
      <c r="J24" s="20"/>
      <c r="K24" s="20"/>
      <c r="L24" s="20"/>
      <c r="M24" s="20"/>
      <c r="N24" s="20"/>
      <c r="O24" s="20"/>
    </row>
    <row r="25" spans="2:15" x14ac:dyDescent="0.2">
      <c r="B25" s="4" t="s">
        <v>183</v>
      </c>
      <c r="C25" s="20"/>
      <c r="D25" s="20"/>
      <c r="E25" s="20"/>
      <c r="F25" s="20"/>
      <c r="G25" s="20"/>
      <c r="H25" s="20"/>
      <c r="I25" s="20"/>
      <c r="J25" s="20"/>
      <c r="K25" s="20"/>
      <c r="L25" s="20"/>
      <c r="M25" s="20"/>
      <c r="N25" s="20"/>
      <c r="O25" s="20"/>
    </row>
    <row r="26" spans="2:15" x14ac:dyDescent="0.2">
      <c r="B26" s="20"/>
      <c r="C26" s="20"/>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20"/>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0"/>
      <c r="C41" s="20"/>
      <c r="D41" s="20"/>
      <c r="E41" s="20"/>
      <c r="F41" s="20"/>
      <c r="G41" s="20"/>
      <c r="H41" s="20"/>
      <c r="I41" s="20"/>
      <c r="J41" s="20"/>
      <c r="K41" s="20"/>
      <c r="L41" s="20"/>
      <c r="M41" s="20"/>
      <c r="N41" s="20"/>
      <c r="O41" s="20"/>
    </row>
    <row r="42" spans="2:15" x14ac:dyDescent="0.2">
      <c r="B42" s="20"/>
      <c r="C42" s="20"/>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0"/>
      <c r="C44" s="20"/>
      <c r="D44" s="20"/>
      <c r="E44" s="20"/>
      <c r="F44" s="20"/>
      <c r="G44" s="20"/>
      <c r="H44" s="20"/>
      <c r="I44" s="20"/>
      <c r="J44" s="20"/>
      <c r="K44" s="20"/>
      <c r="L44" s="20"/>
      <c r="M44" s="20"/>
      <c r="N44" s="20"/>
      <c r="O44" s="20"/>
    </row>
    <row r="45" spans="2:15" x14ac:dyDescent="0.2">
      <c r="B45" s="20"/>
      <c r="C45" s="20"/>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66" t="s">
        <v>602</v>
      </c>
      <c r="C52" s="267"/>
      <c r="D52" s="20"/>
      <c r="E52" s="20"/>
      <c r="F52" s="20"/>
      <c r="G52" s="20"/>
      <c r="H52" s="20"/>
      <c r="I52" s="20"/>
      <c r="J52" s="20"/>
      <c r="K52" s="20"/>
      <c r="L52" s="20"/>
      <c r="M52" s="20"/>
      <c r="N52" s="20"/>
      <c r="O52" s="20"/>
    </row>
    <row r="53" spans="2:15" x14ac:dyDescent="0.2">
      <c r="B53" s="267"/>
      <c r="C53" s="268" t="s">
        <v>603</v>
      </c>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B9:B11"/>
    <mergeCell ref="D9:M9"/>
    <mergeCell ref="D10:M10"/>
    <mergeCell ref="D11:M11"/>
    <mergeCell ref="B12:B14"/>
    <mergeCell ref="D12:M12"/>
    <mergeCell ref="D13:M13"/>
    <mergeCell ref="D14:M14"/>
    <mergeCell ref="C17:M17"/>
    <mergeCell ref="A1:N1"/>
    <mergeCell ref="A2:N2"/>
    <mergeCell ref="D4:M4"/>
    <mergeCell ref="D5:M5"/>
    <mergeCell ref="D6:M6"/>
  </mergeCells>
  <phoneticPr fontId="45" type="noConversion"/>
  <pageMargins left="0.25" right="0.25" top="0.5" bottom="0.5" header="0.3" footer="0.3"/>
  <pageSetup orientation="landscape" horizontalDpi="1200" verticalDpi="1200" r:id="rId2"/>
  <headerFooter>
    <oddFooter>&amp;CPage &amp;P&amp;R&amp;F</oddFooter>
  </headerFooter>
  <rowBreaks count="1" manualBreakCount="1">
    <brk id="24"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61"/>
  <sheetViews>
    <sheetView showGridLines="0" topLeftCell="A19" zoomScale="115" zoomScaleNormal="115" zoomScaleSheetLayoutView="70" workbookViewId="0">
      <selection activeCell="D7" sqref="D7"/>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96" t="s">
        <v>462</v>
      </c>
      <c r="C1" s="296"/>
      <c r="D1" s="296"/>
      <c r="E1" s="296"/>
      <c r="F1" s="296"/>
      <c r="G1" s="296"/>
      <c r="H1" s="296"/>
      <c r="I1" s="296"/>
      <c r="J1" s="296"/>
      <c r="K1" s="296"/>
      <c r="L1" s="296"/>
      <c r="M1" s="296"/>
      <c r="N1" s="296"/>
      <c r="O1" s="296"/>
      <c r="P1" s="296"/>
    </row>
    <row r="2" spans="1:24" ht="20.25" x14ac:dyDescent="0.3">
      <c r="B2" s="296" t="s">
        <v>47</v>
      </c>
      <c r="C2" s="296"/>
      <c r="D2" s="296"/>
      <c r="E2" s="296"/>
      <c r="F2" s="296"/>
      <c r="G2" s="296"/>
      <c r="H2" s="296"/>
      <c r="I2" s="296"/>
      <c r="J2" s="296"/>
      <c r="K2" s="296"/>
      <c r="L2" s="296"/>
      <c r="M2" s="296"/>
      <c r="N2" s="296"/>
      <c r="O2" s="296"/>
      <c r="P2" s="296"/>
    </row>
    <row r="3" spans="1:24" ht="5.25" customHeight="1" x14ac:dyDescent="0.2">
      <c r="B3" s="4"/>
      <c r="C3" s="5"/>
      <c r="D3" s="5"/>
      <c r="E3" s="5"/>
      <c r="F3" s="5"/>
      <c r="G3" s="5"/>
      <c r="H3" s="5"/>
      <c r="J3" s="5"/>
      <c r="K3" s="5"/>
      <c r="L3" s="5"/>
      <c r="M3" s="5"/>
      <c r="N3" s="5"/>
      <c r="O3" s="5"/>
    </row>
    <row r="4" spans="1:24" s="5" customFormat="1" ht="13.5" thickBot="1" x14ac:dyDescent="0.25">
      <c r="B4" s="18" t="s">
        <v>48</v>
      </c>
      <c r="C4" s="18"/>
      <c r="D4" s="37" t="s">
        <v>536</v>
      </c>
      <c r="E4" s="22"/>
    </row>
    <row r="5" spans="1:24" ht="13.5" thickBot="1" x14ac:dyDescent="0.25">
      <c r="B5" s="18" t="s">
        <v>49</v>
      </c>
      <c r="C5" s="18"/>
      <c r="D5" s="16">
        <v>1</v>
      </c>
      <c r="E5" s="38" t="s">
        <v>121</v>
      </c>
      <c r="F5" s="10" t="s">
        <v>42</v>
      </c>
      <c r="G5" s="321" t="s">
        <v>537</v>
      </c>
      <c r="H5" s="322"/>
      <c r="I5" s="322"/>
      <c r="J5" s="322"/>
      <c r="K5" s="36" t="s">
        <v>148</v>
      </c>
      <c r="L5" s="34" t="str">
        <f>DQI!I7</f>
        <v>2,2,2,2,2</v>
      </c>
      <c r="M5" s="35"/>
      <c r="N5" s="264" t="s">
        <v>184</v>
      </c>
      <c r="O5" s="23"/>
    </row>
    <row r="6" spans="1:24" s="5" customFormat="1" ht="27.75" customHeight="1" x14ac:dyDescent="0.2">
      <c r="B6" s="18" t="s">
        <v>50</v>
      </c>
      <c r="C6" s="18"/>
      <c r="D6" s="323" t="s">
        <v>636</v>
      </c>
      <c r="E6" s="324"/>
      <c r="F6" s="324"/>
      <c r="G6" s="324"/>
      <c r="H6" s="324"/>
      <c r="I6" s="324"/>
      <c r="J6" s="324"/>
      <c r="K6" s="324"/>
      <c r="L6" s="325"/>
      <c r="M6" s="325"/>
      <c r="N6" s="23"/>
      <c r="O6" s="23"/>
    </row>
    <row r="7" spans="1:24" ht="13.5" thickBot="1" x14ac:dyDescent="0.25">
      <c r="B7" s="4"/>
      <c r="C7" s="5"/>
      <c r="D7" s="5"/>
      <c r="E7" s="5"/>
      <c r="F7" s="5"/>
      <c r="G7" s="5"/>
      <c r="H7" s="5"/>
      <c r="J7" s="5"/>
      <c r="K7" s="5"/>
      <c r="L7" s="5"/>
      <c r="M7" s="5"/>
      <c r="N7" s="5"/>
      <c r="O7" s="5"/>
    </row>
    <row r="8" spans="1:24" s="2" customFormat="1" ht="13.5" thickBot="1" x14ac:dyDescent="0.25">
      <c r="A8" s="6"/>
      <c r="B8" s="312" t="s">
        <v>58</v>
      </c>
      <c r="C8" s="313"/>
      <c r="D8" s="313"/>
      <c r="E8" s="313"/>
      <c r="F8" s="313"/>
      <c r="G8" s="313"/>
      <c r="H8" s="313"/>
      <c r="I8" s="313"/>
      <c r="J8" s="313"/>
      <c r="K8" s="313"/>
      <c r="L8" s="313"/>
      <c r="M8" s="313"/>
      <c r="N8" s="313"/>
      <c r="O8" s="313"/>
      <c r="P8" s="313"/>
      <c r="Q8" s="314"/>
      <c r="R8" s="6"/>
      <c r="S8" s="6"/>
      <c r="T8" s="6"/>
      <c r="U8" s="6"/>
      <c r="V8" s="6"/>
      <c r="W8" s="6"/>
      <c r="X8" s="6"/>
    </row>
    <row r="9" spans="1:24" x14ac:dyDescent="0.2">
      <c r="B9" s="4"/>
      <c r="C9" s="5"/>
      <c r="D9" s="5"/>
      <c r="E9" s="5"/>
      <c r="F9" s="5"/>
      <c r="G9" s="5"/>
      <c r="H9" s="5"/>
      <c r="J9" s="5"/>
      <c r="K9" s="5"/>
      <c r="L9" s="5"/>
      <c r="M9" s="5"/>
      <c r="N9" s="5"/>
      <c r="O9" s="5"/>
    </row>
    <row r="10" spans="1:24" x14ac:dyDescent="0.2">
      <c r="B10" s="306" t="s">
        <v>51</v>
      </c>
      <c r="C10" s="306"/>
      <c r="D10" s="317" t="s">
        <v>327</v>
      </c>
      <c r="E10" s="318"/>
      <c r="F10" s="5"/>
      <c r="G10" s="5"/>
      <c r="H10" s="5"/>
      <c r="J10" s="5"/>
      <c r="K10" s="5"/>
      <c r="L10" s="5"/>
      <c r="M10" s="5"/>
      <c r="N10" s="5"/>
      <c r="O10" s="5"/>
    </row>
    <row r="11" spans="1:24" x14ac:dyDescent="0.2">
      <c r="B11" s="319" t="s">
        <v>109</v>
      </c>
      <c r="C11" s="320"/>
      <c r="D11" s="317" t="s">
        <v>555</v>
      </c>
      <c r="E11" s="318"/>
      <c r="F11" s="5"/>
      <c r="G11" s="5"/>
      <c r="H11" s="5"/>
      <c r="J11" s="5"/>
      <c r="K11" s="5"/>
      <c r="L11" s="5"/>
      <c r="M11" s="5"/>
      <c r="N11" s="5"/>
      <c r="O11" s="5"/>
    </row>
    <row r="12" spans="1:24" x14ac:dyDescent="0.2">
      <c r="B12" s="306" t="s">
        <v>52</v>
      </c>
      <c r="C12" s="306"/>
      <c r="D12" s="307">
        <v>2011</v>
      </c>
      <c r="E12" s="307"/>
      <c r="F12" s="5"/>
      <c r="G12" s="5"/>
      <c r="H12" s="5"/>
      <c r="J12" s="5"/>
      <c r="K12" s="5"/>
      <c r="L12" s="5"/>
      <c r="M12" s="5"/>
      <c r="N12" s="5"/>
      <c r="O12" s="5"/>
    </row>
    <row r="13" spans="1:24" x14ac:dyDescent="0.2">
      <c r="B13" s="306" t="s">
        <v>53</v>
      </c>
      <c r="C13" s="306"/>
      <c r="D13" s="307" t="s">
        <v>117</v>
      </c>
      <c r="E13" s="307"/>
      <c r="F13" s="5"/>
      <c r="G13" s="5"/>
      <c r="H13" s="5"/>
      <c r="J13" s="5"/>
      <c r="K13" s="5"/>
      <c r="L13" s="5"/>
      <c r="M13" s="5"/>
      <c r="N13" s="5"/>
      <c r="O13" s="5"/>
    </row>
    <row r="14" spans="1:24" x14ac:dyDescent="0.2">
      <c r="B14" s="306" t="s">
        <v>54</v>
      </c>
      <c r="C14" s="306"/>
      <c r="D14" s="316" t="s">
        <v>80</v>
      </c>
      <c r="E14" s="316"/>
      <c r="F14" s="5"/>
      <c r="G14" s="5"/>
      <c r="H14" s="5"/>
      <c r="J14" s="5"/>
      <c r="K14" s="5"/>
      <c r="L14" s="5"/>
      <c r="M14" s="5"/>
      <c r="N14" s="5"/>
      <c r="O14" s="5"/>
    </row>
    <row r="15" spans="1:24" x14ac:dyDescent="0.2">
      <c r="B15" s="306" t="s">
        <v>55</v>
      </c>
      <c r="C15" s="306"/>
      <c r="D15" s="307" t="s">
        <v>328</v>
      </c>
      <c r="E15" s="307"/>
      <c r="F15" s="5"/>
      <c r="G15" s="5"/>
      <c r="H15" s="5"/>
      <c r="J15" s="5"/>
      <c r="K15" s="5"/>
      <c r="L15" s="5"/>
      <c r="M15" s="5"/>
      <c r="N15" s="5"/>
      <c r="O15" s="5"/>
    </row>
    <row r="16" spans="1:24" x14ac:dyDescent="0.2">
      <c r="B16" s="306" t="s">
        <v>56</v>
      </c>
      <c r="C16" s="306"/>
      <c r="D16" s="307" t="s">
        <v>82</v>
      </c>
      <c r="E16" s="307"/>
      <c r="F16" s="5"/>
      <c r="G16" s="5"/>
      <c r="H16" s="5"/>
      <c r="J16" s="5"/>
      <c r="K16" s="5"/>
      <c r="L16" s="5"/>
      <c r="M16" s="5"/>
      <c r="N16" s="5"/>
      <c r="O16" s="5"/>
    </row>
    <row r="17" spans="1:25" ht="18" customHeight="1" x14ac:dyDescent="0.2">
      <c r="B17" s="308" t="s">
        <v>57</v>
      </c>
      <c r="C17" s="309"/>
      <c r="D17" s="310"/>
      <c r="E17" s="310"/>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312" t="s">
        <v>59</v>
      </c>
      <c r="C20" s="313"/>
      <c r="D20" s="313"/>
      <c r="E20" s="313"/>
      <c r="F20" s="313"/>
      <c r="G20" s="313"/>
      <c r="H20" s="313"/>
      <c r="I20" s="313"/>
      <c r="J20" s="313"/>
      <c r="K20" s="313"/>
      <c r="L20" s="313"/>
      <c r="M20" s="313"/>
      <c r="N20" s="313"/>
      <c r="O20" s="313"/>
      <c r="P20" s="313"/>
      <c r="Q20" s="314"/>
      <c r="R20" s="6"/>
      <c r="S20" s="6"/>
      <c r="T20" s="6"/>
      <c r="U20" s="6"/>
      <c r="V20" s="6"/>
      <c r="W20" s="6"/>
      <c r="X20" s="6"/>
    </row>
    <row r="21" spans="1:25" x14ac:dyDescent="0.2">
      <c r="B21" s="4"/>
      <c r="C21" s="5"/>
      <c r="D21" s="5"/>
      <c r="E21" s="5"/>
      <c r="F21" s="5"/>
      <c r="G21" s="48" t="s">
        <v>186</v>
      </c>
      <c r="H21" s="5"/>
      <c r="J21" s="5"/>
      <c r="K21" s="5"/>
      <c r="L21" s="5"/>
      <c r="M21" s="5"/>
      <c r="N21" s="5"/>
      <c r="O21" s="5"/>
    </row>
    <row r="22" spans="1:25" x14ac:dyDescent="0.2">
      <c r="B22" s="4"/>
      <c r="C22" s="3" t="s">
        <v>62</v>
      </c>
      <c r="D22" s="3" t="s">
        <v>63</v>
      </c>
      <c r="E22" s="3" t="s">
        <v>64</v>
      </c>
      <c r="F22" s="3" t="s">
        <v>502</v>
      </c>
      <c r="G22" s="3" t="s">
        <v>503</v>
      </c>
      <c r="H22" s="3" t="s">
        <v>71</v>
      </c>
      <c r="I22" s="18" t="s">
        <v>38</v>
      </c>
      <c r="J22" s="315" t="s">
        <v>40</v>
      </c>
      <c r="K22" s="315"/>
      <c r="L22" s="315"/>
      <c r="M22" s="315"/>
      <c r="N22" s="315"/>
      <c r="O22" s="315"/>
      <c r="P22" s="315"/>
      <c r="Q22" s="315"/>
      <c r="Y22" s="5"/>
    </row>
    <row r="23" spans="1:25" s="21" customFormat="1" x14ac:dyDescent="0.2">
      <c r="A23" s="5"/>
      <c r="B23" s="4"/>
      <c r="C23" s="103" t="s">
        <v>533</v>
      </c>
      <c r="D23" s="51"/>
      <c r="E23" s="192">
        <f>Yield_SRWC!B4</f>
        <v>6350.2931800000006</v>
      </c>
      <c r="F23" s="103"/>
      <c r="G23" s="51"/>
      <c r="H23" s="103" t="s">
        <v>267</v>
      </c>
      <c r="I23" s="273" t="s">
        <v>573</v>
      </c>
      <c r="J23" s="311" t="s">
        <v>452</v>
      </c>
      <c r="K23" s="311"/>
      <c r="L23" s="311"/>
      <c r="M23" s="311"/>
      <c r="N23" s="311"/>
      <c r="O23" s="311"/>
      <c r="P23" s="311"/>
      <c r="Q23" s="311"/>
      <c r="R23" s="5"/>
      <c r="S23" s="5"/>
      <c r="T23" s="5"/>
      <c r="U23" s="5"/>
      <c r="V23" s="5"/>
      <c r="W23" s="5"/>
      <c r="X23" s="5"/>
      <c r="Y23" s="5"/>
    </row>
    <row r="24" spans="1:25" s="21" customFormat="1" x14ac:dyDescent="0.2">
      <c r="A24" s="5"/>
      <c r="B24" s="4"/>
      <c r="C24" s="103" t="s">
        <v>532</v>
      </c>
      <c r="D24" s="51"/>
      <c r="E24" s="191">
        <v>0.05</v>
      </c>
      <c r="F24" s="103">
        <v>0.02</v>
      </c>
      <c r="G24" s="51">
        <v>0.2</v>
      </c>
      <c r="H24" s="103" t="s">
        <v>527</v>
      </c>
      <c r="I24" s="274"/>
      <c r="J24" s="311" t="s">
        <v>2</v>
      </c>
      <c r="K24" s="311"/>
      <c r="L24" s="311"/>
      <c r="M24" s="311"/>
      <c r="N24" s="311"/>
      <c r="O24" s="311"/>
      <c r="P24" s="311"/>
      <c r="Q24" s="311"/>
      <c r="R24" s="5"/>
      <c r="S24" s="5"/>
      <c r="T24" s="5"/>
      <c r="U24" s="5"/>
      <c r="V24" s="5"/>
      <c r="W24" s="5"/>
      <c r="X24" s="5"/>
      <c r="Y24" s="5"/>
    </row>
    <row r="25" spans="1:25" s="21" customFormat="1" x14ac:dyDescent="0.2">
      <c r="A25" s="5"/>
      <c r="B25" s="4"/>
      <c r="C25" s="103" t="s">
        <v>268</v>
      </c>
      <c r="D25" s="191" t="str">
        <f>CONCATENATE(C23,"*(1-",C24,")")</f>
        <v>Biomass_yield_r*(1-LossRate)</v>
      </c>
      <c r="E25" s="191">
        <f>E23*(1-E24)</f>
        <v>6032.7785210000002</v>
      </c>
      <c r="F25" s="103"/>
      <c r="G25" s="51"/>
      <c r="H25" s="103" t="s">
        <v>267</v>
      </c>
      <c r="I25" s="274"/>
      <c r="J25" s="311" t="s">
        <v>1</v>
      </c>
      <c r="K25" s="311"/>
      <c r="L25" s="311"/>
      <c r="M25" s="311"/>
      <c r="N25" s="311"/>
      <c r="O25" s="311"/>
      <c r="P25" s="311"/>
      <c r="Q25" s="311"/>
      <c r="R25" s="5"/>
      <c r="S25" s="5"/>
      <c r="T25" s="5"/>
      <c r="U25" s="5"/>
      <c r="V25" s="5"/>
      <c r="W25" s="5"/>
      <c r="X25" s="5"/>
      <c r="Y25" s="5"/>
    </row>
    <row r="26" spans="1:25" s="21" customFormat="1" x14ac:dyDescent="0.2">
      <c r="A26" s="5"/>
      <c r="B26" s="4"/>
      <c r="C26" s="103" t="s">
        <v>329</v>
      </c>
      <c r="D26" s="51" t="s">
        <v>330</v>
      </c>
      <c r="E26" s="192">
        <f>E25*30</f>
        <v>180983.35563000001</v>
      </c>
      <c r="F26" s="103"/>
      <c r="G26" s="51"/>
      <c r="H26" s="103" t="s">
        <v>331</v>
      </c>
      <c r="I26" s="274"/>
      <c r="J26" s="326" t="s">
        <v>441</v>
      </c>
      <c r="K26" s="326"/>
      <c r="L26" s="326"/>
      <c r="M26" s="326"/>
      <c r="N26" s="326"/>
      <c r="O26" s="326"/>
      <c r="P26" s="326"/>
      <c r="Q26" s="326"/>
      <c r="R26" s="5"/>
      <c r="S26" s="5"/>
      <c r="T26" s="5"/>
      <c r="U26" s="5"/>
      <c r="V26" s="5"/>
      <c r="W26" s="5"/>
      <c r="X26" s="5"/>
      <c r="Y26" s="5"/>
    </row>
    <row r="27" spans="1:25" s="21" customFormat="1" x14ac:dyDescent="0.2">
      <c r="A27" s="5"/>
      <c r="B27" s="4"/>
      <c r="C27" s="103" t="s">
        <v>526</v>
      </c>
      <c r="D27" s="51"/>
      <c r="E27" s="192">
        <v>0</v>
      </c>
      <c r="F27" s="103"/>
      <c r="G27" s="51"/>
      <c r="H27" s="103" t="s">
        <v>527</v>
      </c>
      <c r="I27" s="274"/>
      <c r="J27" s="311" t="s">
        <v>0</v>
      </c>
      <c r="K27" s="311"/>
      <c r="L27" s="311"/>
      <c r="M27" s="311"/>
      <c r="N27" s="311"/>
      <c r="O27" s="311"/>
      <c r="P27" s="311"/>
      <c r="Q27" s="311"/>
      <c r="R27" s="5"/>
      <c r="S27" s="5"/>
      <c r="T27" s="5"/>
      <c r="U27" s="5"/>
      <c r="V27" s="5"/>
      <c r="W27" s="5"/>
      <c r="X27" s="5"/>
      <c r="Y27" s="5"/>
    </row>
    <row r="28" spans="1:25" s="21" customFormat="1" x14ac:dyDescent="0.2">
      <c r="A28" s="5"/>
      <c r="B28" s="4"/>
      <c r="C28" s="103" t="s">
        <v>534</v>
      </c>
      <c r="D28" s="51"/>
      <c r="E28" s="191">
        <v>0.01</v>
      </c>
      <c r="F28" s="103">
        <f>E28*0.8</f>
        <v>8.0000000000000002E-3</v>
      </c>
      <c r="G28" s="51">
        <f>E28*1.2</f>
        <v>1.2E-2</v>
      </c>
      <c r="H28" s="103" t="s">
        <v>527</v>
      </c>
      <c r="I28" s="274"/>
      <c r="J28" s="311" t="s">
        <v>535</v>
      </c>
      <c r="K28" s="311"/>
      <c r="L28" s="311"/>
      <c r="M28" s="311"/>
      <c r="N28" s="311"/>
      <c r="O28" s="311"/>
      <c r="P28" s="311"/>
      <c r="Q28" s="311"/>
      <c r="R28" s="5"/>
      <c r="S28" s="5"/>
      <c r="T28" s="5"/>
      <c r="U28" s="5"/>
      <c r="V28" s="5"/>
      <c r="W28" s="5"/>
      <c r="X28" s="5"/>
      <c r="Y28" s="5"/>
    </row>
    <row r="29" spans="1:25" s="21" customFormat="1" x14ac:dyDescent="0.2">
      <c r="A29" s="5"/>
      <c r="B29" s="4"/>
      <c r="C29" s="103" t="s">
        <v>528</v>
      </c>
      <c r="D29" s="51"/>
      <c r="E29" s="193">
        <f>Calculations_SRWC!H19</f>
        <v>2.3089409719630762E-3</v>
      </c>
      <c r="F29" s="103"/>
      <c r="G29" s="51"/>
      <c r="H29" s="103" t="s">
        <v>234</v>
      </c>
      <c r="I29" s="273"/>
      <c r="J29" s="311" t="s">
        <v>530</v>
      </c>
      <c r="K29" s="311"/>
      <c r="L29" s="311"/>
      <c r="M29" s="311"/>
      <c r="N29" s="311"/>
      <c r="O29" s="311"/>
      <c r="P29" s="311"/>
      <c r="Q29" s="311"/>
      <c r="R29" s="5"/>
      <c r="S29" s="5"/>
      <c r="T29" s="5"/>
      <c r="U29" s="5"/>
      <c r="V29" s="5"/>
      <c r="W29" s="5"/>
      <c r="X29" s="5"/>
      <c r="Y29" s="5"/>
    </row>
    <row r="30" spans="1:25" s="21" customFormat="1" x14ac:dyDescent="0.2">
      <c r="A30" s="5"/>
      <c r="B30" s="4"/>
      <c r="C30" s="103" t="s">
        <v>529</v>
      </c>
      <c r="D30" s="51"/>
      <c r="E30" s="193">
        <f>Calculations_SRWC!H20</f>
        <v>2.7380399343765547E-3</v>
      </c>
      <c r="F30" s="103"/>
      <c r="G30" s="51"/>
      <c r="H30" s="103" t="s">
        <v>234</v>
      </c>
      <c r="I30" s="273"/>
      <c r="J30" s="311" t="s">
        <v>531</v>
      </c>
      <c r="K30" s="311"/>
      <c r="L30" s="311"/>
      <c r="M30" s="311"/>
      <c r="N30" s="311"/>
      <c r="O30" s="311"/>
      <c r="P30" s="311"/>
      <c r="Q30" s="311"/>
      <c r="R30" s="5"/>
      <c r="S30" s="5"/>
      <c r="T30" s="5"/>
      <c r="U30" s="5"/>
      <c r="V30" s="5"/>
      <c r="W30" s="5"/>
      <c r="X30" s="5"/>
      <c r="Y30" s="5"/>
    </row>
    <row r="31" spans="1:25" s="21" customFormat="1" ht="25.5" x14ac:dyDescent="0.2">
      <c r="A31" s="5"/>
      <c r="B31" s="4"/>
      <c r="C31" s="103" t="s">
        <v>233</v>
      </c>
      <c r="D31" s="227" t="str">
        <f>CONCATENATE("if(",C27,"=0;",C29,"*(1+",C28,");",C30,"*(1+",C28,"))")</f>
        <v>if(ChipType=0;Diesel_conv*(1+Loss_Storage);Diesel_micro*(1+Loss_Storage))</v>
      </c>
      <c r="E31" s="193">
        <f>IF(E27=0,E29*(1+E28),IF(E27=1,E30*(1+E28),"ERROR"))</f>
        <v>2.3320303816827068E-3</v>
      </c>
      <c r="F31" s="103"/>
      <c r="G31" s="51"/>
      <c r="H31" s="103" t="s">
        <v>234</v>
      </c>
      <c r="I31" s="273"/>
      <c r="J31" s="326" t="s">
        <v>425</v>
      </c>
      <c r="K31" s="326"/>
      <c r="L31" s="326"/>
      <c r="M31" s="326"/>
      <c r="N31" s="326"/>
      <c r="O31" s="326"/>
      <c r="P31" s="326"/>
      <c r="Q31" s="326"/>
      <c r="R31" s="5"/>
      <c r="S31" s="5"/>
      <c r="T31" s="5"/>
      <c r="U31" s="5"/>
      <c r="V31" s="5"/>
      <c r="W31" s="5"/>
      <c r="X31" s="5"/>
      <c r="Y31" s="5"/>
    </row>
    <row r="32" spans="1:25" s="21" customFormat="1" x14ac:dyDescent="0.2">
      <c r="A32" s="5"/>
      <c r="B32" s="4"/>
      <c r="C32" s="103" t="s">
        <v>235</v>
      </c>
      <c r="D32" s="51"/>
      <c r="E32" s="193">
        <f>Conversions!D23</f>
        <v>0.84314188391622547</v>
      </c>
      <c r="F32" s="103"/>
      <c r="G32" s="51"/>
      <c r="H32" s="103" t="s">
        <v>236</v>
      </c>
      <c r="I32" s="274"/>
      <c r="J32" s="326" t="s">
        <v>426</v>
      </c>
      <c r="K32" s="326"/>
      <c r="L32" s="326"/>
      <c r="M32" s="326"/>
      <c r="N32" s="326"/>
      <c r="O32" s="326"/>
      <c r="P32" s="326"/>
      <c r="Q32" s="326"/>
      <c r="R32" s="5"/>
      <c r="S32" s="5"/>
      <c r="T32" s="5"/>
      <c r="U32" s="5"/>
      <c r="V32" s="5"/>
      <c r="W32" s="5"/>
      <c r="X32" s="5"/>
      <c r="Y32" s="5"/>
    </row>
    <row r="33" spans="1:25" s="21" customFormat="1" x14ac:dyDescent="0.2">
      <c r="A33" s="5"/>
      <c r="B33" s="4"/>
      <c r="C33" s="103" t="s">
        <v>237</v>
      </c>
      <c r="D33" s="51" t="s">
        <v>238</v>
      </c>
      <c r="E33" s="193">
        <f>E32*E31</f>
        <v>1.9662324893618319E-3</v>
      </c>
      <c r="F33" s="103"/>
      <c r="G33" s="51"/>
      <c r="H33" s="103" t="s">
        <v>239</v>
      </c>
      <c r="I33" s="271"/>
      <c r="J33" s="326" t="s">
        <v>427</v>
      </c>
      <c r="K33" s="326"/>
      <c r="L33" s="326"/>
      <c r="M33" s="326"/>
      <c r="N33" s="326"/>
      <c r="O33" s="326"/>
      <c r="P33" s="326"/>
      <c r="Q33" s="326"/>
      <c r="R33" s="5"/>
      <c r="S33" s="5"/>
      <c r="T33" s="5"/>
      <c r="U33" s="5"/>
      <c r="V33" s="5"/>
      <c r="W33" s="5"/>
      <c r="X33" s="5"/>
      <c r="Y33" s="5"/>
    </row>
    <row r="34" spans="1:25" s="21" customFormat="1" x14ac:dyDescent="0.2">
      <c r="A34" s="5"/>
      <c r="B34" s="4"/>
      <c r="C34" s="103" t="s">
        <v>635</v>
      </c>
      <c r="D34" s="103"/>
      <c r="E34" s="191">
        <f>Calculations_SRWC!F56</f>
        <v>1.4235826089286683</v>
      </c>
      <c r="F34" s="103"/>
      <c r="G34" s="51"/>
      <c r="H34" s="103" t="s">
        <v>267</v>
      </c>
      <c r="I34" s="274">
        <v>11</v>
      </c>
      <c r="J34" s="311" t="s">
        <v>627</v>
      </c>
      <c r="K34" s="311"/>
      <c r="L34" s="311"/>
      <c r="M34" s="311"/>
      <c r="N34" s="311"/>
      <c r="O34" s="311"/>
      <c r="P34" s="311"/>
      <c r="Q34" s="311"/>
      <c r="R34" s="5"/>
      <c r="S34" s="5"/>
      <c r="T34" s="5"/>
      <c r="U34" s="5"/>
      <c r="V34" s="5"/>
      <c r="W34" s="5"/>
      <c r="X34" s="5"/>
      <c r="Y34" s="5"/>
    </row>
    <row r="35" spans="1:25" s="21" customFormat="1" x14ac:dyDescent="0.2">
      <c r="A35" s="5"/>
      <c r="B35" s="4"/>
      <c r="C35" s="103" t="s">
        <v>606</v>
      </c>
      <c r="D35" s="227" t="str">
        <f>CONCATENATE("(",C34,")/(",C23,")")</f>
        <v>(EF_PM10fd)/(Biomass_yield_r)</v>
      </c>
      <c r="E35" s="193">
        <f>(E34)/(E25)</f>
        <v>2.359746183244091E-4</v>
      </c>
      <c r="F35" s="103"/>
      <c r="G35" s="51"/>
      <c r="H35" s="103" t="s">
        <v>240</v>
      </c>
      <c r="I35" s="274"/>
      <c r="J35" s="311" t="s">
        <v>598</v>
      </c>
      <c r="K35" s="311"/>
      <c r="L35" s="311"/>
      <c r="M35" s="311"/>
      <c r="N35" s="311"/>
      <c r="O35" s="311"/>
      <c r="P35" s="311"/>
      <c r="Q35" s="311"/>
      <c r="R35" s="5"/>
      <c r="S35" s="5"/>
      <c r="T35" s="5"/>
      <c r="U35" s="5"/>
      <c r="V35" s="5"/>
      <c r="W35" s="5"/>
      <c r="X35" s="5"/>
      <c r="Y35" s="5"/>
    </row>
    <row r="36" spans="1:25" s="21" customFormat="1" x14ac:dyDescent="0.2">
      <c r="A36" s="5"/>
      <c r="B36" s="4"/>
      <c r="C36" s="103" t="s">
        <v>607</v>
      </c>
      <c r="D36" s="51"/>
      <c r="E36" s="277">
        <v>0.15</v>
      </c>
      <c r="F36" s="51"/>
      <c r="G36" s="51"/>
      <c r="H36" s="103" t="s">
        <v>608</v>
      </c>
      <c r="I36" s="278">
        <v>11</v>
      </c>
      <c r="J36" s="311" t="s">
        <v>613</v>
      </c>
      <c r="K36" s="311"/>
      <c r="L36" s="311"/>
      <c r="M36" s="311"/>
      <c r="N36" s="311"/>
      <c r="O36" s="311"/>
      <c r="P36" s="311"/>
      <c r="Q36" s="311"/>
      <c r="R36" s="5"/>
      <c r="S36" s="5"/>
      <c r="T36" s="5"/>
      <c r="U36" s="5"/>
      <c r="V36" s="5"/>
      <c r="W36" s="5"/>
      <c r="X36" s="5"/>
      <c r="Y36" s="5"/>
    </row>
    <row r="37" spans="1:25" s="21" customFormat="1" x14ac:dyDescent="0.2">
      <c r="A37" s="5"/>
      <c r="B37" s="4"/>
      <c r="C37" s="103" t="s">
        <v>609</v>
      </c>
      <c r="D37" s="51" t="str">
        <f>C35&amp;"*"&amp;C36</f>
        <v>E_PM10fd*PM25_PM10</v>
      </c>
      <c r="E37" s="277">
        <f>E35*E36</f>
        <v>3.5396192748661363E-5</v>
      </c>
      <c r="F37" s="51"/>
      <c r="G37" s="51"/>
      <c r="H37" s="103" t="s">
        <v>240</v>
      </c>
      <c r="I37" s="278">
        <v>11</v>
      </c>
      <c r="J37" s="311" t="s">
        <v>610</v>
      </c>
      <c r="K37" s="311"/>
      <c r="L37" s="311"/>
      <c r="M37" s="311"/>
      <c r="N37" s="311"/>
      <c r="O37" s="311"/>
      <c r="P37" s="311"/>
      <c r="Q37" s="311"/>
      <c r="R37" s="5"/>
      <c r="S37" s="5"/>
      <c r="T37" s="5"/>
      <c r="U37" s="5"/>
      <c r="V37" s="5"/>
      <c r="W37" s="5"/>
      <c r="X37" s="5"/>
      <c r="Y37" s="5"/>
    </row>
    <row r="38" spans="1:25" x14ac:dyDescent="0.2">
      <c r="B38" s="4"/>
      <c r="C38" s="9" t="s">
        <v>39</v>
      </c>
      <c r="D38" s="8" t="s">
        <v>43</v>
      </c>
      <c r="E38" s="8"/>
      <c r="F38" s="8"/>
      <c r="G38" s="8"/>
      <c r="H38" s="8"/>
      <c r="I38" s="19"/>
      <c r="J38" s="327"/>
      <c r="K38" s="327"/>
      <c r="L38" s="327"/>
      <c r="M38" s="327"/>
      <c r="N38" s="327"/>
      <c r="O38" s="327"/>
      <c r="P38" s="327"/>
      <c r="Q38" s="327"/>
      <c r="Y38" s="5"/>
    </row>
    <row r="39" spans="1:25" ht="13.5" thickBot="1" x14ac:dyDescent="0.25">
      <c r="B39" s="4"/>
      <c r="C39" s="5"/>
      <c r="D39" s="5"/>
      <c r="E39" s="5"/>
      <c r="F39" s="5"/>
      <c r="G39" s="5"/>
      <c r="H39" s="5"/>
      <c r="J39" s="5"/>
      <c r="K39" s="5"/>
      <c r="L39" s="5"/>
      <c r="M39" s="5"/>
      <c r="N39" s="5"/>
      <c r="O39" s="5"/>
    </row>
    <row r="40" spans="1:25" s="2" customFormat="1" ht="13.5" thickBot="1" x14ac:dyDescent="0.25">
      <c r="A40" s="6"/>
      <c r="B40" s="312" t="s">
        <v>60</v>
      </c>
      <c r="C40" s="313"/>
      <c r="D40" s="313"/>
      <c r="E40" s="313"/>
      <c r="F40" s="313"/>
      <c r="G40" s="313"/>
      <c r="H40" s="313"/>
      <c r="I40" s="313"/>
      <c r="J40" s="313"/>
      <c r="K40" s="313"/>
      <c r="L40" s="313"/>
      <c r="M40" s="313"/>
      <c r="N40" s="313"/>
      <c r="O40" s="313"/>
      <c r="P40" s="313"/>
      <c r="Q40" s="314"/>
      <c r="R40" s="6"/>
      <c r="S40" s="6"/>
      <c r="T40" s="6"/>
      <c r="U40" s="6"/>
      <c r="V40" s="6"/>
      <c r="W40" s="6"/>
      <c r="X40" s="6"/>
    </row>
    <row r="41" spans="1:25" x14ac:dyDescent="0.2">
      <c r="B41" s="4"/>
      <c r="C41" s="5"/>
      <c r="D41" s="5"/>
      <c r="E41" s="5"/>
      <c r="F41" s="5"/>
      <c r="G41" s="5"/>
      <c r="H41" s="48" t="s">
        <v>187</v>
      </c>
      <c r="J41" s="5"/>
      <c r="K41" s="5"/>
      <c r="L41" s="5"/>
      <c r="M41" s="5"/>
      <c r="N41" s="5"/>
      <c r="O41" s="5"/>
    </row>
    <row r="42" spans="1:25" x14ac:dyDescent="0.2">
      <c r="B42" s="4"/>
      <c r="C42" s="3" t="s">
        <v>65</v>
      </c>
      <c r="D42" s="3" t="s">
        <v>70</v>
      </c>
      <c r="E42" s="3" t="s">
        <v>64</v>
      </c>
      <c r="F42" s="3" t="s">
        <v>71</v>
      </c>
      <c r="G42" s="3" t="s">
        <v>65</v>
      </c>
      <c r="H42" s="3" t="s">
        <v>67</v>
      </c>
      <c r="I42" s="3" t="s">
        <v>45</v>
      </c>
      <c r="J42" s="3" t="s">
        <v>44</v>
      </c>
      <c r="K42" s="3" t="s">
        <v>68</v>
      </c>
      <c r="L42" s="3" t="s">
        <v>69</v>
      </c>
      <c r="M42" s="3" t="s">
        <v>38</v>
      </c>
      <c r="N42" s="263" t="s">
        <v>148</v>
      </c>
      <c r="O42" s="315" t="s">
        <v>40</v>
      </c>
      <c r="P42" s="315"/>
      <c r="Q42" s="315"/>
    </row>
    <row r="43" spans="1:25" s="55" customFormat="1" ht="25.5" customHeight="1" x14ac:dyDescent="0.2">
      <c r="A43" s="49"/>
      <c r="B43" s="50"/>
      <c r="C43" s="51"/>
      <c r="D43" s="103" t="s">
        <v>423</v>
      </c>
      <c r="E43" s="184">
        <v>1</v>
      </c>
      <c r="F43" s="273" t="s">
        <v>121</v>
      </c>
      <c r="G43" s="53">
        <f>IF($C43="",1,VLOOKUP($C43,$C$22:$I$38,3,FALSE))</f>
        <v>1</v>
      </c>
      <c r="H43" s="53" t="str">
        <f>IF($C43="","",VLOOKUP($C43,$C$22:$I$38,6,FALSE))</f>
        <v/>
      </c>
      <c r="I43" s="104">
        <f>IF(D43="","",E43*G43*$D$5)</f>
        <v>1</v>
      </c>
      <c r="J43" s="274" t="s">
        <v>121</v>
      </c>
      <c r="K43" s="159" t="s">
        <v>112</v>
      </c>
      <c r="L43" s="103" t="s">
        <v>85</v>
      </c>
      <c r="M43" s="54"/>
      <c r="N43" s="269" t="s">
        <v>601</v>
      </c>
      <c r="O43" s="332" t="s">
        <v>424</v>
      </c>
      <c r="P43" s="332"/>
      <c r="Q43" s="332"/>
      <c r="R43" s="49"/>
      <c r="S43" s="49"/>
      <c r="T43" s="49"/>
      <c r="U43" s="49"/>
      <c r="V43" s="49"/>
      <c r="W43" s="49"/>
      <c r="X43" s="49"/>
    </row>
    <row r="44" spans="1:25" s="55" customFormat="1" ht="25.5" customHeight="1" x14ac:dyDescent="0.2">
      <c r="A44" s="49"/>
      <c r="B44" s="50"/>
      <c r="C44" s="103"/>
      <c r="D44" s="103" t="s">
        <v>422</v>
      </c>
      <c r="E44" s="184">
        <v>1</v>
      </c>
      <c r="F44" s="273" t="s">
        <v>121</v>
      </c>
      <c r="G44" s="104">
        <f>IF($C44="",1,VLOOKUP($C44,$C$22:$I$38,3,FALSE))</f>
        <v>1</v>
      </c>
      <c r="H44" s="53" t="str">
        <f>IF($C44="","",VLOOKUP($C44,$C$22:$I$38,6,FALSE))</f>
        <v/>
      </c>
      <c r="I44" s="104">
        <f>IF(D44="","",E44*G44*$D$5)</f>
        <v>1</v>
      </c>
      <c r="J44" s="273" t="s">
        <v>121</v>
      </c>
      <c r="K44" s="117"/>
      <c r="L44" s="103" t="s">
        <v>85</v>
      </c>
      <c r="M44" s="54"/>
      <c r="N44" s="269" t="s">
        <v>600</v>
      </c>
      <c r="O44" s="332" t="s">
        <v>442</v>
      </c>
      <c r="P44" s="332"/>
      <c r="Q44" s="332"/>
      <c r="R44" s="49"/>
      <c r="S44" s="49"/>
      <c r="T44" s="49"/>
      <c r="U44" s="49"/>
      <c r="V44" s="49"/>
      <c r="W44" s="49"/>
      <c r="X44" s="49"/>
    </row>
    <row r="45" spans="1:25" s="55" customFormat="1" ht="25.5" customHeight="1" x14ac:dyDescent="0.2">
      <c r="A45" s="49"/>
      <c r="B45" s="50"/>
      <c r="C45" s="103"/>
      <c r="D45" s="280" t="s">
        <v>618</v>
      </c>
      <c r="E45" s="184">
        <v>1</v>
      </c>
      <c r="F45" s="103" t="s">
        <v>619</v>
      </c>
      <c r="G45" s="158">
        <f>IF($C45="",1,VLOOKUP($C45,$C$22:$I$64,3,FALSE))</f>
        <v>1</v>
      </c>
      <c r="H45" s="53" t="str">
        <f>IF($C45="","",VLOOKUP($C45,$C$22:$I$38,6,FALSE))</f>
        <v/>
      </c>
      <c r="I45" s="158">
        <v>1</v>
      </c>
      <c r="J45" s="103" t="s">
        <v>620</v>
      </c>
      <c r="K45" s="117" t="s">
        <v>112</v>
      </c>
      <c r="L45" s="103" t="s">
        <v>87</v>
      </c>
      <c r="M45" s="273"/>
      <c r="N45" s="270" t="s">
        <v>601</v>
      </c>
      <c r="O45" s="334" t="s">
        <v>621</v>
      </c>
      <c r="P45" s="333"/>
      <c r="Q45" s="333"/>
      <c r="R45" s="49"/>
      <c r="S45" s="49"/>
      <c r="T45" s="49"/>
      <c r="U45" s="49"/>
      <c r="V45" s="49"/>
      <c r="W45" s="49"/>
      <c r="X45" s="49"/>
    </row>
    <row r="46" spans="1:25" ht="25.5" customHeight="1" x14ac:dyDescent="0.2">
      <c r="B46" s="4"/>
      <c r="C46" s="56" t="s">
        <v>237</v>
      </c>
      <c r="D46" s="56" t="s">
        <v>592</v>
      </c>
      <c r="E46" s="52">
        <v>1</v>
      </c>
      <c r="F46" s="275" t="s">
        <v>121</v>
      </c>
      <c r="G46" s="158">
        <f>IF($C46="",1,VLOOKUP($C46,$C$22:$I$38,3,FALSE))</f>
        <v>1.9662324893618319E-3</v>
      </c>
      <c r="H46" s="53" t="str">
        <f>IF($C46="","",VLOOKUP($C46,$C$22:$I$38,6,FALSE))</f>
        <v>kg diesel/kg biomass</v>
      </c>
      <c r="I46" s="104">
        <f>IF(D46="","",E46*G46*$D$5)</f>
        <v>1.9662324893618319E-3</v>
      </c>
      <c r="J46" s="274" t="s">
        <v>121</v>
      </c>
      <c r="K46" s="57" t="s">
        <v>112</v>
      </c>
      <c r="L46" s="103" t="s">
        <v>87</v>
      </c>
      <c r="M46" s="272" t="s">
        <v>597</v>
      </c>
      <c r="N46" s="270" t="s">
        <v>601</v>
      </c>
      <c r="O46" s="333" t="s">
        <v>594</v>
      </c>
      <c r="P46" s="333"/>
      <c r="Q46" s="333"/>
    </row>
    <row r="47" spans="1:25" x14ac:dyDescent="0.2">
      <c r="B47" s="4"/>
      <c r="C47" s="12" t="s">
        <v>39</v>
      </c>
      <c r="D47" s="13" t="s">
        <v>41</v>
      </c>
      <c r="E47" s="14" t="s">
        <v>66</v>
      </c>
      <c r="F47" s="13"/>
      <c r="G47" s="13"/>
      <c r="H47" s="13"/>
      <c r="I47" s="14" t="s">
        <v>46</v>
      </c>
      <c r="J47" s="13"/>
      <c r="K47" s="14"/>
      <c r="L47" s="13" t="s">
        <v>90</v>
      </c>
      <c r="M47" s="11"/>
      <c r="N47" s="265"/>
      <c r="O47" s="331"/>
      <c r="P47" s="331"/>
      <c r="Q47" s="331"/>
    </row>
    <row r="48" spans="1:25" s="5" customFormat="1" ht="13.5" thickBot="1" x14ac:dyDescent="0.25">
      <c r="B48" s="4"/>
    </row>
    <row r="49" spans="1:24" s="2" customFormat="1" ht="13.5" thickBot="1" x14ac:dyDescent="0.25">
      <c r="A49" s="6"/>
      <c r="B49" s="312" t="s">
        <v>61</v>
      </c>
      <c r="C49" s="313"/>
      <c r="D49" s="313"/>
      <c r="E49" s="313"/>
      <c r="F49" s="313"/>
      <c r="G49" s="313"/>
      <c r="H49" s="313"/>
      <c r="I49" s="313"/>
      <c r="J49" s="313"/>
      <c r="K49" s="313"/>
      <c r="L49" s="313"/>
      <c r="M49" s="313"/>
      <c r="N49" s="313"/>
      <c r="O49" s="313"/>
      <c r="P49" s="313"/>
      <c r="Q49" s="314"/>
      <c r="R49" s="6"/>
      <c r="S49" s="6"/>
      <c r="T49" s="6"/>
      <c r="U49" s="6"/>
      <c r="V49" s="6"/>
      <c r="W49" s="6"/>
      <c r="X49" s="6"/>
    </row>
    <row r="50" spans="1:24" x14ac:dyDescent="0.2">
      <c r="B50" s="4"/>
      <c r="C50" s="5"/>
      <c r="D50" s="5"/>
      <c r="E50" s="5"/>
      <c r="F50" s="5"/>
      <c r="G50" s="5"/>
      <c r="H50" s="48" t="s">
        <v>188</v>
      </c>
      <c r="J50" s="5"/>
      <c r="K50" s="5"/>
      <c r="L50" s="5"/>
      <c r="M50" s="5"/>
      <c r="N50" s="5"/>
      <c r="O50" s="5"/>
    </row>
    <row r="51" spans="1:24" x14ac:dyDescent="0.2">
      <c r="B51" s="4"/>
      <c r="C51" s="3" t="s">
        <v>65</v>
      </c>
      <c r="D51" s="3" t="s">
        <v>70</v>
      </c>
      <c r="E51" s="3" t="s">
        <v>64</v>
      </c>
      <c r="F51" s="3" t="s">
        <v>71</v>
      </c>
      <c r="G51" s="3" t="s">
        <v>65</v>
      </c>
      <c r="H51" s="3" t="s">
        <v>67</v>
      </c>
      <c r="I51" s="3" t="s">
        <v>45</v>
      </c>
      <c r="J51" s="3" t="s">
        <v>44</v>
      </c>
      <c r="K51" s="3" t="s">
        <v>68</v>
      </c>
      <c r="L51" s="3" t="s">
        <v>69</v>
      </c>
      <c r="M51" s="3" t="s">
        <v>38</v>
      </c>
      <c r="N51" s="3" t="s">
        <v>148</v>
      </c>
      <c r="O51" s="315" t="s">
        <v>40</v>
      </c>
      <c r="P51" s="315"/>
      <c r="Q51" s="315"/>
    </row>
    <row r="52" spans="1:24" s="39" customFormat="1" x14ac:dyDescent="0.2">
      <c r="A52" s="20"/>
      <c r="B52" s="4"/>
      <c r="C52" s="103"/>
      <c r="D52" s="103" t="s">
        <v>356</v>
      </c>
      <c r="E52" s="103">
        <v>1</v>
      </c>
      <c r="F52" s="273" t="s">
        <v>121</v>
      </c>
      <c r="G52" s="158">
        <f>IF($C52="",1,VLOOKUP($C52,$C$22:$I$38,3,FALSE))</f>
        <v>1</v>
      </c>
      <c r="H52" s="53" t="str">
        <f>IF($C52="","",VLOOKUP($C52,$C$22:$I$38,6,FALSE))</f>
        <v/>
      </c>
      <c r="I52" s="104">
        <f>IF(D52="","",E52*G52*$D$5)</f>
        <v>1</v>
      </c>
      <c r="J52" s="273" t="s">
        <v>121</v>
      </c>
      <c r="K52" s="117" t="s">
        <v>112</v>
      </c>
      <c r="L52" s="103" t="s">
        <v>85</v>
      </c>
      <c r="M52" s="118"/>
      <c r="N52" s="271" t="s">
        <v>600</v>
      </c>
      <c r="O52" s="332" t="s">
        <v>357</v>
      </c>
      <c r="P52" s="332"/>
      <c r="Q52" s="332"/>
      <c r="R52" s="20"/>
      <c r="S52" s="20"/>
      <c r="T52" s="20"/>
      <c r="U52" s="20"/>
      <c r="V52" s="20"/>
      <c r="W52" s="20"/>
      <c r="X52" s="20"/>
    </row>
    <row r="53" spans="1:24" s="39" customFormat="1" x14ac:dyDescent="0.2">
      <c r="A53" s="20"/>
      <c r="B53" s="4"/>
      <c r="C53" s="103" t="s">
        <v>606</v>
      </c>
      <c r="D53" s="276" t="s">
        <v>605</v>
      </c>
      <c r="E53" s="103">
        <v>1</v>
      </c>
      <c r="F53" s="273" t="s">
        <v>121</v>
      </c>
      <c r="G53" s="158">
        <f>IF($C53="",1,VLOOKUP($C53,$C$22:$I$38,3,FALSE))</f>
        <v>2.359746183244091E-4</v>
      </c>
      <c r="H53" s="53" t="str">
        <f>IF($C53="","",VLOOKUP($C53,$C$22:$I$38,6,FALSE))</f>
        <v>kg/kg biomass</v>
      </c>
      <c r="I53" s="158">
        <f>IF(D53="","",E53*G53*$D$5)</f>
        <v>2.359746183244091E-4</v>
      </c>
      <c r="J53" s="273" t="s">
        <v>121</v>
      </c>
      <c r="K53" s="117"/>
      <c r="L53" s="103" t="s">
        <v>87</v>
      </c>
      <c r="M53" s="118">
        <v>11</v>
      </c>
      <c r="N53" s="271" t="s">
        <v>599</v>
      </c>
      <c r="O53" s="332" t="s">
        <v>326</v>
      </c>
      <c r="P53" s="332"/>
      <c r="Q53" s="332"/>
      <c r="R53" s="20"/>
      <c r="S53" s="20"/>
      <c r="T53" s="20"/>
      <c r="U53" s="20"/>
      <c r="V53" s="20"/>
      <c r="W53" s="20"/>
      <c r="X53" s="20"/>
    </row>
    <row r="54" spans="1:24" s="39" customFormat="1" x14ac:dyDescent="0.2">
      <c r="A54" s="20"/>
      <c r="B54" s="4"/>
      <c r="C54" s="103" t="s">
        <v>609</v>
      </c>
      <c r="D54" s="276" t="s">
        <v>611</v>
      </c>
      <c r="E54" s="103">
        <v>1</v>
      </c>
      <c r="F54" s="273" t="s">
        <v>121</v>
      </c>
      <c r="G54" s="53">
        <f>IF($C54="",1,VLOOKUP($C54,$C$22:$I$38,3,FALSE))</f>
        <v>3.5396192748661363E-5</v>
      </c>
      <c r="H54" s="53" t="str">
        <f>IF($C54="","",VLOOKUP($C54,$C$22:$I$38,6,FALSE))</f>
        <v>kg/kg biomass</v>
      </c>
      <c r="I54" s="104">
        <f>IF(D54="","",E54*G54*$D$5)</f>
        <v>3.5396192748661363E-5</v>
      </c>
      <c r="J54" s="273" t="s">
        <v>121</v>
      </c>
      <c r="K54" s="117"/>
      <c r="L54" s="103" t="s">
        <v>87</v>
      </c>
      <c r="M54" s="118">
        <v>11</v>
      </c>
      <c r="N54" s="271" t="s">
        <v>599</v>
      </c>
      <c r="O54" s="332" t="s">
        <v>326</v>
      </c>
      <c r="P54" s="332"/>
      <c r="Q54" s="332"/>
      <c r="R54" s="20"/>
      <c r="S54" s="20"/>
      <c r="T54" s="20"/>
      <c r="U54" s="20"/>
      <c r="V54" s="20"/>
      <c r="W54" s="20"/>
      <c r="X54" s="20"/>
    </row>
    <row r="55" spans="1:24" x14ac:dyDescent="0.2">
      <c r="B55" s="4"/>
      <c r="C55" s="12" t="s">
        <v>39</v>
      </c>
      <c r="D55" s="13" t="s">
        <v>41</v>
      </c>
      <c r="E55" s="14" t="s">
        <v>66</v>
      </c>
      <c r="F55" s="13"/>
      <c r="G55" s="17"/>
      <c r="H55" s="17"/>
      <c r="I55" s="17"/>
      <c r="J55" s="13"/>
      <c r="K55" s="14"/>
      <c r="L55" s="13" t="s">
        <v>90</v>
      </c>
      <c r="M55" s="11"/>
      <c r="N55" s="11"/>
      <c r="O55" s="331"/>
      <c r="P55" s="331"/>
      <c r="Q55" s="331"/>
    </row>
    <row r="56" spans="1:24" x14ac:dyDescent="0.2">
      <c r="B56" s="4"/>
      <c r="C56" s="5"/>
      <c r="D56" s="5"/>
      <c r="E56" s="5"/>
      <c r="F56" s="5"/>
      <c r="G56" s="5"/>
      <c r="H56" s="5"/>
      <c r="J56" s="5"/>
      <c r="K56" s="5"/>
      <c r="L56" s="5"/>
      <c r="M56" s="5"/>
      <c r="N56" s="5"/>
      <c r="O56" s="5"/>
    </row>
    <row r="57" spans="1:24" x14ac:dyDescent="0.2">
      <c r="B57" s="4"/>
      <c r="C57" s="328" t="s">
        <v>604</v>
      </c>
      <c r="D57" s="329"/>
      <c r="E57" s="329"/>
      <c r="F57" s="329"/>
      <c r="G57" s="329"/>
      <c r="H57" s="329"/>
      <c r="I57" s="329"/>
      <c r="J57" s="329"/>
      <c r="K57" s="329"/>
      <c r="L57" s="329"/>
      <c r="M57" s="329"/>
      <c r="N57" s="329"/>
      <c r="O57" s="329"/>
      <c r="P57" s="329"/>
      <c r="Q57" s="330"/>
    </row>
    <row r="58" spans="1:24" x14ac:dyDescent="0.2">
      <c r="B58" s="4"/>
      <c r="C58" s="5"/>
      <c r="D58" s="5"/>
      <c r="E58" s="5"/>
      <c r="F58" s="5"/>
      <c r="G58" s="5"/>
      <c r="H58" s="5"/>
      <c r="J58" s="5"/>
      <c r="K58" s="5"/>
      <c r="L58" s="5"/>
      <c r="M58" s="5"/>
      <c r="N58" s="5"/>
      <c r="O58" s="5"/>
    </row>
    <row r="59" spans="1:24" x14ac:dyDescent="0.2">
      <c r="B59" s="4"/>
      <c r="C59" s="5"/>
      <c r="D59" s="5"/>
      <c r="E59" s="5"/>
      <c r="F59" s="5"/>
      <c r="G59" s="5"/>
      <c r="H59" s="5"/>
      <c r="J59" s="5"/>
      <c r="K59" s="5"/>
      <c r="L59" s="5"/>
      <c r="M59" s="5"/>
      <c r="N59" s="5"/>
      <c r="O59" s="5"/>
    </row>
    <row r="60" spans="1:24" x14ac:dyDescent="0.2">
      <c r="B60" s="4"/>
      <c r="C60" s="5"/>
      <c r="D60" s="5"/>
      <c r="E60" s="5"/>
      <c r="F60" s="5"/>
      <c r="G60" s="5"/>
      <c r="H60" s="5"/>
      <c r="J60" s="5"/>
      <c r="K60" s="5"/>
      <c r="L60" s="5"/>
      <c r="M60" s="5"/>
      <c r="N60" s="5"/>
      <c r="O60" s="5"/>
    </row>
    <row r="61" spans="1:24" x14ac:dyDescent="0.2">
      <c r="B61" s="4"/>
      <c r="C61" s="5"/>
      <c r="D61" s="5"/>
      <c r="E61" s="5"/>
      <c r="F61" s="5"/>
      <c r="G61" s="5"/>
      <c r="H61" s="5"/>
      <c r="J61" s="5"/>
      <c r="K61" s="5"/>
      <c r="L61" s="5"/>
      <c r="M61" s="5"/>
      <c r="N61" s="5"/>
      <c r="O61" s="5"/>
    </row>
    <row r="62" spans="1:24" x14ac:dyDescent="0.2">
      <c r="B62" s="4"/>
      <c r="C62" s="5"/>
      <c r="D62" s="5"/>
      <c r="E62" s="5"/>
      <c r="F62" s="5"/>
      <c r="G62" s="5"/>
      <c r="H62" s="5"/>
      <c r="J62" s="5"/>
      <c r="K62" s="5"/>
      <c r="L62" s="5"/>
      <c r="M62" s="5"/>
      <c r="N62" s="5"/>
      <c r="O62" s="5"/>
    </row>
    <row r="63" spans="1:24" x14ac:dyDescent="0.2">
      <c r="B63" s="4"/>
      <c r="C63" s="5"/>
      <c r="D63" s="5"/>
      <c r="E63" s="5"/>
      <c r="F63" s="5"/>
      <c r="G63" s="5"/>
      <c r="H63" s="5"/>
      <c r="J63" s="5"/>
      <c r="K63" s="5"/>
      <c r="L63" s="5"/>
      <c r="M63" s="5"/>
      <c r="N63" s="5"/>
      <c r="O63" s="5"/>
    </row>
    <row r="64" spans="1:24" x14ac:dyDescent="0.2">
      <c r="B64" s="4"/>
      <c r="C64" s="5"/>
      <c r="D64" s="5"/>
      <c r="E64" s="5"/>
      <c r="F64" s="5"/>
      <c r="G64" s="5"/>
      <c r="H64" s="5"/>
      <c r="J64" s="5"/>
      <c r="K64" s="5"/>
      <c r="L64" s="5"/>
      <c r="M64" s="5"/>
      <c r="N64" s="5"/>
      <c r="O64" s="5"/>
    </row>
    <row r="65" spans="2:15" x14ac:dyDescent="0.2">
      <c r="B65" s="4"/>
      <c r="C65" s="5"/>
      <c r="D65" s="5"/>
      <c r="E65" s="5"/>
      <c r="F65" s="5"/>
      <c r="G65" s="5"/>
      <c r="H65" s="5"/>
      <c r="J65" s="5"/>
      <c r="K65" s="5"/>
      <c r="L65" s="5"/>
      <c r="M65" s="5"/>
      <c r="N65" s="5"/>
      <c r="O65" s="5"/>
    </row>
    <row r="66" spans="2:15" x14ac:dyDescent="0.2">
      <c r="B66" s="4"/>
      <c r="C66" s="5"/>
      <c r="D66" s="5"/>
      <c r="E66" s="5"/>
      <c r="F66" s="5"/>
      <c r="G66" s="5"/>
      <c r="H66" s="5"/>
      <c r="J66" s="5"/>
      <c r="K66" s="5"/>
      <c r="L66" s="5"/>
      <c r="M66" s="5"/>
      <c r="N66" s="5"/>
      <c r="O66" s="5"/>
    </row>
    <row r="67" spans="2:15" x14ac:dyDescent="0.2">
      <c r="B67" s="4"/>
      <c r="C67" s="5"/>
      <c r="D67" s="5"/>
      <c r="E67" s="5"/>
      <c r="F67" s="5"/>
      <c r="G67" s="5"/>
      <c r="H67" s="5"/>
      <c r="J67" s="5"/>
      <c r="K67" s="5"/>
      <c r="L67" s="5"/>
      <c r="M67" s="5"/>
      <c r="N67" s="5"/>
      <c r="O67" s="5"/>
    </row>
    <row r="68" spans="2:15" x14ac:dyDescent="0.2">
      <c r="B68" s="4"/>
      <c r="C68" s="5"/>
      <c r="D68" s="5"/>
      <c r="E68" s="5"/>
      <c r="F68" s="5"/>
      <c r="G68" s="5"/>
      <c r="H68" s="5"/>
      <c r="J68" s="5"/>
      <c r="K68" s="5"/>
      <c r="L68" s="5"/>
      <c r="M68" s="5"/>
      <c r="N68" s="5"/>
      <c r="O68" s="5"/>
    </row>
    <row r="69" spans="2:15" x14ac:dyDescent="0.2">
      <c r="B69" s="4"/>
      <c r="C69" s="5"/>
      <c r="D69" s="5"/>
      <c r="E69" s="5"/>
      <c r="F69" s="5"/>
      <c r="G69" s="5"/>
      <c r="H69" s="5"/>
      <c r="J69" s="5"/>
      <c r="K69" s="5"/>
      <c r="L69" s="5"/>
      <c r="M69" s="5"/>
      <c r="N69" s="5"/>
      <c r="O69" s="5"/>
    </row>
    <row r="70" spans="2:15" x14ac:dyDescent="0.2">
      <c r="B70" s="4"/>
      <c r="C70" s="5"/>
      <c r="D70" s="5"/>
      <c r="E70" s="5"/>
      <c r="F70" s="5"/>
      <c r="G70" s="5"/>
      <c r="H70" s="5"/>
      <c r="J70" s="5"/>
      <c r="K70" s="5"/>
      <c r="L70" s="5"/>
      <c r="M70" s="5"/>
      <c r="N70" s="5"/>
      <c r="O70" s="5"/>
    </row>
    <row r="71" spans="2:15" x14ac:dyDescent="0.2">
      <c r="B71" s="4"/>
      <c r="C71" s="5"/>
      <c r="D71" s="5"/>
      <c r="E71" s="5"/>
      <c r="F71" s="5"/>
      <c r="G71" s="5"/>
      <c r="H71" s="5"/>
      <c r="J71" s="5"/>
      <c r="K71" s="5"/>
      <c r="L71" s="5"/>
      <c r="M71" s="5"/>
      <c r="N71" s="5"/>
      <c r="O71" s="5"/>
    </row>
    <row r="72" spans="2:15" x14ac:dyDescent="0.2">
      <c r="B72" s="4"/>
      <c r="C72" s="5"/>
      <c r="D72" s="5"/>
      <c r="E72" s="5"/>
      <c r="F72" s="5"/>
      <c r="G72" s="5"/>
      <c r="H72" s="5"/>
      <c r="J72" s="5"/>
      <c r="K72" s="5"/>
      <c r="L72" s="5"/>
      <c r="M72" s="5"/>
      <c r="N72" s="5"/>
      <c r="O72" s="5"/>
    </row>
    <row r="73" spans="2:15" x14ac:dyDescent="0.2">
      <c r="B73" s="4"/>
      <c r="C73" s="5"/>
      <c r="D73" s="5"/>
      <c r="E73" s="5"/>
      <c r="F73" s="5"/>
      <c r="G73" s="5"/>
      <c r="H73" s="5"/>
      <c r="J73" s="5"/>
      <c r="K73" s="5"/>
      <c r="L73" s="5"/>
      <c r="M73" s="5"/>
      <c r="N73" s="5"/>
      <c r="O73" s="5"/>
    </row>
    <row r="74" spans="2:15" x14ac:dyDescent="0.2">
      <c r="B74" s="4"/>
      <c r="C74" s="5"/>
      <c r="D74" s="5"/>
      <c r="E74" s="5"/>
      <c r="F74" s="5"/>
      <c r="G74" s="5"/>
      <c r="H74" s="5"/>
      <c r="J74" s="5"/>
      <c r="K74" s="5"/>
      <c r="L74" s="5"/>
      <c r="M74" s="5"/>
      <c r="N74" s="5"/>
      <c r="O74" s="5"/>
    </row>
    <row r="75" spans="2:15" x14ac:dyDescent="0.2">
      <c r="B75" s="4"/>
      <c r="C75" s="5"/>
      <c r="D75" s="5"/>
      <c r="E75" s="5"/>
      <c r="F75" s="5"/>
      <c r="G75" s="5"/>
      <c r="H75" s="5"/>
      <c r="J75" s="5"/>
      <c r="K75" s="5"/>
      <c r="L75" s="5"/>
      <c r="M75" s="5"/>
      <c r="N75" s="5"/>
      <c r="O75" s="5"/>
    </row>
    <row r="76" spans="2:15" x14ac:dyDescent="0.2">
      <c r="B76" s="4"/>
      <c r="C76" s="5"/>
      <c r="D76" s="5"/>
      <c r="E76" s="5"/>
      <c r="F76" s="5"/>
      <c r="G76" s="5"/>
      <c r="H76" s="5"/>
      <c r="J76" s="5"/>
      <c r="K76" s="5"/>
      <c r="L76" s="5"/>
      <c r="M76" s="5"/>
      <c r="N76" s="5"/>
      <c r="O76" s="5"/>
    </row>
    <row r="77" spans="2:15" x14ac:dyDescent="0.2">
      <c r="B77" s="4"/>
      <c r="C77" s="5"/>
      <c r="D77" s="5"/>
      <c r="E77" s="5"/>
      <c r="F77" s="5"/>
      <c r="G77" s="5"/>
      <c r="H77" s="5"/>
      <c r="J77" s="5"/>
      <c r="K77" s="5"/>
      <c r="L77" s="5"/>
      <c r="M77" s="5"/>
      <c r="N77" s="5"/>
      <c r="O77" s="5"/>
    </row>
    <row r="78" spans="2:15" x14ac:dyDescent="0.2">
      <c r="B78" s="4"/>
      <c r="C78" s="5"/>
      <c r="D78" s="5"/>
      <c r="E78" s="5"/>
      <c r="F78" s="5"/>
      <c r="G78" s="5"/>
      <c r="H78" s="5"/>
      <c r="J78" s="5"/>
      <c r="K78" s="5"/>
      <c r="L78" s="5"/>
      <c r="M78" s="5"/>
      <c r="N78" s="5"/>
      <c r="O78" s="5"/>
    </row>
    <row r="79" spans="2:15" x14ac:dyDescent="0.2">
      <c r="B79" s="4"/>
      <c r="C79" s="5"/>
      <c r="D79" s="5"/>
      <c r="E79" s="5"/>
      <c r="F79" s="5"/>
      <c r="G79" s="5"/>
      <c r="H79" s="5"/>
      <c r="J79" s="5"/>
      <c r="K79" s="5"/>
      <c r="L79" s="5"/>
      <c r="M79" s="5"/>
      <c r="N79" s="5"/>
      <c r="O79" s="5"/>
    </row>
    <row r="80" spans="2:15" x14ac:dyDescent="0.2">
      <c r="B80" s="4"/>
      <c r="C80" s="5"/>
      <c r="D80" s="5"/>
      <c r="E80" s="5"/>
      <c r="F80" s="5"/>
      <c r="G80" s="5"/>
      <c r="H80" s="5"/>
      <c r="J80" s="5"/>
      <c r="K80" s="5"/>
      <c r="L80" s="5"/>
      <c r="M80" s="5"/>
      <c r="N80" s="5"/>
      <c r="O80" s="5"/>
    </row>
    <row r="81" spans="2:15" x14ac:dyDescent="0.2">
      <c r="B81" s="4"/>
      <c r="C81" s="5"/>
      <c r="D81" s="5"/>
      <c r="E81" s="5"/>
      <c r="F81" s="5"/>
      <c r="G81" s="5"/>
      <c r="H81" s="5"/>
      <c r="J81" s="5"/>
      <c r="K81" s="5"/>
      <c r="L81" s="5"/>
      <c r="M81" s="5"/>
      <c r="N81" s="5"/>
      <c r="O81" s="5"/>
    </row>
    <row r="82" spans="2:15" x14ac:dyDescent="0.2">
      <c r="B82" s="4"/>
      <c r="C82" s="5"/>
      <c r="D82" s="5"/>
      <c r="E82" s="5"/>
      <c r="F82" s="5"/>
      <c r="G82" s="5"/>
      <c r="H82" s="5"/>
      <c r="J82" s="5"/>
      <c r="K82" s="5"/>
      <c r="L82" s="5"/>
      <c r="M82" s="5"/>
      <c r="N82" s="5"/>
      <c r="O82" s="5"/>
    </row>
    <row r="83" spans="2:15" x14ac:dyDescent="0.2">
      <c r="B83" s="4"/>
      <c r="C83" s="5"/>
      <c r="D83" s="5"/>
      <c r="E83" s="5"/>
      <c r="F83" s="5"/>
      <c r="G83" s="5"/>
      <c r="H83" s="5"/>
      <c r="J83" s="5"/>
      <c r="K83" s="5"/>
      <c r="L83" s="5"/>
      <c r="M83" s="5"/>
      <c r="N83" s="5"/>
      <c r="O83" s="5"/>
    </row>
    <row r="84" spans="2:15" x14ac:dyDescent="0.2">
      <c r="B84" s="4"/>
      <c r="C84" s="5"/>
      <c r="D84" s="5"/>
      <c r="E84" s="5"/>
      <c r="F84" s="5"/>
      <c r="G84" s="5"/>
      <c r="H84" s="5"/>
      <c r="J84" s="5"/>
      <c r="K84" s="5"/>
      <c r="L84" s="5"/>
      <c r="M84" s="5"/>
      <c r="N84" s="5"/>
      <c r="O84" s="5"/>
    </row>
    <row r="85" spans="2:15" x14ac:dyDescent="0.2">
      <c r="B85" s="4"/>
      <c r="C85" s="5"/>
      <c r="D85" s="5"/>
      <c r="E85" s="5"/>
      <c r="F85" s="5"/>
      <c r="G85" s="5"/>
      <c r="H85" s="5"/>
      <c r="J85" s="5"/>
      <c r="K85" s="5"/>
      <c r="L85" s="5"/>
      <c r="M85" s="5"/>
      <c r="N85" s="5"/>
      <c r="O85" s="5"/>
    </row>
    <row r="86" spans="2:15" x14ac:dyDescent="0.2">
      <c r="B86" s="4"/>
      <c r="C86" s="5"/>
      <c r="D86" s="5"/>
      <c r="E86" s="5"/>
      <c r="F86" s="5"/>
      <c r="G86" s="5"/>
      <c r="H86" s="5"/>
      <c r="J86" s="5"/>
      <c r="K86" s="5"/>
      <c r="L86" s="5"/>
      <c r="M86" s="5"/>
      <c r="N86" s="5"/>
      <c r="O86" s="5"/>
    </row>
    <row r="87" spans="2:15" x14ac:dyDescent="0.2">
      <c r="B87" s="4"/>
      <c r="C87" s="5"/>
      <c r="D87" s="5"/>
      <c r="E87" s="5"/>
      <c r="F87" s="5"/>
      <c r="G87" s="5"/>
      <c r="H87" s="5"/>
      <c r="J87" s="5"/>
      <c r="K87" s="5"/>
      <c r="L87" s="5"/>
      <c r="M87" s="5"/>
      <c r="N87" s="5"/>
      <c r="O87" s="5"/>
    </row>
    <row r="88" spans="2:15" x14ac:dyDescent="0.2">
      <c r="B88" s="4"/>
      <c r="C88" s="5"/>
      <c r="D88" s="5"/>
      <c r="E88" s="5"/>
      <c r="F88" s="5"/>
      <c r="G88" s="5"/>
      <c r="H88" s="5"/>
      <c r="J88" s="5"/>
      <c r="K88" s="5"/>
      <c r="L88" s="5"/>
      <c r="M88" s="5"/>
      <c r="N88" s="5"/>
      <c r="O88" s="5"/>
    </row>
    <row r="89" spans="2:15" x14ac:dyDescent="0.2">
      <c r="B89" s="4"/>
      <c r="C89" s="5"/>
      <c r="D89" s="5"/>
      <c r="E89" s="5"/>
      <c r="F89" s="5"/>
      <c r="G89" s="5"/>
      <c r="H89" s="5"/>
      <c r="J89" s="5"/>
      <c r="K89" s="5"/>
      <c r="L89" s="5"/>
      <c r="M89" s="5"/>
      <c r="N89" s="5"/>
      <c r="O89" s="5"/>
    </row>
    <row r="90" spans="2:15" x14ac:dyDescent="0.2">
      <c r="B90" s="4"/>
      <c r="C90" s="5"/>
      <c r="D90" s="5"/>
      <c r="E90" s="5"/>
      <c r="F90" s="5"/>
      <c r="G90" s="5"/>
      <c r="H90" s="5"/>
      <c r="J90" s="5"/>
      <c r="K90" s="5"/>
      <c r="L90" s="5"/>
      <c r="M90" s="5"/>
      <c r="N90" s="5"/>
      <c r="O90" s="5"/>
    </row>
    <row r="91" spans="2:15" x14ac:dyDescent="0.2">
      <c r="B91" s="4"/>
      <c r="C91" s="5"/>
      <c r="D91" s="5"/>
      <c r="E91" s="5"/>
      <c r="F91" s="5"/>
      <c r="G91" s="5"/>
      <c r="H91" s="5"/>
      <c r="J91" s="5"/>
      <c r="K91" s="5"/>
      <c r="L91" s="5"/>
      <c r="M91" s="5"/>
      <c r="N91" s="5"/>
      <c r="O91" s="5"/>
    </row>
    <row r="92" spans="2:15" x14ac:dyDescent="0.2">
      <c r="B92" s="4"/>
      <c r="C92" s="5"/>
      <c r="D92" s="5"/>
      <c r="E92" s="5"/>
      <c r="F92" s="5"/>
      <c r="G92" s="5"/>
      <c r="H92" s="5"/>
      <c r="J92" s="5"/>
      <c r="K92" s="5"/>
      <c r="L92" s="5"/>
      <c r="M92" s="5"/>
      <c r="N92" s="5"/>
      <c r="O92" s="5"/>
    </row>
    <row r="93" spans="2:15" x14ac:dyDescent="0.2">
      <c r="B93" s="4"/>
      <c r="C93" s="5"/>
      <c r="D93" s="5"/>
      <c r="E93" s="5"/>
      <c r="F93" s="5"/>
      <c r="G93" s="5"/>
      <c r="H93" s="5"/>
      <c r="J93" s="5"/>
      <c r="K93" s="5"/>
      <c r="L93" s="5"/>
      <c r="M93" s="5"/>
      <c r="N93" s="5"/>
      <c r="O93" s="5"/>
    </row>
    <row r="94" spans="2:15" x14ac:dyDescent="0.2">
      <c r="B94" s="4"/>
      <c r="C94" s="5"/>
      <c r="D94" s="5"/>
      <c r="E94" s="5"/>
      <c r="F94" s="5"/>
      <c r="G94" s="5"/>
      <c r="H94" s="5"/>
      <c r="J94" s="5"/>
      <c r="K94" s="5"/>
      <c r="L94" s="5"/>
      <c r="M94" s="5"/>
      <c r="N94" s="5"/>
      <c r="O94" s="5"/>
    </row>
    <row r="95" spans="2:15" x14ac:dyDescent="0.2">
      <c r="B95" s="4"/>
      <c r="C95" s="5"/>
      <c r="D95" s="5"/>
      <c r="E95" s="5"/>
      <c r="F95" s="5"/>
      <c r="G95" s="5"/>
      <c r="H95" s="5"/>
      <c r="J95" s="5"/>
      <c r="K95" s="5"/>
      <c r="L95" s="5"/>
      <c r="M95" s="5"/>
      <c r="N95" s="5"/>
      <c r="O95" s="5"/>
    </row>
    <row r="96" spans="2:15" x14ac:dyDescent="0.2">
      <c r="B96" s="4"/>
      <c r="C96" s="5"/>
      <c r="D96" s="5"/>
      <c r="E96" s="5"/>
      <c r="F96" s="5"/>
      <c r="G96" s="5"/>
      <c r="H96" s="5"/>
      <c r="J96" s="5"/>
      <c r="K96" s="5"/>
      <c r="L96" s="5"/>
      <c r="M96" s="5"/>
      <c r="N96" s="5"/>
      <c r="O96" s="5"/>
    </row>
    <row r="97" spans="1:24" x14ac:dyDescent="0.2">
      <c r="B97" s="4"/>
      <c r="C97" s="5"/>
      <c r="D97" s="5"/>
      <c r="E97" s="5"/>
      <c r="F97" s="5"/>
      <c r="G97" s="5"/>
      <c r="H97" s="5"/>
      <c r="J97" s="5"/>
      <c r="K97" s="5"/>
      <c r="L97" s="5"/>
      <c r="M97" s="5"/>
      <c r="N97" s="5"/>
      <c r="O97" s="5"/>
    </row>
    <row r="98" spans="1:24" x14ac:dyDescent="0.2">
      <c r="B98" s="4"/>
      <c r="C98" s="5"/>
      <c r="D98" s="5"/>
      <c r="E98" s="5"/>
      <c r="F98" s="5"/>
      <c r="G98" s="5"/>
      <c r="H98" s="5"/>
      <c r="J98" s="5"/>
      <c r="K98" s="5"/>
      <c r="L98" s="5"/>
      <c r="M98" s="5"/>
      <c r="N98" s="5"/>
      <c r="O98" s="5"/>
    </row>
    <row r="99" spans="1:24" x14ac:dyDescent="0.2">
      <c r="B99" s="4"/>
      <c r="C99" s="5"/>
      <c r="D99" s="5"/>
      <c r="E99" s="5"/>
      <c r="F99" s="5"/>
      <c r="G99" s="5"/>
      <c r="H99" s="5"/>
      <c r="J99" s="5"/>
      <c r="K99" s="5"/>
      <c r="L99" s="5"/>
      <c r="M99" s="5"/>
      <c r="N99" s="5"/>
      <c r="O99" s="5"/>
    </row>
    <row r="100" spans="1:24" x14ac:dyDescent="0.2">
      <c r="B100" s="4"/>
      <c r="C100" s="5"/>
      <c r="D100" s="5"/>
      <c r="E100" s="5"/>
      <c r="F100" s="5"/>
      <c r="G100" s="5"/>
      <c r="H100" s="5"/>
      <c r="J100" s="5"/>
      <c r="K100" s="5"/>
      <c r="L100" s="5"/>
      <c r="M100" s="5"/>
      <c r="N100" s="5"/>
      <c r="O100" s="5"/>
    </row>
    <row r="101" spans="1:24" x14ac:dyDescent="0.2">
      <c r="B101" s="4"/>
      <c r="C101" s="5"/>
      <c r="D101" s="5"/>
      <c r="E101" s="5"/>
      <c r="F101" s="5"/>
      <c r="G101" s="5"/>
      <c r="H101" s="5"/>
      <c r="J101" s="5"/>
      <c r="K101" s="5"/>
      <c r="L101" s="5"/>
      <c r="M101" s="5"/>
      <c r="N101" s="5"/>
      <c r="O101" s="5"/>
    </row>
    <row r="102" spans="1:24" x14ac:dyDescent="0.2">
      <c r="B102" s="4"/>
      <c r="C102" s="5"/>
      <c r="D102" s="5"/>
      <c r="E102" s="5"/>
      <c r="F102" s="5"/>
      <c r="G102" s="5"/>
      <c r="H102" s="5"/>
      <c r="J102" s="5"/>
      <c r="K102" s="5"/>
      <c r="L102" s="5"/>
      <c r="M102" s="5"/>
      <c r="N102" s="5"/>
      <c r="O102" s="5"/>
    </row>
    <row r="103" spans="1:24" x14ac:dyDescent="0.2">
      <c r="B103" s="4"/>
      <c r="C103" s="5"/>
      <c r="D103" s="5"/>
      <c r="E103" s="5"/>
      <c r="F103" s="5"/>
      <c r="G103" s="5"/>
      <c r="H103" s="5"/>
      <c r="J103" s="5"/>
      <c r="K103" s="5"/>
      <c r="L103" s="5"/>
      <c r="M103" s="5"/>
      <c r="N103" s="5"/>
      <c r="O103" s="5"/>
    </row>
    <row r="104" spans="1:24" x14ac:dyDescent="0.2">
      <c r="B104" s="4"/>
      <c r="C104" s="5"/>
      <c r="D104" s="5"/>
      <c r="E104" s="5"/>
      <c r="F104" s="5"/>
      <c r="G104" s="5"/>
      <c r="H104" s="5"/>
      <c r="J104" s="5"/>
      <c r="K104" s="5"/>
      <c r="L104" s="5"/>
      <c r="M104" s="5"/>
      <c r="N104" s="5"/>
      <c r="O104" s="5"/>
    </row>
    <row r="105" spans="1:24" x14ac:dyDescent="0.2">
      <c r="B105" s="4"/>
      <c r="C105" s="5"/>
      <c r="D105" s="5"/>
      <c r="E105" s="5"/>
      <c r="F105" s="5"/>
      <c r="G105" s="5"/>
      <c r="H105" s="5"/>
      <c r="J105" s="5"/>
      <c r="K105" s="5"/>
      <c r="L105" s="5"/>
      <c r="M105" s="5"/>
      <c r="N105" s="5"/>
      <c r="O105" s="5"/>
    </row>
    <row r="106" spans="1:24" x14ac:dyDescent="0.2">
      <c r="B106" s="4"/>
      <c r="C106" s="5"/>
      <c r="D106" s="5"/>
      <c r="E106" s="5"/>
      <c r="F106" s="5"/>
      <c r="G106" s="5"/>
      <c r="H106" s="5"/>
      <c r="J106" s="5"/>
      <c r="K106" s="5"/>
      <c r="L106" s="5"/>
      <c r="M106" s="5"/>
      <c r="N106" s="5"/>
      <c r="O106" s="5"/>
    </row>
    <row r="107" spans="1:24" x14ac:dyDescent="0.2">
      <c r="B107" s="4"/>
      <c r="C107" s="5"/>
      <c r="D107" s="5"/>
      <c r="E107" s="5"/>
      <c r="F107" s="5"/>
      <c r="G107" s="5"/>
      <c r="H107" s="5"/>
      <c r="J107" s="5"/>
      <c r="K107" s="5"/>
      <c r="L107" s="5"/>
      <c r="M107" s="5"/>
      <c r="N107" s="5"/>
      <c r="O107" s="5"/>
    </row>
    <row r="108" spans="1:24" x14ac:dyDescent="0.2">
      <c r="B108" s="4"/>
      <c r="C108" s="5"/>
      <c r="D108" s="5"/>
      <c r="E108" s="5"/>
      <c r="F108" s="5"/>
      <c r="G108" s="5"/>
      <c r="H108" s="5"/>
      <c r="J108" s="5"/>
      <c r="K108" s="5"/>
      <c r="L108" s="5"/>
      <c r="M108" s="5"/>
      <c r="N108" s="5"/>
      <c r="O108" s="5"/>
    </row>
    <row r="109" spans="1:24" x14ac:dyDescent="0.2">
      <c r="B109" s="4"/>
      <c r="C109" s="5"/>
      <c r="D109" s="5"/>
      <c r="E109" s="5"/>
      <c r="F109" s="5"/>
      <c r="G109" s="5"/>
      <c r="H109" s="5"/>
      <c r="J109" s="5"/>
      <c r="K109" s="5"/>
      <c r="L109" s="5"/>
      <c r="M109" s="5"/>
      <c r="N109" s="5"/>
      <c r="O109" s="5"/>
    </row>
    <row r="110" spans="1:24" x14ac:dyDescent="0.2">
      <c r="B110" s="4"/>
      <c r="C110" s="5"/>
      <c r="D110" s="5"/>
      <c r="E110" s="5"/>
      <c r="F110" s="5"/>
      <c r="G110" s="5"/>
      <c r="H110" s="5"/>
      <c r="J110" s="5"/>
      <c r="K110" s="5"/>
      <c r="L110" s="5"/>
      <c r="M110" s="5"/>
      <c r="N110" s="5"/>
      <c r="O110" s="5"/>
    </row>
    <row r="111" spans="1:24" x14ac:dyDescent="0.2">
      <c r="B111" s="7" t="s">
        <v>72</v>
      </c>
      <c r="C111" s="5"/>
      <c r="D111" s="5"/>
      <c r="E111" s="5"/>
      <c r="F111" s="5"/>
      <c r="G111" s="5"/>
      <c r="H111" s="5"/>
      <c r="J111" s="5"/>
      <c r="K111" s="5"/>
      <c r="L111" s="5"/>
      <c r="M111" s="5"/>
      <c r="N111" s="5"/>
      <c r="O111" s="5"/>
    </row>
    <row r="112" spans="1:24" s="1" customFormat="1" x14ac:dyDescent="0.2">
      <c r="A112" s="4"/>
      <c r="B112" s="4"/>
      <c r="C112" s="4" t="s">
        <v>73</v>
      </c>
      <c r="D112" s="4" t="s">
        <v>74</v>
      </c>
      <c r="E112" s="4" t="s">
        <v>75</v>
      </c>
      <c r="F112" s="4"/>
      <c r="G112" s="4"/>
      <c r="H112" s="4" t="s">
        <v>69</v>
      </c>
      <c r="I112" s="4"/>
      <c r="J112" s="4" t="s">
        <v>68</v>
      </c>
      <c r="K112" s="4"/>
      <c r="L112" s="4"/>
      <c r="M112" s="4"/>
      <c r="N112" s="4"/>
      <c r="O112" s="4"/>
      <c r="P112" s="4"/>
      <c r="Q112" s="4"/>
      <c r="R112" s="4"/>
      <c r="S112" s="4"/>
      <c r="T112" s="4"/>
      <c r="U112" s="4"/>
      <c r="V112" s="4"/>
      <c r="W112" s="4"/>
      <c r="X112" s="4"/>
    </row>
    <row r="113" spans="2:15" x14ac:dyDescent="0.2">
      <c r="B113" s="4"/>
      <c r="C113" s="15" t="s">
        <v>90</v>
      </c>
      <c r="D113" s="15" t="s">
        <v>90</v>
      </c>
      <c r="E113" s="15" t="s">
        <v>90</v>
      </c>
      <c r="F113" s="5"/>
      <c r="G113" s="5"/>
      <c r="H113" s="15" t="s">
        <v>90</v>
      </c>
      <c r="J113" s="5"/>
      <c r="K113" s="5"/>
      <c r="L113" s="5"/>
      <c r="M113" s="5"/>
      <c r="N113" s="5"/>
      <c r="O113" s="5"/>
    </row>
    <row r="114" spans="2:15" x14ac:dyDescent="0.2">
      <c r="B114" s="4"/>
      <c r="C114" s="20" t="s">
        <v>117</v>
      </c>
      <c r="D114" s="5" t="s">
        <v>119</v>
      </c>
      <c r="E114" s="5" t="s">
        <v>81</v>
      </c>
      <c r="F114" s="5"/>
      <c r="G114" s="5"/>
      <c r="H114" s="5" t="s">
        <v>86</v>
      </c>
      <c r="J114" s="5" t="s">
        <v>112</v>
      </c>
      <c r="K114" s="5"/>
      <c r="L114" s="5"/>
      <c r="M114" s="5"/>
      <c r="N114" s="5"/>
      <c r="O114" s="5"/>
    </row>
    <row r="115" spans="2:15" x14ac:dyDescent="0.2">
      <c r="B115" s="4"/>
      <c r="C115" s="5" t="s">
        <v>114</v>
      </c>
      <c r="D115" s="5" t="s">
        <v>79</v>
      </c>
      <c r="E115" s="5" t="s">
        <v>82</v>
      </c>
      <c r="F115" s="5"/>
      <c r="G115" s="5"/>
      <c r="H115" s="5" t="s">
        <v>87</v>
      </c>
      <c r="J115" s="5" t="s">
        <v>113</v>
      </c>
      <c r="K115" s="5"/>
      <c r="L115" s="5"/>
      <c r="M115" s="5"/>
      <c r="N115" s="5"/>
      <c r="O115" s="5"/>
    </row>
    <row r="116" spans="2:15" x14ac:dyDescent="0.2">
      <c r="B116" s="4"/>
      <c r="C116" s="5" t="s">
        <v>115</v>
      </c>
      <c r="D116" s="5" t="s">
        <v>80</v>
      </c>
      <c r="E116" s="5" t="s">
        <v>83</v>
      </c>
      <c r="F116" s="5"/>
      <c r="G116" s="5"/>
      <c r="H116" s="5" t="s">
        <v>88</v>
      </c>
      <c r="J116" s="5"/>
      <c r="K116" s="5"/>
      <c r="L116" s="5"/>
      <c r="M116" s="5"/>
      <c r="N116" s="5"/>
      <c r="O116" s="5"/>
    </row>
    <row r="117" spans="2:15" x14ac:dyDescent="0.2">
      <c r="B117" s="4"/>
      <c r="C117" s="5" t="s">
        <v>118</v>
      </c>
      <c r="D117" s="5" t="s">
        <v>120</v>
      </c>
      <c r="E117" s="5" t="s">
        <v>84</v>
      </c>
      <c r="F117" s="5"/>
      <c r="G117" s="5"/>
      <c r="H117" s="5" t="s">
        <v>89</v>
      </c>
      <c r="J117" s="5"/>
      <c r="K117" s="5"/>
      <c r="L117" s="5"/>
      <c r="M117" s="5"/>
      <c r="N117" s="5"/>
      <c r="O117" s="5"/>
    </row>
    <row r="118" spans="2:15" x14ac:dyDescent="0.2">
      <c r="B118" s="4"/>
      <c r="C118" s="5" t="s">
        <v>76</v>
      </c>
      <c r="D118" s="5"/>
      <c r="E118" s="5" t="s">
        <v>85</v>
      </c>
      <c r="F118" s="5"/>
      <c r="G118" s="5"/>
      <c r="H118" s="5" t="s">
        <v>85</v>
      </c>
      <c r="J118" s="5"/>
      <c r="K118" s="5"/>
      <c r="L118" s="5"/>
      <c r="M118" s="5"/>
      <c r="N118" s="5"/>
      <c r="O118" s="5"/>
    </row>
    <row r="119" spans="2:15" x14ac:dyDescent="0.2">
      <c r="B119" s="4"/>
      <c r="C119" s="5" t="s">
        <v>77</v>
      </c>
      <c r="D119" s="5"/>
      <c r="E119" s="5"/>
      <c r="F119" s="5"/>
      <c r="G119" s="5"/>
      <c r="H119" s="5"/>
      <c r="J119" s="5"/>
      <c r="K119" s="5"/>
      <c r="L119" s="5"/>
      <c r="M119" s="5"/>
      <c r="N119" s="5"/>
      <c r="O119" s="5"/>
    </row>
    <row r="120" spans="2:15" x14ac:dyDescent="0.2">
      <c r="B120" s="4"/>
      <c r="C120" s="5" t="s">
        <v>116</v>
      </c>
      <c r="D120" s="5"/>
      <c r="E120" s="5"/>
      <c r="F120" s="5"/>
      <c r="G120" s="5"/>
      <c r="H120" s="5"/>
      <c r="J120" s="5"/>
      <c r="K120" s="5"/>
      <c r="L120" s="5"/>
      <c r="M120" s="5"/>
      <c r="N120" s="5"/>
      <c r="O120" s="5"/>
    </row>
    <row r="121" spans="2:15" x14ac:dyDescent="0.2">
      <c r="B121" s="4"/>
      <c r="C121" s="5" t="s">
        <v>78</v>
      </c>
      <c r="D121" s="5"/>
      <c r="E121" s="5"/>
      <c r="F121" s="5"/>
      <c r="G121" s="5"/>
      <c r="H121" s="5"/>
      <c r="J121" s="5"/>
      <c r="K121" s="5"/>
      <c r="L121" s="5"/>
      <c r="M121" s="5"/>
      <c r="N121" s="5"/>
      <c r="O121" s="5"/>
    </row>
    <row r="122" spans="2:15" x14ac:dyDescent="0.2">
      <c r="B122" s="4"/>
      <c r="C122" s="5" t="s">
        <v>189</v>
      </c>
      <c r="D122" s="5"/>
      <c r="E122" s="5"/>
      <c r="F122" s="5"/>
      <c r="G122" s="5"/>
      <c r="H122" s="5"/>
      <c r="J122" s="5"/>
      <c r="K122" s="5"/>
      <c r="L122" s="5"/>
      <c r="M122" s="5"/>
      <c r="N122" s="5"/>
      <c r="O122" s="5"/>
    </row>
    <row r="123" spans="2:15" x14ac:dyDescent="0.2">
      <c r="B123" s="4"/>
    </row>
    <row r="124" spans="2:15" x14ac:dyDescent="0.2">
      <c r="B124" s="4"/>
    </row>
    <row r="125" spans="2:15" x14ac:dyDescent="0.2">
      <c r="B125" s="4"/>
    </row>
    <row r="126" spans="2:15" x14ac:dyDescent="0.2">
      <c r="B126" s="4"/>
    </row>
    <row r="127" spans="2:15" x14ac:dyDescent="0.2">
      <c r="B127" s="4"/>
    </row>
    <row r="128" spans="2:15" x14ac:dyDescent="0.2">
      <c r="B128" s="4"/>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53">
    <mergeCell ref="B49:Q49"/>
    <mergeCell ref="O54:Q54"/>
    <mergeCell ref="O55:Q55"/>
    <mergeCell ref="O42:Q42"/>
    <mergeCell ref="O43:Q43"/>
    <mergeCell ref="O44:Q44"/>
    <mergeCell ref="O46:Q46"/>
    <mergeCell ref="O45:Q45"/>
    <mergeCell ref="J35:Q35"/>
    <mergeCell ref="J36:Q36"/>
    <mergeCell ref="J38:Q38"/>
    <mergeCell ref="J37:Q37"/>
    <mergeCell ref="C57:Q57"/>
    <mergeCell ref="O47:Q47"/>
    <mergeCell ref="O51:Q51"/>
    <mergeCell ref="O52:Q52"/>
    <mergeCell ref="O53:Q53"/>
    <mergeCell ref="B40:Q40"/>
    <mergeCell ref="J25:Q25"/>
    <mergeCell ref="J26:Q26"/>
    <mergeCell ref="J27:Q27"/>
    <mergeCell ref="J32:Q32"/>
    <mergeCell ref="J33:Q33"/>
    <mergeCell ref="J34:Q34"/>
    <mergeCell ref="J30:Q30"/>
    <mergeCell ref="J31:Q31"/>
    <mergeCell ref="D11:E11"/>
    <mergeCell ref="B12:C12"/>
    <mergeCell ref="B1:P1"/>
    <mergeCell ref="B2:P2"/>
    <mergeCell ref="G5:J5"/>
    <mergeCell ref="D6:M6"/>
    <mergeCell ref="B8:Q8"/>
    <mergeCell ref="B14:C14"/>
    <mergeCell ref="D14:E14"/>
    <mergeCell ref="B15:C15"/>
    <mergeCell ref="D15:E15"/>
    <mergeCell ref="D12:E12"/>
    <mergeCell ref="D10:E10"/>
    <mergeCell ref="D13:E13"/>
    <mergeCell ref="B10:C10"/>
    <mergeCell ref="B13:C13"/>
    <mergeCell ref="B11:C11"/>
    <mergeCell ref="B16:C16"/>
    <mergeCell ref="D16:E16"/>
    <mergeCell ref="B17:C17"/>
    <mergeCell ref="D17:E17"/>
    <mergeCell ref="J28:Q28"/>
    <mergeCell ref="J29:Q29"/>
    <mergeCell ref="B20:Q20"/>
    <mergeCell ref="J22:Q22"/>
    <mergeCell ref="J23:Q23"/>
    <mergeCell ref="J24:Q24"/>
  </mergeCells>
  <phoneticPr fontId="45" type="noConversion"/>
  <conditionalFormatting sqref="H55 G44 G46 I46 I44 G52:G54 I52:I54">
    <cfRule type="cellIs" dxfId="6" priority="24" stopIfTrue="1" operator="equal">
      <formula>0</formula>
    </cfRule>
  </conditionalFormatting>
  <conditionalFormatting sqref="G52:G55 G44 G46">
    <cfRule type="cellIs" dxfId="5" priority="23" stopIfTrue="1" operator="equal">
      <formula>1</formula>
    </cfRule>
  </conditionalFormatting>
  <conditionalFormatting sqref="G43:I43 H44:H46">
    <cfRule type="cellIs" dxfId="4" priority="9" stopIfTrue="1" operator="equal">
      <formula>0</formula>
    </cfRule>
  </conditionalFormatting>
  <conditionalFormatting sqref="G43">
    <cfRule type="cellIs" dxfId="3" priority="8" stopIfTrue="1" operator="equal">
      <formula>1</formula>
    </cfRule>
  </conditionalFormatting>
  <conditionalFormatting sqref="G45">
    <cfRule type="cellIs" dxfId="2" priority="2" stopIfTrue="1" operator="equal">
      <formula>1</formula>
    </cfRule>
  </conditionalFormatting>
  <conditionalFormatting sqref="G45 I45">
    <cfRule type="cellIs" dxfId="1" priority="3" stopIfTrue="1" operator="equal">
      <formula>0</formula>
    </cfRule>
  </conditionalFormatting>
  <conditionalFormatting sqref="H52:H54">
    <cfRule type="cellIs" dxfId="0" priority="1" stopIfTrue="1" operator="equal">
      <formula>0</formula>
    </cfRule>
  </conditionalFormatting>
  <dataValidations count="8">
    <dataValidation type="list" allowBlank="1" showInputMessage="1" showErrorMessage="1" sqref="K52:K55 K43:K47">
      <formula1>lstTracked</formula1>
    </dataValidation>
    <dataValidation type="list" allowBlank="1" showInputMessage="1" showErrorMessage="1" sqref="L52:L55 L43:L47">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23:C37 C54">
      <formula1>16</formula1>
    </dataValidation>
  </dataValidations>
  <pageMargins left="0.25" right="0.25" top="0.5" bottom="0.5" header="0.3" footer="0.3"/>
  <pageSetup scale="53"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80" zoomScaleNormal="80" workbookViewId="0">
      <pane xSplit="1" topLeftCell="O1" activePane="topRight" state="frozen"/>
      <selection sqref="A1:N1"/>
      <selection pane="topRight" activeCell="X2" sqref="X2"/>
    </sheetView>
  </sheetViews>
  <sheetFormatPr defaultColWidth="30.7109375" defaultRowHeight="12.75" customHeight="1" x14ac:dyDescent="0.2"/>
  <cols>
    <col min="1" max="1" width="17.140625" style="178" customWidth="1"/>
    <col min="2" max="4" width="30.7109375" style="178"/>
    <col min="5" max="11" width="30.7109375" style="259"/>
    <col min="12" max="15" width="30.7109375" style="178"/>
    <col min="16" max="18" width="30.7109375" style="259"/>
    <col min="19" max="23" width="30.7109375" style="178"/>
    <col min="24" max="24" width="30.7109375" style="287"/>
    <col min="25" max="16384" width="30.7109375" style="178"/>
  </cols>
  <sheetData>
    <row r="1" spans="1:251" s="163" customFormat="1" ht="12.75" customHeight="1" x14ac:dyDescent="0.2">
      <c r="A1" s="162" t="s">
        <v>91</v>
      </c>
      <c r="E1" s="251"/>
      <c r="F1" s="251"/>
      <c r="G1" s="251"/>
      <c r="H1" s="251"/>
      <c r="I1" s="251"/>
      <c r="J1" s="251"/>
      <c r="K1" s="251"/>
      <c r="P1" s="251"/>
      <c r="Q1" s="251"/>
      <c r="R1" s="251"/>
      <c r="X1" s="282"/>
    </row>
    <row r="2" spans="1:251" s="165" customFormat="1" ht="12.75" customHeight="1" x14ac:dyDescent="0.2">
      <c r="A2" s="164" t="s">
        <v>92</v>
      </c>
      <c r="B2" s="165">
        <v>1</v>
      </c>
      <c r="C2" s="165">
        <v>2</v>
      </c>
      <c r="D2" s="165">
        <v>3</v>
      </c>
      <c r="E2" s="252">
        <v>4</v>
      </c>
      <c r="F2" s="252">
        <v>5</v>
      </c>
      <c r="G2" s="252">
        <v>6</v>
      </c>
      <c r="H2" s="252">
        <v>7</v>
      </c>
      <c r="I2" s="252">
        <v>8</v>
      </c>
      <c r="J2" s="252">
        <v>9</v>
      </c>
      <c r="K2" s="252">
        <v>10</v>
      </c>
      <c r="L2" s="165">
        <v>11</v>
      </c>
      <c r="M2" s="165">
        <v>12</v>
      </c>
      <c r="N2" s="165">
        <v>13</v>
      </c>
      <c r="O2" s="165">
        <v>14</v>
      </c>
      <c r="P2" s="165">
        <v>15</v>
      </c>
      <c r="Q2" s="252">
        <v>16</v>
      </c>
      <c r="R2" s="252">
        <v>17</v>
      </c>
      <c r="S2" s="165">
        <v>18</v>
      </c>
      <c r="T2" s="165">
        <v>19</v>
      </c>
      <c r="U2" s="165">
        <v>20</v>
      </c>
      <c r="V2" s="165">
        <v>21</v>
      </c>
      <c r="W2" s="165">
        <v>22</v>
      </c>
      <c r="X2" s="283">
        <v>23</v>
      </c>
      <c r="Y2" s="165">
        <v>24</v>
      </c>
      <c r="Z2" s="165">
        <v>25</v>
      </c>
      <c r="AA2" s="165">
        <v>26</v>
      </c>
      <c r="AB2" s="165">
        <v>27</v>
      </c>
      <c r="AC2" s="165">
        <v>28</v>
      </c>
      <c r="AD2" s="165">
        <v>29</v>
      </c>
      <c r="AE2" s="165">
        <v>30</v>
      </c>
      <c r="AX2" s="165" t="str">
        <f t="shared" ref="AX2:BK2" si="0">IF(AX3="","",AW2+1)</f>
        <v/>
      </c>
      <c r="AY2" s="165" t="str">
        <f t="shared" si="0"/>
        <v/>
      </c>
      <c r="AZ2" s="165" t="str">
        <f t="shared" si="0"/>
        <v/>
      </c>
      <c r="BA2" s="165" t="str">
        <f t="shared" si="0"/>
        <v/>
      </c>
      <c r="BB2" s="165" t="str">
        <f t="shared" si="0"/>
        <v/>
      </c>
      <c r="BC2" s="165" t="str">
        <f t="shared" si="0"/>
        <v/>
      </c>
      <c r="BD2" s="165" t="str">
        <f t="shared" si="0"/>
        <v/>
      </c>
      <c r="BE2" s="165" t="str">
        <f t="shared" si="0"/>
        <v/>
      </c>
      <c r="BF2" s="165" t="str">
        <f t="shared" si="0"/>
        <v/>
      </c>
      <c r="BG2" s="165" t="str">
        <f t="shared" si="0"/>
        <v/>
      </c>
      <c r="BH2" s="165" t="str">
        <f t="shared" si="0"/>
        <v/>
      </c>
      <c r="BI2" s="165" t="str">
        <f t="shared" si="0"/>
        <v/>
      </c>
      <c r="BJ2" s="165" t="str">
        <f t="shared" si="0"/>
        <v/>
      </c>
      <c r="BK2" s="165" t="str">
        <f t="shared" si="0"/>
        <v/>
      </c>
      <c r="BL2" s="165" t="str">
        <f t="shared" ref="BL2:DW2" si="1">IF(BK3="","",BK2+1)</f>
        <v/>
      </c>
      <c r="BM2" s="165" t="str">
        <f t="shared" si="1"/>
        <v/>
      </c>
      <c r="BN2" s="165" t="str">
        <f t="shared" si="1"/>
        <v/>
      </c>
      <c r="BO2" s="165" t="str">
        <f t="shared" si="1"/>
        <v/>
      </c>
      <c r="BP2" s="165" t="str">
        <f t="shared" si="1"/>
        <v/>
      </c>
      <c r="BQ2" s="165" t="str">
        <f t="shared" si="1"/>
        <v/>
      </c>
      <c r="BR2" s="165" t="str">
        <f t="shared" si="1"/>
        <v/>
      </c>
      <c r="BS2" s="165" t="str">
        <f t="shared" si="1"/>
        <v/>
      </c>
      <c r="BT2" s="165" t="str">
        <f t="shared" si="1"/>
        <v/>
      </c>
      <c r="BU2" s="165" t="str">
        <f t="shared" si="1"/>
        <v/>
      </c>
      <c r="BV2" s="165" t="str">
        <f t="shared" si="1"/>
        <v/>
      </c>
      <c r="BW2" s="165" t="str">
        <f t="shared" si="1"/>
        <v/>
      </c>
      <c r="BX2" s="165" t="str">
        <f t="shared" si="1"/>
        <v/>
      </c>
      <c r="BY2" s="165" t="str">
        <f t="shared" si="1"/>
        <v/>
      </c>
      <c r="BZ2" s="165" t="str">
        <f t="shared" si="1"/>
        <v/>
      </c>
      <c r="CA2" s="165" t="str">
        <f t="shared" si="1"/>
        <v/>
      </c>
      <c r="CB2" s="165" t="str">
        <f t="shared" si="1"/>
        <v/>
      </c>
      <c r="CC2" s="165" t="str">
        <f t="shared" si="1"/>
        <v/>
      </c>
      <c r="CD2" s="165" t="str">
        <f t="shared" si="1"/>
        <v/>
      </c>
      <c r="CE2" s="165" t="str">
        <f t="shared" si="1"/>
        <v/>
      </c>
      <c r="CF2" s="165" t="str">
        <f t="shared" si="1"/>
        <v/>
      </c>
      <c r="CG2" s="165" t="str">
        <f t="shared" si="1"/>
        <v/>
      </c>
      <c r="CH2" s="165" t="str">
        <f t="shared" si="1"/>
        <v/>
      </c>
      <c r="CI2" s="165" t="str">
        <f t="shared" si="1"/>
        <v/>
      </c>
      <c r="CJ2" s="165" t="str">
        <f t="shared" si="1"/>
        <v/>
      </c>
      <c r="CK2" s="165" t="str">
        <f t="shared" si="1"/>
        <v/>
      </c>
      <c r="CL2" s="165" t="str">
        <f t="shared" si="1"/>
        <v/>
      </c>
      <c r="CM2" s="165" t="str">
        <f t="shared" si="1"/>
        <v/>
      </c>
      <c r="CN2" s="165" t="str">
        <f t="shared" si="1"/>
        <v/>
      </c>
      <c r="CO2" s="165" t="str">
        <f t="shared" si="1"/>
        <v/>
      </c>
      <c r="CP2" s="165" t="str">
        <f t="shared" si="1"/>
        <v/>
      </c>
      <c r="CQ2" s="165" t="str">
        <f t="shared" si="1"/>
        <v/>
      </c>
      <c r="CR2" s="165" t="str">
        <f t="shared" si="1"/>
        <v/>
      </c>
      <c r="CS2" s="165" t="str">
        <f t="shared" si="1"/>
        <v/>
      </c>
      <c r="CT2" s="165" t="str">
        <f t="shared" si="1"/>
        <v/>
      </c>
      <c r="CU2" s="165" t="str">
        <f t="shared" si="1"/>
        <v/>
      </c>
      <c r="CV2" s="165" t="str">
        <f t="shared" si="1"/>
        <v/>
      </c>
      <c r="CW2" s="165" t="str">
        <f t="shared" si="1"/>
        <v/>
      </c>
      <c r="CX2" s="165" t="str">
        <f t="shared" si="1"/>
        <v/>
      </c>
      <c r="CY2" s="165" t="str">
        <f t="shared" si="1"/>
        <v/>
      </c>
      <c r="CZ2" s="165" t="str">
        <f t="shared" si="1"/>
        <v/>
      </c>
      <c r="DA2" s="165" t="str">
        <f t="shared" si="1"/>
        <v/>
      </c>
      <c r="DB2" s="165" t="str">
        <f t="shared" si="1"/>
        <v/>
      </c>
      <c r="DC2" s="165" t="str">
        <f t="shared" si="1"/>
        <v/>
      </c>
      <c r="DD2" s="165" t="str">
        <f t="shared" si="1"/>
        <v/>
      </c>
      <c r="DE2" s="165" t="str">
        <f t="shared" si="1"/>
        <v/>
      </c>
      <c r="DF2" s="165" t="str">
        <f t="shared" si="1"/>
        <v/>
      </c>
      <c r="DG2" s="165" t="str">
        <f t="shared" si="1"/>
        <v/>
      </c>
      <c r="DH2" s="165" t="str">
        <f t="shared" si="1"/>
        <v/>
      </c>
      <c r="DI2" s="165" t="str">
        <f t="shared" si="1"/>
        <v/>
      </c>
      <c r="DJ2" s="165" t="str">
        <f t="shared" si="1"/>
        <v/>
      </c>
      <c r="DK2" s="165" t="str">
        <f t="shared" si="1"/>
        <v/>
      </c>
      <c r="DL2" s="165" t="str">
        <f t="shared" si="1"/>
        <v/>
      </c>
      <c r="DM2" s="165" t="str">
        <f t="shared" si="1"/>
        <v/>
      </c>
      <c r="DN2" s="165" t="str">
        <f t="shared" si="1"/>
        <v/>
      </c>
      <c r="DO2" s="165" t="str">
        <f t="shared" si="1"/>
        <v/>
      </c>
      <c r="DP2" s="165" t="str">
        <f t="shared" si="1"/>
        <v/>
      </c>
      <c r="DQ2" s="165" t="str">
        <f t="shared" si="1"/>
        <v/>
      </c>
      <c r="DR2" s="165" t="str">
        <f t="shared" si="1"/>
        <v/>
      </c>
      <c r="DS2" s="165" t="str">
        <f t="shared" si="1"/>
        <v/>
      </c>
      <c r="DT2" s="165" t="str">
        <f t="shared" si="1"/>
        <v/>
      </c>
      <c r="DU2" s="165" t="str">
        <f t="shared" si="1"/>
        <v/>
      </c>
      <c r="DV2" s="165" t="str">
        <f t="shared" si="1"/>
        <v/>
      </c>
      <c r="DW2" s="165" t="str">
        <f t="shared" si="1"/>
        <v/>
      </c>
      <c r="DX2" s="165" t="str">
        <f t="shared" ref="DX2:GI2" si="2">IF(DW3="","",DW2+1)</f>
        <v/>
      </c>
      <c r="DY2" s="165" t="str">
        <f t="shared" si="2"/>
        <v/>
      </c>
      <c r="DZ2" s="165" t="str">
        <f t="shared" si="2"/>
        <v/>
      </c>
      <c r="EA2" s="165" t="str">
        <f t="shared" si="2"/>
        <v/>
      </c>
      <c r="EB2" s="165" t="str">
        <f t="shared" si="2"/>
        <v/>
      </c>
      <c r="EC2" s="165" t="str">
        <f t="shared" si="2"/>
        <v/>
      </c>
      <c r="ED2" s="165" t="str">
        <f t="shared" si="2"/>
        <v/>
      </c>
      <c r="EE2" s="165" t="str">
        <f t="shared" si="2"/>
        <v/>
      </c>
      <c r="EF2" s="165" t="str">
        <f t="shared" si="2"/>
        <v/>
      </c>
      <c r="EG2" s="165" t="str">
        <f t="shared" si="2"/>
        <v/>
      </c>
      <c r="EH2" s="165" t="str">
        <f t="shared" si="2"/>
        <v/>
      </c>
      <c r="EI2" s="165" t="str">
        <f t="shared" si="2"/>
        <v/>
      </c>
      <c r="EJ2" s="165" t="str">
        <f t="shared" si="2"/>
        <v/>
      </c>
      <c r="EK2" s="165" t="str">
        <f t="shared" si="2"/>
        <v/>
      </c>
      <c r="EL2" s="165" t="str">
        <f t="shared" si="2"/>
        <v/>
      </c>
      <c r="EM2" s="165" t="str">
        <f t="shared" si="2"/>
        <v/>
      </c>
      <c r="EN2" s="165" t="str">
        <f t="shared" si="2"/>
        <v/>
      </c>
      <c r="EO2" s="165" t="str">
        <f t="shared" si="2"/>
        <v/>
      </c>
      <c r="EP2" s="165" t="str">
        <f t="shared" si="2"/>
        <v/>
      </c>
      <c r="EQ2" s="165" t="str">
        <f t="shared" si="2"/>
        <v/>
      </c>
      <c r="ER2" s="165" t="str">
        <f t="shared" si="2"/>
        <v/>
      </c>
      <c r="ES2" s="165" t="str">
        <f t="shared" si="2"/>
        <v/>
      </c>
      <c r="ET2" s="165" t="str">
        <f t="shared" si="2"/>
        <v/>
      </c>
      <c r="EU2" s="165" t="str">
        <f t="shared" si="2"/>
        <v/>
      </c>
      <c r="EV2" s="165" t="str">
        <f t="shared" si="2"/>
        <v/>
      </c>
      <c r="EW2" s="165" t="str">
        <f t="shared" si="2"/>
        <v/>
      </c>
      <c r="EX2" s="165" t="str">
        <f t="shared" si="2"/>
        <v/>
      </c>
      <c r="EY2" s="165" t="str">
        <f t="shared" si="2"/>
        <v/>
      </c>
      <c r="EZ2" s="165" t="str">
        <f t="shared" si="2"/>
        <v/>
      </c>
      <c r="FA2" s="165" t="str">
        <f t="shared" si="2"/>
        <v/>
      </c>
      <c r="FB2" s="165" t="str">
        <f t="shared" si="2"/>
        <v/>
      </c>
      <c r="FC2" s="165" t="str">
        <f t="shared" si="2"/>
        <v/>
      </c>
      <c r="FD2" s="165" t="str">
        <f t="shared" si="2"/>
        <v/>
      </c>
      <c r="FE2" s="165" t="str">
        <f t="shared" si="2"/>
        <v/>
      </c>
      <c r="FF2" s="165" t="str">
        <f t="shared" si="2"/>
        <v/>
      </c>
      <c r="FG2" s="165" t="str">
        <f t="shared" si="2"/>
        <v/>
      </c>
      <c r="FH2" s="165" t="str">
        <f t="shared" si="2"/>
        <v/>
      </c>
      <c r="FI2" s="165" t="str">
        <f t="shared" si="2"/>
        <v/>
      </c>
      <c r="FJ2" s="165" t="str">
        <f t="shared" si="2"/>
        <v/>
      </c>
      <c r="FK2" s="165" t="str">
        <f t="shared" si="2"/>
        <v/>
      </c>
      <c r="FL2" s="165" t="str">
        <f t="shared" si="2"/>
        <v/>
      </c>
      <c r="FM2" s="165" t="str">
        <f t="shared" si="2"/>
        <v/>
      </c>
      <c r="FN2" s="165" t="str">
        <f t="shared" si="2"/>
        <v/>
      </c>
      <c r="FO2" s="165" t="str">
        <f t="shared" si="2"/>
        <v/>
      </c>
      <c r="FP2" s="165" t="str">
        <f t="shared" si="2"/>
        <v/>
      </c>
      <c r="FQ2" s="165" t="str">
        <f t="shared" si="2"/>
        <v/>
      </c>
      <c r="FR2" s="165" t="str">
        <f t="shared" si="2"/>
        <v/>
      </c>
      <c r="FS2" s="165" t="str">
        <f t="shared" si="2"/>
        <v/>
      </c>
      <c r="FT2" s="165" t="str">
        <f t="shared" si="2"/>
        <v/>
      </c>
      <c r="FU2" s="165" t="str">
        <f t="shared" si="2"/>
        <v/>
      </c>
      <c r="FV2" s="165" t="str">
        <f t="shared" si="2"/>
        <v/>
      </c>
      <c r="FW2" s="165" t="str">
        <f t="shared" si="2"/>
        <v/>
      </c>
      <c r="FX2" s="165" t="str">
        <f t="shared" si="2"/>
        <v/>
      </c>
      <c r="FY2" s="165" t="str">
        <f t="shared" si="2"/>
        <v/>
      </c>
      <c r="FZ2" s="165" t="str">
        <f t="shared" si="2"/>
        <v/>
      </c>
      <c r="GA2" s="165" t="str">
        <f t="shared" si="2"/>
        <v/>
      </c>
      <c r="GB2" s="165" t="str">
        <f t="shared" si="2"/>
        <v/>
      </c>
      <c r="GC2" s="165" t="str">
        <f t="shared" si="2"/>
        <v/>
      </c>
      <c r="GD2" s="165" t="str">
        <f t="shared" si="2"/>
        <v/>
      </c>
      <c r="GE2" s="165" t="str">
        <f t="shared" si="2"/>
        <v/>
      </c>
      <c r="GF2" s="165" t="str">
        <f t="shared" si="2"/>
        <v/>
      </c>
      <c r="GG2" s="165" t="str">
        <f t="shared" si="2"/>
        <v/>
      </c>
      <c r="GH2" s="165" t="str">
        <f t="shared" si="2"/>
        <v/>
      </c>
      <c r="GI2" s="165" t="str">
        <f t="shared" si="2"/>
        <v/>
      </c>
      <c r="GJ2" s="165" t="str">
        <f t="shared" ref="GJ2:IQ2" si="3">IF(GI3="","",GI2+1)</f>
        <v/>
      </c>
      <c r="GK2" s="165" t="str">
        <f t="shared" si="3"/>
        <v/>
      </c>
      <c r="GL2" s="165" t="str">
        <f t="shared" si="3"/>
        <v/>
      </c>
      <c r="GM2" s="165" t="str">
        <f t="shared" si="3"/>
        <v/>
      </c>
      <c r="GN2" s="165" t="str">
        <f t="shared" si="3"/>
        <v/>
      </c>
      <c r="GO2" s="165" t="str">
        <f t="shared" si="3"/>
        <v/>
      </c>
      <c r="GP2" s="165" t="str">
        <f t="shared" si="3"/>
        <v/>
      </c>
      <c r="GQ2" s="165" t="str">
        <f t="shared" si="3"/>
        <v/>
      </c>
      <c r="GR2" s="165" t="str">
        <f t="shared" si="3"/>
        <v/>
      </c>
      <c r="GS2" s="165" t="str">
        <f t="shared" si="3"/>
        <v/>
      </c>
      <c r="GT2" s="165" t="str">
        <f t="shared" si="3"/>
        <v/>
      </c>
      <c r="GU2" s="165" t="str">
        <f t="shared" si="3"/>
        <v/>
      </c>
      <c r="GV2" s="165" t="str">
        <f t="shared" si="3"/>
        <v/>
      </c>
      <c r="GW2" s="165" t="str">
        <f t="shared" si="3"/>
        <v/>
      </c>
      <c r="GX2" s="165" t="str">
        <f t="shared" si="3"/>
        <v/>
      </c>
      <c r="GY2" s="165" t="str">
        <f t="shared" si="3"/>
        <v/>
      </c>
      <c r="GZ2" s="165" t="str">
        <f t="shared" si="3"/>
        <v/>
      </c>
      <c r="HA2" s="165" t="str">
        <f t="shared" si="3"/>
        <v/>
      </c>
      <c r="HB2" s="165" t="str">
        <f t="shared" si="3"/>
        <v/>
      </c>
      <c r="HC2" s="165" t="str">
        <f t="shared" si="3"/>
        <v/>
      </c>
      <c r="HD2" s="165" t="str">
        <f t="shared" si="3"/>
        <v/>
      </c>
      <c r="HE2" s="165" t="str">
        <f t="shared" si="3"/>
        <v/>
      </c>
      <c r="HF2" s="165" t="str">
        <f t="shared" si="3"/>
        <v/>
      </c>
      <c r="HG2" s="165" t="str">
        <f t="shared" si="3"/>
        <v/>
      </c>
      <c r="HH2" s="165" t="str">
        <f t="shared" si="3"/>
        <v/>
      </c>
      <c r="HI2" s="165" t="str">
        <f t="shared" si="3"/>
        <v/>
      </c>
      <c r="HJ2" s="165" t="str">
        <f t="shared" si="3"/>
        <v/>
      </c>
      <c r="HK2" s="165" t="str">
        <f t="shared" si="3"/>
        <v/>
      </c>
      <c r="HL2" s="165" t="str">
        <f t="shared" si="3"/>
        <v/>
      </c>
      <c r="HM2" s="165" t="str">
        <f t="shared" si="3"/>
        <v/>
      </c>
      <c r="HN2" s="165" t="str">
        <f t="shared" si="3"/>
        <v/>
      </c>
      <c r="HO2" s="165" t="str">
        <f t="shared" si="3"/>
        <v/>
      </c>
      <c r="HP2" s="165" t="str">
        <f t="shared" si="3"/>
        <v/>
      </c>
      <c r="HQ2" s="165" t="str">
        <f t="shared" si="3"/>
        <v/>
      </c>
      <c r="HR2" s="165" t="str">
        <f t="shared" si="3"/>
        <v/>
      </c>
      <c r="HS2" s="165" t="str">
        <f t="shared" si="3"/>
        <v/>
      </c>
      <c r="HT2" s="165" t="str">
        <f t="shared" si="3"/>
        <v/>
      </c>
      <c r="HU2" s="165" t="str">
        <f t="shared" si="3"/>
        <v/>
      </c>
      <c r="HV2" s="165" t="str">
        <f t="shared" si="3"/>
        <v/>
      </c>
      <c r="HW2" s="165" t="str">
        <f t="shared" si="3"/>
        <v/>
      </c>
      <c r="HX2" s="165" t="str">
        <f t="shared" si="3"/>
        <v/>
      </c>
      <c r="HY2" s="165" t="str">
        <f t="shared" si="3"/>
        <v/>
      </c>
      <c r="HZ2" s="165" t="str">
        <f t="shared" si="3"/>
        <v/>
      </c>
      <c r="IA2" s="165" t="str">
        <f t="shared" si="3"/>
        <v/>
      </c>
      <c r="IB2" s="165" t="str">
        <f t="shared" si="3"/>
        <v/>
      </c>
      <c r="IC2" s="165" t="str">
        <f t="shared" si="3"/>
        <v/>
      </c>
      <c r="ID2" s="165" t="str">
        <f t="shared" si="3"/>
        <v/>
      </c>
      <c r="IE2" s="165" t="str">
        <f t="shared" si="3"/>
        <v/>
      </c>
      <c r="IF2" s="165" t="str">
        <f t="shared" si="3"/>
        <v/>
      </c>
      <c r="IG2" s="165" t="str">
        <f t="shared" si="3"/>
        <v/>
      </c>
      <c r="IH2" s="165" t="str">
        <f t="shared" si="3"/>
        <v/>
      </c>
      <c r="II2" s="165" t="str">
        <f t="shared" si="3"/>
        <v/>
      </c>
      <c r="IJ2" s="165" t="str">
        <f t="shared" si="3"/>
        <v/>
      </c>
      <c r="IK2" s="165" t="str">
        <f t="shared" si="3"/>
        <v/>
      </c>
      <c r="IL2" s="165" t="str">
        <f t="shared" si="3"/>
        <v/>
      </c>
      <c r="IM2" s="165" t="str">
        <f t="shared" si="3"/>
        <v/>
      </c>
      <c r="IN2" s="165" t="str">
        <f t="shared" si="3"/>
        <v/>
      </c>
      <c r="IO2" s="165" t="str">
        <f t="shared" si="3"/>
        <v/>
      </c>
      <c r="IP2" s="165" t="str">
        <f t="shared" si="3"/>
        <v/>
      </c>
      <c r="IQ2" s="165" t="str">
        <f t="shared" si="3"/>
        <v/>
      </c>
    </row>
    <row r="3" spans="1:251" s="102" customFormat="1" ht="12.75" customHeight="1" x14ac:dyDescent="0.2">
      <c r="A3" s="166" t="s">
        <v>93</v>
      </c>
      <c r="B3" s="102" t="s">
        <v>243</v>
      </c>
      <c r="C3" s="102" t="s">
        <v>243</v>
      </c>
      <c r="D3" s="102" t="s">
        <v>272</v>
      </c>
      <c r="E3" s="253" t="s">
        <v>243</v>
      </c>
      <c r="F3" s="253" t="s">
        <v>243</v>
      </c>
      <c r="G3" s="253" t="s">
        <v>243</v>
      </c>
      <c r="H3" s="253" t="s">
        <v>272</v>
      </c>
      <c r="I3" s="253" t="s">
        <v>243</v>
      </c>
      <c r="J3" s="253" t="s">
        <v>271</v>
      </c>
      <c r="K3" s="253" t="s">
        <v>243</v>
      </c>
      <c r="L3" s="131" t="s">
        <v>243</v>
      </c>
      <c r="M3" s="102" t="s">
        <v>243</v>
      </c>
      <c r="N3" s="102" t="s">
        <v>243</v>
      </c>
      <c r="O3" s="102" t="s">
        <v>243</v>
      </c>
      <c r="P3" s="102" t="s">
        <v>243</v>
      </c>
      <c r="Q3" s="253" t="s">
        <v>272</v>
      </c>
      <c r="R3" s="253" t="s">
        <v>243</v>
      </c>
      <c r="S3" s="236" t="s">
        <v>243</v>
      </c>
      <c r="T3" s="236" t="s">
        <v>243</v>
      </c>
      <c r="U3" s="237" t="s">
        <v>272</v>
      </c>
      <c r="V3" s="236" t="s">
        <v>243</v>
      </c>
      <c r="W3" s="236" t="s">
        <v>538</v>
      </c>
      <c r="X3" s="284" t="s">
        <v>628</v>
      </c>
      <c r="Z3" s="131"/>
      <c r="AA3" s="131"/>
      <c r="AB3" s="131"/>
      <c r="AC3" s="131"/>
      <c r="GH3" s="167"/>
      <c r="GI3" s="167"/>
      <c r="GJ3" s="167"/>
      <c r="GK3" s="167"/>
      <c r="GL3" s="167"/>
      <c r="GM3" s="167"/>
      <c r="GN3" s="167"/>
      <c r="GO3" s="167"/>
      <c r="GP3" s="167"/>
      <c r="GQ3" s="167"/>
      <c r="GR3" s="167"/>
      <c r="GS3" s="167"/>
      <c r="GT3" s="167"/>
      <c r="GU3" s="167"/>
      <c r="GV3" s="167"/>
      <c r="GW3" s="167"/>
      <c r="GX3" s="167"/>
      <c r="GY3" s="167"/>
      <c r="GZ3" s="167"/>
      <c r="HA3" s="167"/>
      <c r="HB3" s="167"/>
      <c r="HC3" s="167"/>
      <c r="HD3" s="167"/>
      <c r="HE3" s="167"/>
      <c r="HF3" s="167"/>
      <c r="HG3" s="167"/>
    </row>
    <row r="4" spans="1:251" s="102" customFormat="1" ht="63.75" x14ac:dyDescent="0.2">
      <c r="A4" s="166" t="s">
        <v>94</v>
      </c>
      <c r="B4" s="131" t="s">
        <v>358</v>
      </c>
      <c r="C4" s="131" t="s">
        <v>368</v>
      </c>
      <c r="D4" s="131" t="s">
        <v>334</v>
      </c>
      <c r="E4" s="253" t="s">
        <v>273</v>
      </c>
      <c r="F4" s="253" t="s">
        <v>274</v>
      </c>
      <c r="G4" s="253" t="s">
        <v>275</v>
      </c>
      <c r="H4" s="253" t="s">
        <v>369</v>
      </c>
      <c r="I4" s="253" t="s">
        <v>370</v>
      </c>
      <c r="J4" s="253" t="s">
        <v>276</v>
      </c>
      <c r="K4" s="253" t="s">
        <v>241</v>
      </c>
      <c r="L4" s="102" t="s">
        <v>242</v>
      </c>
      <c r="M4" s="131" t="s">
        <v>371</v>
      </c>
      <c r="N4" s="102" t="s">
        <v>372</v>
      </c>
      <c r="O4" s="102" t="s">
        <v>370</v>
      </c>
      <c r="P4" s="131" t="s">
        <v>418</v>
      </c>
      <c r="Q4" s="253" t="s">
        <v>3</v>
      </c>
      <c r="R4" s="253" t="s">
        <v>4</v>
      </c>
      <c r="S4" s="236" t="s">
        <v>539</v>
      </c>
      <c r="T4" s="236" t="s">
        <v>540</v>
      </c>
      <c r="U4" s="237" t="s">
        <v>541</v>
      </c>
      <c r="V4" s="236" t="s">
        <v>542</v>
      </c>
      <c r="W4" s="236" t="s">
        <v>543</v>
      </c>
      <c r="X4" s="284" t="s">
        <v>629</v>
      </c>
      <c r="Z4" s="131"/>
      <c r="AA4" s="131"/>
      <c r="AB4" s="131"/>
      <c r="AC4" s="131"/>
      <c r="AE4" s="131"/>
      <c r="AF4" s="131"/>
      <c r="AG4" s="131"/>
      <c r="AV4" s="131"/>
      <c r="AW4" s="131"/>
      <c r="AX4" s="131"/>
      <c r="AY4" s="131"/>
      <c r="AZ4" s="131"/>
      <c r="BA4" s="131"/>
      <c r="BB4" s="131"/>
      <c r="GF4" s="167"/>
      <c r="GH4" s="167"/>
      <c r="GI4" s="167"/>
      <c r="GJ4" s="167"/>
      <c r="GK4" s="167"/>
      <c r="GL4" s="167"/>
      <c r="GM4" s="167"/>
      <c r="GN4" s="167"/>
      <c r="GO4" s="167"/>
      <c r="GP4" s="167"/>
      <c r="GQ4" s="167"/>
      <c r="GR4" s="167"/>
      <c r="GS4" s="167"/>
      <c r="GT4" s="167"/>
      <c r="GU4" s="167"/>
      <c r="GV4" s="167"/>
      <c r="GW4" s="167"/>
      <c r="GX4" s="167"/>
      <c r="GY4" s="167"/>
      <c r="GZ4" s="167"/>
      <c r="HA4" s="167"/>
      <c r="HB4" s="167"/>
      <c r="HC4" s="167"/>
      <c r="HD4" s="167"/>
      <c r="HE4" s="167"/>
      <c r="HF4" s="167"/>
      <c r="HG4" s="167"/>
    </row>
    <row r="5" spans="1:251" s="132" customFormat="1" ht="25.5" x14ac:dyDescent="0.2">
      <c r="A5" s="168" t="s">
        <v>95</v>
      </c>
      <c r="B5" s="132" t="s">
        <v>277</v>
      </c>
      <c r="C5" s="132" t="s">
        <v>373</v>
      </c>
      <c r="D5" s="132" t="s">
        <v>335</v>
      </c>
      <c r="E5" s="253" t="s">
        <v>244</v>
      </c>
      <c r="F5" s="253" t="s">
        <v>374</v>
      </c>
      <c r="G5" s="253" t="s">
        <v>279</v>
      </c>
      <c r="H5" s="253" t="s">
        <v>280</v>
      </c>
      <c r="I5" s="253" t="s">
        <v>281</v>
      </c>
      <c r="J5" s="253" t="s">
        <v>280</v>
      </c>
      <c r="K5" s="253" t="s">
        <v>244</v>
      </c>
      <c r="L5" s="132" t="s">
        <v>375</v>
      </c>
      <c r="M5" s="132" t="s">
        <v>282</v>
      </c>
      <c r="N5" s="132" t="s">
        <v>376</v>
      </c>
      <c r="O5" s="132" t="s">
        <v>281</v>
      </c>
      <c r="P5" s="132" t="s">
        <v>419</v>
      </c>
      <c r="Q5" s="253" t="s">
        <v>5</v>
      </c>
      <c r="R5" s="253" t="s">
        <v>6</v>
      </c>
      <c r="S5" s="238" t="s">
        <v>544</v>
      </c>
      <c r="T5" s="238" t="s">
        <v>545</v>
      </c>
      <c r="U5" s="239" t="s">
        <v>546</v>
      </c>
      <c r="V5" s="238" t="s">
        <v>547</v>
      </c>
      <c r="W5" s="238" t="s">
        <v>548</v>
      </c>
      <c r="X5" s="243" t="s">
        <v>630</v>
      </c>
      <c r="Z5" s="133"/>
      <c r="AA5" s="133"/>
      <c r="AB5" s="133"/>
      <c r="AC5" s="133"/>
      <c r="AE5" s="133"/>
      <c r="DT5" s="133"/>
      <c r="GH5" s="169"/>
      <c r="GI5" s="169"/>
      <c r="GJ5" s="169"/>
      <c r="GK5" s="169"/>
      <c r="GL5" s="169"/>
      <c r="GM5" s="169"/>
      <c r="GN5" s="169"/>
      <c r="GO5" s="169"/>
      <c r="GP5" s="169"/>
      <c r="GQ5" s="169"/>
      <c r="GR5" s="169"/>
      <c r="GS5" s="169"/>
      <c r="GT5" s="169"/>
      <c r="GU5" s="169"/>
      <c r="GV5" s="169"/>
      <c r="GW5" s="169"/>
      <c r="GX5" s="169"/>
      <c r="GY5" s="169"/>
      <c r="GZ5" s="169"/>
      <c r="HA5" s="169"/>
      <c r="HB5" s="170"/>
      <c r="HC5" s="169"/>
      <c r="HD5" s="169"/>
      <c r="HE5" s="169"/>
      <c r="HF5" s="169"/>
      <c r="HG5" s="169"/>
    </row>
    <row r="6" spans="1:251" s="132" customFormat="1" ht="25.5" x14ac:dyDescent="0.2">
      <c r="A6" s="168" t="s">
        <v>96</v>
      </c>
      <c r="D6" s="132" t="s">
        <v>336</v>
      </c>
      <c r="E6" s="253"/>
      <c r="F6" s="253"/>
      <c r="G6" s="253"/>
      <c r="H6" s="253"/>
      <c r="I6" s="253"/>
      <c r="J6" s="253"/>
      <c r="K6" s="253"/>
      <c r="P6" s="132" t="s">
        <v>420</v>
      </c>
      <c r="Q6" s="253" t="s">
        <v>7</v>
      </c>
      <c r="R6" s="253" t="s">
        <v>8</v>
      </c>
      <c r="S6" s="238"/>
      <c r="T6" s="238"/>
      <c r="U6" s="239" t="s">
        <v>549</v>
      </c>
      <c r="V6" s="238"/>
      <c r="W6" s="238" t="s">
        <v>550</v>
      </c>
      <c r="X6" s="238"/>
      <c r="Z6" s="133"/>
      <c r="AA6" s="133"/>
      <c r="AB6" s="133"/>
      <c r="AC6" s="133"/>
      <c r="GH6" s="169"/>
      <c r="GI6" s="169"/>
      <c r="GJ6" s="169"/>
      <c r="GK6" s="169"/>
      <c r="GL6" s="169"/>
      <c r="GM6" s="169"/>
      <c r="GN6" s="169"/>
      <c r="GO6" s="169"/>
      <c r="GP6" s="169"/>
      <c r="GQ6" s="169"/>
      <c r="GR6" s="169"/>
      <c r="GS6" s="169"/>
      <c r="GT6" s="169"/>
      <c r="GU6" s="169"/>
      <c r="GV6" s="169"/>
      <c r="GW6" s="169"/>
      <c r="GX6" s="169"/>
      <c r="GY6" s="169"/>
      <c r="GZ6" s="169"/>
      <c r="HA6" s="169"/>
      <c r="HB6" s="169"/>
      <c r="HC6" s="169"/>
      <c r="HD6" s="169"/>
      <c r="HE6" s="169"/>
      <c r="HF6" s="169"/>
      <c r="HG6" s="169"/>
    </row>
    <row r="7" spans="1:251" s="134" customFormat="1" x14ac:dyDescent="0.2">
      <c r="A7" s="166" t="s">
        <v>97</v>
      </c>
      <c r="B7" s="135" t="s">
        <v>23</v>
      </c>
      <c r="C7" s="134" t="s">
        <v>284</v>
      </c>
      <c r="D7" s="134" t="s">
        <v>333</v>
      </c>
      <c r="E7" s="254" t="s">
        <v>291</v>
      </c>
      <c r="F7" s="254" t="s">
        <v>246</v>
      </c>
      <c r="G7" s="254" t="s">
        <v>285</v>
      </c>
      <c r="H7" s="254" t="s">
        <v>283</v>
      </c>
      <c r="I7" s="254" t="s">
        <v>284</v>
      </c>
      <c r="J7" s="254" t="s">
        <v>283</v>
      </c>
      <c r="K7" s="254" t="s">
        <v>291</v>
      </c>
      <c r="L7" s="134" t="s">
        <v>246</v>
      </c>
      <c r="M7" s="134" t="s">
        <v>283</v>
      </c>
      <c r="N7" s="134" t="s">
        <v>284</v>
      </c>
      <c r="O7" s="135" t="s">
        <v>284</v>
      </c>
      <c r="P7" s="135" t="s">
        <v>286</v>
      </c>
      <c r="Q7" s="254" t="s">
        <v>285</v>
      </c>
      <c r="R7" s="254" t="s">
        <v>9</v>
      </c>
      <c r="S7" s="240" t="s">
        <v>290</v>
      </c>
      <c r="T7" s="241" t="s">
        <v>290</v>
      </c>
      <c r="U7" s="242" t="s">
        <v>246</v>
      </c>
      <c r="V7" s="241" t="s">
        <v>290</v>
      </c>
      <c r="W7" s="241" t="s">
        <v>291</v>
      </c>
      <c r="X7" s="240" t="s">
        <v>631</v>
      </c>
      <c r="Z7" s="135"/>
      <c r="AA7" s="135"/>
      <c r="AB7" s="135"/>
      <c r="AC7" s="135"/>
      <c r="AE7" s="135"/>
      <c r="GH7" s="171"/>
      <c r="GI7" s="171"/>
      <c r="GJ7" s="171"/>
      <c r="GK7" s="171"/>
      <c r="GL7" s="171"/>
      <c r="GM7" s="171"/>
      <c r="GN7" s="171"/>
      <c r="GO7" s="171"/>
      <c r="GP7" s="171"/>
      <c r="GQ7" s="171"/>
      <c r="GR7" s="171"/>
      <c r="GS7" s="171"/>
      <c r="GT7" s="171"/>
      <c r="GU7" s="171"/>
      <c r="GV7" s="171"/>
      <c r="GW7" s="171"/>
      <c r="GX7" s="171"/>
      <c r="GY7" s="171"/>
      <c r="GZ7" s="171"/>
      <c r="HA7" s="171"/>
      <c r="HB7" s="171"/>
      <c r="HC7" s="171"/>
      <c r="HD7" s="171"/>
      <c r="HE7" s="171"/>
      <c r="HF7" s="171"/>
      <c r="HG7" s="171"/>
    </row>
    <row r="8" spans="1:251" s="134" customFormat="1" ht="12.75" customHeight="1" x14ac:dyDescent="0.2">
      <c r="A8" s="166" t="s">
        <v>110</v>
      </c>
      <c r="B8" s="135"/>
      <c r="C8" s="135" t="s">
        <v>377</v>
      </c>
      <c r="D8" s="135"/>
      <c r="E8" s="254" t="s">
        <v>28</v>
      </c>
      <c r="F8" s="254" t="s">
        <v>444</v>
      </c>
      <c r="G8" s="254"/>
      <c r="H8" s="254"/>
      <c r="I8" s="254" t="s">
        <v>445</v>
      </c>
      <c r="J8" s="254"/>
      <c r="K8" s="254"/>
      <c r="L8" s="135" t="s">
        <v>446</v>
      </c>
      <c r="M8" s="135"/>
      <c r="N8" s="135"/>
      <c r="O8" s="135" t="s">
        <v>445</v>
      </c>
      <c r="P8" s="135"/>
      <c r="Q8" s="254"/>
      <c r="R8" s="254" t="s">
        <v>10</v>
      </c>
      <c r="S8" s="240"/>
      <c r="T8" s="240"/>
      <c r="U8" s="242"/>
      <c r="V8" s="240"/>
      <c r="W8" s="240"/>
      <c r="X8" s="240"/>
      <c r="Z8" s="135"/>
      <c r="AA8" s="135"/>
      <c r="AB8" s="135"/>
      <c r="AC8" s="135"/>
      <c r="GH8" s="171"/>
      <c r="GI8" s="171"/>
      <c r="GJ8" s="171"/>
      <c r="GK8" s="171"/>
      <c r="GL8" s="171"/>
      <c r="GM8" s="171"/>
      <c r="GN8" s="171"/>
      <c r="GO8" s="171"/>
      <c r="GP8" s="171"/>
      <c r="GQ8" s="171"/>
      <c r="GR8" s="171"/>
      <c r="GS8" s="171"/>
      <c r="GT8" s="171"/>
      <c r="GU8" s="171"/>
      <c r="GV8" s="171"/>
      <c r="GW8" s="171"/>
      <c r="GX8" s="171"/>
      <c r="GY8" s="171"/>
      <c r="GZ8" s="171"/>
      <c r="HA8" s="171"/>
      <c r="HB8" s="171"/>
      <c r="HC8" s="171"/>
      <c r="HD8" s="171"/>
      <c r="HE8" s="171"/>
      <c r="HF8" s="171"/>
      <c r="HG8" s="171"/>
    </row>
    <row r="9" spans="1:251" s="132" customFormat="1" x14ac:dyDescent="0.2">
      <c r="A9" s="168" t="s">
        <v>98</v>
      </c>
      <c r="B9" s="136" t="s">
        <v>287</v>
      </c>
      <c r="C9" s="137" t="s">
        <v>287</v>
      </c>
      <c r="D9" s="138" t="s">
        <v>337</v>
      </c>
      <c r="E9" s="255" t="s">
        <v>247</v>
      </c>
      <c r="F9" s="255" t="s">
        <v>247</v>
      </c>
      <c r="G9" s="255" t="s">
        <v>288</v>
      </c>
      <c r="H9" s="255" t="s">
        <v>287</v>
      </c>
      <c r="I9" s="255" t="s">
        <v>289</v>
      </c>
      <c r="J9" s="255" t="s">
        <v>287</v>
      </c>
      <c r="K9" s="255" t="s">
        <v>247</v>
      </c>
      <c r="L9" s="138" t="s">
        <v>248</v>
      </c>
      <c r="M9" s="138" t="s">
        <v>287</v>
      </c>
      <c r="N9" s="133" t="s">
        <v>287</v>
      </c>
      <c r="O9" s="133" t="s">
        <v>289</v>
      </c>
      <c r="P9" s="133" t="s">
        <v>287</v>
      </c>
      <c r="Q9" s="253" t="s">
        <v>11</v>
      </c>
      <c r="R9" s="253" t="s">
        <v>12</v>
      </c>
      <c r="S9" s="243"/>
      <c r="T9" s="243"/>
      <c r="U9" s="239"/>
      <c r="V9" s="243"/>
      <c r="W9" s="243"/>
      <c r="X9" s="243"/>
      <c r="Z9" s="133"/>
      <c r="AA9" s="133"/>
      <c r="AB9" s="133"/>
      <c r="AC9" s="133"/>
      <c r="AE9" s="133"/>
      <c r="BD9" s="133"/>
      <c r="GH9" s="169"/>
      <c r="GI9" s="169"/>
      <c r="GJ9" s="169"/>
      <c r="GK9" s="169"/>
      <c r="GL9" s="169"/>
      <c r="GM9" s="169"/>
      <c r="GN9" s="169"/>
      <c r="GO9" s="169"/>
      <c r="GP9" s="169"/>
      <c r="GQ9" s="169"/>
      <c r="GR9" s="169"/>
      <c r="GS9" s="169"/>
      <c r="GT9" s="169"/>
      <c r="GU9" s="169"/>
      <c r="GV9" s="169"/>
      <c r="GW9" s="169"/>
      <c r="GX9" s="169"/>
      <c r="GY9" s="169"/>
      <c r="GZ9" s="169"/>
      <c r="HA9" s="169"/>
      <c r="HB9" s="169"/>
      <c r="HC9" s="169"/>
      <c r="HD9" s="169"/>
      <c r="HE9" s="169"/>
      <c r="HF9" s="169"/>
      <c r="HG9" s="169"/>
    </row>
    <row r="10" spans="1:251" s="132" customFormat="1" ht="25.5" x14ac:dyDescent="0.2">
      <c r="A10" s="168" t="s">
        <v>99</v>
      </c>
      <c r="B10" s="133" t="s">
        <v>359</v>
      </c>
      <c r="C10" s="132" t="s">
        <v>378</v>
      </c>
      <c r="D10" s="132" t="s">
        <v>338</v>
      </c>
      <c r="E10" s="253" t="s">
        <v>379</v>
      </c>
      <c r="F10" s="253" t="s">
        <v>374</v>
      </c>
      <c r="G10" s="253" t="s">
        <v>380</v>
      </c>
      <c r="H10" s="253" t="s">
        <v>381</v>
      </c>
      <c r="I10" s="253" t="s">
        <v>281</v>
      </c>
      <c r="J10" s="253" t="s">
        <v>382</v>
      </c>
      <c r="K10" s="253" t="s">
        <v>379</v>
      </c>
      <c r="L10" s="132" t="s">
        <v>245</v>
      </c>
      <c r="M10" s="132" t="s">
        <v>282</v>
      </c>
      <c r="N10" s="132" t="s">
        <v>383</v>
      </c>
      <c r="O10" s="132" t="s">
        <v>281</v>
      </c>
      <c r="P10" s="132" t="s">
        <v>421</v>
      </c>
      <c r="Q10" s="253" t="s">
        <v>11</v>
      </c>
      <c r="R10" s="253" t="s">
        <v>281</v>
      </c>
      <c r="S10" s="238"/>
      <c r="T10" s="238"/>
      <c r="U10" s="239"/>
      <c r="V10" s="238"/>
      <c r="W10" s="238"/>
      <c r="X10" s="238"/>
      <c r="Z10" s="133"/>
      <c r="AA10" s="133"/>
      <c r="AB10" s="133"/>
      <c r="AC10" s="133"/>
      <c r="GH10" s="169"/>
      <c r="GI10" s="169"/>
      <c r="GJ10" s="169"/>
      <c r="GK10" s="169"/>
      <c r="GL10" s="169"/>
      <c r="GM10" s="169"/>
      <c r="GN10" s="169"/>
      <c r="GO10" s="169"/>
      <c r="GP10" s="169"/>
      <c r="GQ10" s="169"/>
      <c r="GR10" s="169"/>
      <c r="GS10" s="169"/>
      <c r="GT10" s="169"/>
      <c r="GU10" s="169"/>
      <c r="GV10" s="169"/>
      <c r="GW10" s="169"/>
      <c r="GX10" s="169"/>
      <c r="GY10" s="169"/>
      <c r="GZ10" s="169"/>
      <c r="HA10" s="169"/>
      <c r="HB10" s="169"/>
      <c r="HC10" s="169"/>
      <c r="HD10" s="169"/>
      <c r="HE10" s="169"/>
      <c r="HF10" s="169"/>
      <c r="HG10" s="169"/>
    </row>
    <row r="11" spans="1:251" s="134" customFormat="1" ht="12.75" customHeight="1" x14ac:dyDescent="0.2">
      <c r="A11" s="166" t="s">
        <v>100</v>
      </c>
      <c r="D11" s="134" t="s">
        <v>384</v>
      </c>
      <c r="E11" s="254" t="s">
        <v>29</v>
      </c>
      <c r="F11" s="254" t="s">
        <v>385</v>
      </c>
      <c r="G11" s="254"/>
      <c r="H11" s="254"/>
      <c r="I11" s="254" t="s">
        <v>386</v>
      </c>
      <c r="J11" s="254"/>
      <c r="K11" s="254"/>
      <c r="L11" s="134" t="s">
        <v>387</v>
      </c>
      <c r="N11" s="134" t="s">
        <v>388</v>
      </c>
      <c r="O11" s="134" t="s">
        <v>386</v>
      </c>
      <c r="Q11" s="254" t="s">
        <v>13</v>
      </c>
      <c r="R11" s="254" t="s">
        <v>14</v>
      </c>
      <c r="S11" s="241"/>
      <c r="T11" s="241"/>
      <c r="U11" s="242"/>
      <c r="V11" s="241"/>
      <c r="W11" s="241" t="s">
        <v>551</v>
      </c>
      <c r="X11" s="241"/>
      <c r="Z11" s="135"/>
      <c r="AA11" s="135"/>
      <c r="AB11" s="135"/>
      <c r="AC11" s="135"/>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row>
    <row r="12" spans="1:251" s="134" customFormat="1" ht="12.75" customHeight="1" x14ac:dyDescent="0.2">
      <c r="A12" s="166" t="s">
        <v>101</v>
      </c>
      <c r="D12" s="134" t="s">
        <v>389</v>
      </c>
      <c r="E12" s="254"/>
      <c r="F12" s="254" t="s">
        <v>390</v>
      </c>
      <c r="G12" s="254"/>
      <c r="H12" s="254"/>
      <c r="I12" s="254"/>
      <c r="J12" s="254" t="s">
        <v>391</v>
      </c>
      <c r="K12" s="254" t="s">
        <v>392</v>
      </c>
      <c r="L12" s="134" t="s">
        <v>393</v>
      </c>
      <c r="N12" s="134" t="s">
        <v>389</v>
      </c>
      <c r="Q12" s="254" t="s">
        <v>15</v>
      </c>
      <c r="R12" s="254" t="s">
        <v>16</v>
      </c>
      <c r="S12" s="241"/>
      <c r="T12" s="241"/>
      <c r="U12" s="242"/>
      <c r="V12" s="241"/>
      <c r="W12" s="241"/>
      <c r="X12" s="241"/>
      <c r="Z12" s="135"/>
      <c r="AA12" s="135"/>
      <c r="AB12" s="135"/>
      <c r="AC12" s="135"/>
      <c r="GH12" s="171"/>
      <c r="GI12" s="171"/>
      <c r="GJ12" s="171"/>
      <c r="GK12" s="171"/>
      <c r="GL12" s="171"/>
      <c r="GM12" s="171"/>
      <c r="GN12" s="171"/>
      <c r="GO12" s="171"/>
      <c r="GP12" s="171"/>
      <c r="GQ12" s="171"/>
      <c r="GR12" s="171"/>
      <c r="GS12" s="171"/>
      <c r="GT12" s="171"/>
      <c r="GU12" s="171"/>
      <c r="GV12" s="171"/>
      <c r="GW12" s="171"/>
      <c r="GX12" s="171"/>
      <c r="GY12" s="171"/>
      <c r="GZ12" s="171"/>
      <c r="HA12" s="171"/>
      <c r="HB12" s="171"/>
      <c r="HC12" s="171"/>
      <c r="HD12" s="171"/>
      <c r="HE12" s="171"/>
      <c r="HF12" s="171"/>
      <c r="HG12" s="171"/>
    </row>
    <row r="13" spans="1:251" s="132" customFormat="1" ht="12.75" customHeight="1" x14ac:dyDescent="0.2">
      <c r="A13" s="168" t="s">
        <v>102</v>
      </c>
      <c r="E13" s="253"/>
      <c r="F13" s="253"/>
      <c r="G13" s="253"/>
      <c r="H13" s="253"/>
      <c r="I13" s="253"/>
      <c r="J13" s="253"/>
      <c r="K13" s="253"/>
      <c r="Q13" s="253"/>
      <c r="R13" s="253"/>
      <c r="S13" s="238"/>
      <c r="T13" s="238"/>
      <c r="U13" s="239"/>
      <c r="V13" s="238"/>
      <c r="W13" s="238"/>
      <c r="X13" s="238"/>
      <c r="Z13" s="133"/>
      <c r="AA13" s="133"/>
      <c r="AB13" s="133"/>
      <c r="AC13" s="133"/>
      <c r="GH13" s="169"/>
      <c r="GI13" s="169"/>
      <c r="GJ13" s="169"/>
      <c r="GK13" s="169"/>
      <c r="GL13" s="169"/>
      <c r="GM13" s="169"/>
      <c r="GN13" s="169"/>
      <c r="GO13" s="169"/>
      <c r="GP13" s="169"/>
      <c r="GQ13" s="169"/>
      <c r="GR13" s="169"/>
      <c r="GS13" s="169"/>
      <c r="GT13" s="169"/>
      <c r="GU13" s="169"/>
      <c r="GV13" s="169"/>
      <c r="GW13" s="169"/>
      <c r="GX13" s="169"/>
      <c r="GY13" s="169"/>
      <c r="GZ13" s="169"/>
      <c r="HA13" s="169"/>
      <c r="HB13" s="169"/>
      <c r="HC13" s="169"/>
      <c r="HD13" s="169"/>
      <c r="HE13" s="169"/>
      <c r="HF13" s="169"/>
      <c r="HG13" s="169"/>
    </row>
    <row r="14" spans="1:251" s="132" customFormat="1" ht="12.75" customHeight="1" x14ac:dyDescent="0.2">
      <c r="A14" s="168" t="s">
        <v>103</v>
      </c>
      <c r="E14" s="253"/>
      <c r="F14" s="253"/>
      <c r="G14" s="253"/>
      <c r="H14" s="253"/>
      <c r="I14" s="253"/>
      <c r="J14" s="253"/>
      <c r="K14" s="253"/>
      <c r="Q14" s="253"/>
      <c r="R14" s="253"/>
      <c r="S14" s="238"/>
      <c r="T14" s="238"/>
      <c r="U14" s="239"/>
      <c r="V14" s="238"/>
      <c r="W14" s="238"/>
      <c r="X14" s="238"/>
      <c r="Z14" s="133"/>
      <c r="AA14" s="133"/>
      <c r="AB14" s="133"/>
      <c r="AC14" s="133"/>
      <c r="GH14" s="169"/>
      <c r="GI14" s="169"/>
      <c r="GJ14" s="169"/>
      <c r="GK14" s="169"/>
      <c r="GL14" s="169"/>
      <c r="GM14" s="169"/>
      <c r="GN14" s="169"/>
      <c r="GO14" s="169"/>
      <c r="GP14" s="169"/>
      <c r="GQ14" s="169"/>
      <c r="GR14" s="169"/>
      <c r="GS14" s="169"/>
      <c r="GT14" s="169"/>
      <c r="GU14" s="169"/>
      <c r="GV14" s="169"/>
      <c r="GW14" s="169"/>
      <c r="GX14" s="169"/>
      <c r="GY14" s="169"/>
      <c r="GZ14" s="169"/>
      <c r="HA14" s="169"/>
      <c r="HB14" s="169"/>
      <c r="HC14" s="169"/>
      <c r="HD14" s="169"/>
      <c r="HE14" s="169"/>
      <c r="HF14" s="169"/>
      <c r="HG14" s="169"/>
    </row>
    <row r="15" spans="1:251" s="102" customFormat="1" ht="12.75" customHeight="1" x14ac:dyDescent="0.2">
      <c r="A15" s="166" t="s">
        <v>104</v>
      </c>
      <c r="D15" s="102" t="s">
        <v>339</v>
      </c>
      <c r="E15" s="253"/>
      <c r="F15" s="253" t="s">
        <v>278</v>
      </c>
      <c r="G15" s="253"/>
      <c r="H15" s="253"/>
      <c r="I15" s="253"/>
      <c r="J15" s="253"/>
      <c r="K15" s="253"/>
      <c r="Q15" s="253" t="s">
        <v>17</v>
      </c>
      <c r="R15" s="253"/>
      <c r="S15" s="236"/>
      <c r="T15" s="236"/>
      <c r="U15" s="237"/>
      <c r="V15" s="236"/>
      <c r="W15" s="236" t="s">
        <v>552</v>
      </c>
      <c r="X15" s="236"/>
      <c r="Z15" s="131"/>
      <c r="AA15" s="131"/>
      <c r="AB15" s="131"/>
      <c r="AC15" s="131"/>
      <c r="GH15" s="167"/>
      <c r="GI15" s="167"/>
      <c r="GJ15" s="167"/>
      <c r="GK15" s="167"/>
      <c r="GL15" s="167"/>
      <c r="GM15" s="167"/>
      <c r="GN15" s="167"/>
      <c r="GO15" s="167"/>
      <c r="GP15" s="167"/>
      <c r="GQ15" s="167"/>
      <c r="GR15" s="167"/>
      <c r="GS15" s="167"/>
      <c r="GT15" s="167"/>
      <c r="GU15" s="167"/>
      <c r="GV15" s="167"/>
      <c r="GW15" s="167"/>
      <c r="GX15" s="167"/>
      <c r="GY15" s="167"/>
      <c r="GZ15" s="167"/>
      <c r="HA15" s="167"/>
      <c r="HB15" s="167"/>
      <c r="HC15" s="167"/>
      <c r="HD15" s="167"/>
      <c r="HE15" s="167"/>
      <c r="HF15" s="167"/>
      <c r="HG15" s="167"/>
    </row>
    <row r="16" spans="1:251" s="134" customFormat="1" ht="12.75" customHeight="1" x14ac:dyDescent="0.2">
      <c r="A16" s="166" t="s">
        <v>105</v>
      </c>
      <c r="E16" s="254"/>
      <c r="F16" s="254" t="s">
        <v>394</v>
      </c>
      <c r="G16" s="254"/>
      <c r="H16" s="254"/>
      <c r="I16" s="254"/>
      <c r="J16" s="254"/>
      <c r="K16" s="254"/>
      <c r="Q16" s="254" t="s">
        <v>18</v>
      </c>
      <c r="R16" s="254"/>
      <c r="S16" s="241"/>
      <c r="T16" s="241"/>
      <c r="U16" s="242"/>
      <c r="V16" s="241"/>
      <c r="W16" s="241" t="s">
        <v>553</v>
      </c>
      <c r="X16" s="241"/>
      <c r="Z16" s="135"/>
      <c r="AA16" s="135"/>
      <c r="AB16" s="135"/>
      <c r="AC16" s="135"/>
      <c r="CH16" s="102"/>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row>
    <row r="17" spans="1:215" s="139" customFormat="1" ht="12.75" customHeight="1" x14ac:dyDescent="0.2">
      <c r="A17" s="168" t="s">
        <v>106</v>
      </c>
      <c r="E17" s="254"/>
      <c r="F17" s="254" t="s">
        <v>395</v>
      </c>
      <c r="G17" s="254"/>
      <c r="H17" s="254"/>
      <c r="I17" s="254"/>
      <c r="J17" s="254"/>
      <c r="K17" s="254"/>
      <c r="Q17" s="254"/>
      <c r="R17" s="254"/>
      <c r="S17" s="244"/>
      <c r="T17" s="244"/>
      <c r="U17" s="245"/>
      <c r="V17" s="244"/>
      <c r="W17" s="244"/>
      <c r="X17" s="244"/>
      <c r="Z17" s="147"/>
      <c r="AA17" s="147"/>
      <c r="AB17" s="147"/>
      <c r="AC17" s="147"/>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row>
    <row r="18" spans="1:215" s="139" customFormat="1" ht="12.75" customHeight="1" x14ac:dyDescent="0.2">
      <c r="A18" s="168" t="s">
        <v>111</v>
      </c>
      <c r="E18" s="254" t="s">
        <v>396</v>
      </c>
      <c r="F18" s="254"/>
      <c r="G18" s="254"/>
      <c r="H18" s="254"/>
      <c r="I18" s="254"/>
      <c r="J18" s="254"/>
      <c r="K18" s="254" t="s">
        <v>396</v>
      </c>
      <c r="Q18" s="254"/>
      <c r="R18" s="254"/>
      <c r="S18" s="244"/>
      <c r="T18" s="244"/>
      <c r="U18" s="245"/>
      <c r="V18" s="244"/>
      <c r="W18" s="244"/>
      <c r="X18" s="244"/>
      <c r="Z18" s="147"/>
      <c r="AA18" s="147"/>
      <c r="AB18" s="147"/>
      <c r="AC18" s="147"/>
      <c r="GH18" s="172"/>
      <c r="GI18" s="172"/>
      <c r="GJ18" s="172"/>
      <c r="GK18" s="172"/>
      <c r="GL18" s="172"/>
      <c r="GM18" s="172"/>
      <c r="GN18" s="172"/>
      <c r="GO18" s="172"/>
      <c r="GP18" s="172"/>
      <c r="GQ18" s="172"/>
      <c r="GR18" s="172"/>
      <c r="GS18" s="172"/>
      <c r="GT18" s="172"/>
      <c r="GU18" s="172"/>
      <c r="GV18" s="172"/>
      <c r="GW18" s="172"/>
      <c r="GX18" s="172"/>
      <c r="GY18" s="172"/>
      <c r="GZ18" s="172"/>
      <c r="HA18" s="172"/>
      <c r="HB18" s="172"/>
      <c r="HC18" s="172"/>
      <c r="HD18" s="172"/>
      <c r="HE18" s="172"/>
      <c r="HF18" s="172"/>
      <c r="HG18" s="172"/>
    </row>
    <row r="19" spans="1:215" s="102" customFormat="1" ht="12.75" customHeight="1" x14ac:dyDescent="0.2">
      <c r="A19" s="166" t="s">
        <v>107</v>
      </c>
      <c r="E19" s="253"/>
      <c r="F19" s="253"/>
      <c r="G19" s="253"/>
      <c r="H19" s="253"/>
      <c r="I19" s="253"/>
      <c r="J19" s="253"/>
      <c r="K19" s="253"/>
      <c r="Q19" s="253"/>
      <c r="R19" s="253"/>
      <c r="S19" s="236"/>
      <c r="T19" s="236"/>
      <c r="U19" s="237"/>
      <c r="V19" s="236"/>
      <c r="W19" s="236"/>
      <c r="X19" s="236"/>
      <c r="Z19" s="131"/>
      <c r="AA19" s="131"/>
      <c r="AB19" s="131"/>
      <c r="AC19" s="131"/>
      <c r="GH19" s="167"/>
      <c r="GI19" s="167"/>
      <c r="GJ19" s="167"/>
      <c r="GK19" s="167"/>
      <c r="GL19" s="167"/>
      <c r="GM19" s="167"/>
      <c r="GN19" s="167"/>
      <c r="GO19" s="167"/>
      <c r="GP19" s="167"/>
      <c r="GQ19" s="167"/>
      <c r="GR19" s="167"/>
      <c r="GS19" s="167"/>
      <c r="GT19" s="167"/>
      <c r="GU19" s="167"/>
      <c r="GV19" s="167"/>
      <c r="GW19" s="167"/>
      <c r="GX19" s="167"/>
      <c r="GY19" s="167"/>
      <c r="GZ19" s="167"/>
      <c r="HA19" s="167"/>
      <c r="HB19" s="167"/>
      <c r="HC19" s="167"/>
      <c r="HD19" s="167"/>
      <c r="HE19" s="167"/>
      <c r="HF19" s="167"/>
      <c r="HG19" s="167"/>
    </row>
    <row r="20" spans="1:215" s="231" customFormat="1" ht="45.75" customHeight="1" x14ac:dyDescent="0.2">
      <c r="A20" s="228" t="s">
        <v>108</v>
      </c>
      <c r="B20" s="235" t="s">
        <v>24</v>
      </c>
      <c r="C20" s="235" t="s">
        <v>26</v>
      </c>
      <c r="D20" s="230"/>
      <c r="E20" s="256" t="s">
        <v>30</v>
      </c>
      <c r="F20" s="257"/>
      <c r="G20" s="257"/>
      <c r="H20" s="255" t="s">
        <v>447</v>
      </c>
      <c r="I20" s="255" t="s">
        <v>448</v>
      </c>
      <c r="J20" s="255" t="s">
        <v>449</v>
      </c>
      <c r="K20" s="256" t="s">
        <v>30</v>
      </c>
      <c r="L20" s="230"/>
      <c r="M20" s="229"/>
      <c r="N20" s="230"/>
      <c r="O20" s="102" t="s">
        <v>448</v>
      </c>
      <c r="P20" s="102"/>
      <c r="Q20" s="255" t="s">
        <v>19</v>
      </c>
      <c r="R20" s="255" t="s">
        <v>20</v>
      </c>
      <c r="S20" s="246" t="s">
        <v>476</v>
      </c>
      <c r="T20" s="246" t="s">
        <v>480</v>
      </c>
      <c r="U20" s="246" t="s">
        <v>483</v>
      </c>
      <c r="V20" s="246" t="s">
        <v>487</v>
      </c>
      <c r="W20" s="246" t="s">
        <v>498</v>
      </c>
      <c r="X20" s="285" t="s">
        <v>632</v>
      </c>
      <c r="Z20" s="131"/>
      <c r="AA20" s="230"/>
      <c r="AB20" s="230"/>
      <c r="AC20" s="230"/>
      <c r="AE20" s="230"/>
      <c r="AF20" s="230"/>
      <c r="AG20" s="230"/>
      <c r="AH20" s="230"/>
      <c r="AI20" s="230"/>
      <c r="AJ20" s="230"/>
      <c r="AK20" s="230"/>
      <c r="AL20" s="230"/>
      <c r="AM20" s="230"/>
      <c r="AN20" s="230"/>
      <c r="AO20" s="230"/>
      <c r="AP20" s="230"/>
      <c r="AQ20" s="230"/>
      <c r="AR20" s="230"/>
      <c r="AS20" s="230"/>
      <c r="AT20" s="230"/>
      <c r="AU20" s="230"/>
      <c r="AV20" s="230"/>
      <c r="AW20" s="230"/>
      <c r="AX20" s="230"/>
      <c r="AY20" s="102"/>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102"/>
      <c r="BV20" s="102"/>
      <c r="BW20" s="102"/>
      <c r="BX20" s="102"/>
      <c r="BY20" s="102"/>
      <c r="BZ20" s="102"/>
      <c r="CA20" s="102"/>
      <c r="CB20" s="102"/>
      <c r="CC20" s="230"/>
      <c r="CD20" s="230"/>
      <c r="CE20" s="230"/>
      <c r="CF20" s="230"/>
      <c r="CG20" s="230"/>
      <c r="CH20" s="230"/>
      <c r="CI20" s="230"/>
      <c r="CJ20" s="230"/>
      <c r="CK20" s="230"/>
      <c r="CL20" s="230"/>
      <c r="CM20" s="230"/>
      <c r="CN20" s="230"/>
      <c r="CO20" s="102"/>
      <c r="CP20" s="230"/>
      <c r="CQ20" s="230"/>
      <c r="CR20" s="102"/>
      <c r="CS20" s="230"/>
      <c r="CT20" s="230"/>
      <c r="CU20" s="230"/>
      <c r="CV20" s="230"/>
      <c r="CW20" s="230"/>
      <c r="CX20" s="230"/>
      <c r="CY20" s="230"/>
      <c r="CZ20" s="230"/>
      <c r="DA20" s="102"/>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102"/>
      <c r="EA20" s="102"/>
      <c r="EB20" s="102"/>
      <c r="EC20" s="102"/>
      <c r="ED20" s="102"/>
      <c r="EE20" s="102"/>
      <c r="EF20" s="102"/>
      <c r="EG20" s="102"/>
      <c r="EH20" s="102"/>
      <c r="EI20" s="102"/>
      <c r="EJ20" s="102"/>
      <c r="EK20" s="102"/>
      <c r="EL20" s="102"/>
      <c r="EM20" s="102"/>
      <c r="EN20" s="102"/>
      <c r="EP20" s="102"/>
      <c r="EQ20" s="102"/>
      <c r="ER20" s="102"/>
      <c r="ES20" s="102"/>
      <c r="ET20" s="102"/>
      <c r="EU20" s="102"/>
      <c r="EV20" s="102"/>
      <c r="EW20" s="102"/>
      <c r="EX20" s="102"/>
      <c r="EY20" s="102"/>
      <c r="EZ20" s="102"/>
      <c r="FA20" s="102"/>
      <c r="FB20" s="102"/>
      <c r="FC20" s="102"/>
      <c r="FD20" s="102"/>
      <c r="FE20" s="102"/>
      <c r="FF20" s="102"/>
      <c r="FG20" s="102"/>
      <c r="FH20" s="102"/>
      <c r="FI20" s="102"/>
      <c r="FJ20" s="102"/>
      <c r="FK20" s="102"/>
      <c r="FL20" s="102"/>
      <c r="FM20" s="102"/>
      <c r="FN20" s="102"/>
      <c r="FO20" s="102"/>
      <c r="FP20" s="102"/>
      <c r="FQ20" s="102"/>
      <c r="FR20" s="102"/>
      <c r="FS20" s="102"/>
      <c r="FT20" s="102"/>
      <c r="FU20" s="102"/>
      <c r="FV20" s="102"/>
      <c r="FW20" s="102"/>
      <c r="FX20" s="102"/>
      <c r="FY20" s="102"/>
      <c r="FZ20" s="102"/>
      <c r="GA20" s="102"/>
      <c r="GB20" s="102"/>
      <c r="GC20" s="102"/>
      <c r="GD20" s="102"/>
      <c r="GE20" s="102"/>
      <c r="GF20" s="102"/>
      <c r="GG20" s="102"/>
      <c r="GH20" s="232"/>
      <c r="GI20" s="233"/>
      <c r="GJ20" s="232"/>
      <c r="GK20" s="233"/>
      <c r="GL20" s="233"/>
      <c r="GM20" s="233"/>
      <c r="GN20" s="232"/>
      <c r="GO20" s="232"/>
      <c r="GP20" s="232"/>
      <c r="GQ20" s="233"/>
      <c r="GR20" s="232"/>
      <c r="GS20" s="232"/>
      <c r="GT20" s="232"/>
      <c r="GU20" s="234"/>
      <c r="GV20" s="232"/>
      <c r="GW20" s="232"/>
      <c r="GX20" s="232"/>
      <c r="GY20" s="232"/>
      <c r="GZ20" s="232"/>
      <c r="HA20" s="232"/>
      <c r="HB20" s="232"/>
      <c r="HC20" s="232"/>
      <c r="HD20" s="232"/>
      <c r="HE20" s="234"/>
      <c r="HF20" s="232"/>
      <c r="HG20" s="232"/>
    </row>
    <row r="21" spans="1:215" s="140" customFormat="1" ht="25.5" x14ac:dyDescent="0.2">
      <c r="A21" s="141" t="s">
        <v>190</v>
      </c>
      <c r="B21" s="101">
        <v>41001</v>
      </c>
      <c r="C21" s="101">
        <v>41001</v>
      </c>
      <c r="D21" s="101"/>
      <c r="E21" s="258">
        <v>41001</v>
      </c>
      <c r="F21" s="258"/>
      <c r="G21" s="258"/>
      <c r="H21" s="258">
        <v>40217</v>
      </c>
      <c r="I21" s="258">
        <v>40217</v>
      </c>
      <c r="J21" s="258">
        <v>40217</v>
      </c>
      <c r="K21" s="258"/>
      <c r="L21" s="101"/>
      <c r="M21" s="101"/>
      <c r="N21" s="101"/>
      <c r="O21" s="140">
        <v>40217</v>
      </c>
      <c r="Q21" s="258">
        <v>40163</v>
      </c>
      <c r="R21" s="258">
        <v>40163</v>
      </c>
      <c r="S21" s="247">
        <v>41033</v>
      </c>
      <c r="T21" s="248">
        <v>41033</v>
      </c>
      <c r="U21" s="248">
        <v>41033</v>
      </c>
      <c r="V21" s="248">
        <v>41033</v>
      </c>
      <c r="W21" s="248">
        <v>41033</v>
      </c>
      <c r="X21" s="248"/>
      <c r="AA21" s="101"/>
      <c r="AB21" s="101"/>
      <c r="AC21" s="101"/>
      <c r="AE21" s="101"/>
      <c r="AF21" s="101"/>
      <c r="AG21" s="101"/>
      <c r="AH21" s="101"/>
      <c r="AI21" s="101"/>
      <c r="AJ21" s="101"/>
      <c r="AK21" s="101"/>
      <c r="AL21" s="101"/>
      <c r="AM21" s="101"/>
      <c r="AN21" s="101"/>
      <c r="AO21" s="101"/>
      <c r="AP21" s="101"/>
      <c r="AQ21" s="101"/>
      <c r="AR21" s="101"/>
      <c r="AS21" s="101"/>
      <c r="AT21" s="101"/>
      <c r="AU21" s="101"/>
      <c r="AV21" s="101"/>
      <c r="AW21" s="101"/>
      <c r="AX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CC21" s="101"/>
      <c r="CD21" s="101"/>
      <c r="CE21" s="101"/>
      <c r="CF21" s="101"/>
      <c r="CG21" s="101"/>
      <c r="CH21" s="101"/>
      <c r="CI21" s="101"/>
      <c r="CJ21" s="101"/>
      <c r="CK21" s="101"/>
      <c r="CL21" s="101"/>
      <c r="CM21" s="101"/>
      <c r="CN21" s="101"/>
      <c r="CP21" s="101"/>
      <c r="CQ21" s="101"/>
      <c r="CS21" s="101"/>
      <c r="CT21" s="101"/>
      <c r="CU21" s="101"/>
      <c r="CV21" s="101"/>
      <c r="CW21" s="101"/>
      <c r="CX21" s="101"/>
      <c r="CY21" s="101"/>
      <c r="CZ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GH21" s="173"/>
      <c r="GI21" s="174"/>
      <c r="GJ21" s="173"/>
      <c r="GK21" s="174"/>
      <c r="GL21" s="174"/>
      <c r="GM21" s="174"/>
      <c r="GN21" s="173"/>
      <c r="GO21" s="173"/>
      <c r="GP21" s="173"/>
      <c r="GQ21" s="174"/>
      <c r="GR21" s="173"/>
      <c r="GS21" s="173"/>
      <c r="GT21" s="173"/>
      <c r="GU21" s="173"/>
      <c r="GV21" s="173"/>
      <c r="GW21" s="173"/>
      <c r="GX21" s="173"/>
      <c r="GY21" s="173"/>
      <c r="GZ21" s="173"/>
      <c r="HA21" s="173"/>
      <c r="HB21" s="173"/>
      <c r="HC21" s="173"/>
      <c r="HD21" s="173"/>
      <c r="HE21" s="173"/>
      <c r="HF21" s="173"/>
      <c r="HG21" s="173"/>
    </row>
    <row r="22" spans="1:215" s="132" customFormat="1" x14ac:dyDescent="0.2">
      <c r="A22" s="168" t="s">
        <v>36</v>
      </c>
      <c r="B22" s="133" t="s">
        <v>85</v>
      </c>
      <c r="C22" s="132" t="s">
        <v>86</v>
      </c>
      <c r="D22" s="132" t="s">
        <v>86</v>
      </c>
      <c r="E22" s="253" t="s">
        <v>86</v>
      </c>
      <c r="F22" s="253" t="s">
        <v>85</v>
      </c>
      <c r="G22" s="253" t="s">
        <v>88</v>
      </c>
      <c r="H22" s="253" t="s">
        <v>88</v>
      </c>
      <c r="I22" s="253" t="s">
        <v>85</v>
      </c>
      <c r="J22" s="253" t="s">
        <v>88</v>
      </c>
      <c r="K22" s="253" t="s">
        <v>86</v>
      </c>
      <c r="L22" s="132" t="s">
        <v>86</v>
      </c>
      <c r="M22" s="132" t="s">
        <v>86</v>
      </c>
      <c r="N22" s="132" t="s">
        <v>86</v>
      </c>
      <c r="O22" s="133" t="s">
        <v>85</v>
      </c>
      <c r="P22" s="133" t="s">
        <v>86</v>
      </c>
      <c r="Q22" s="253" t="s">
        <v>86</v>
      </c>
      <c r="R22" s="253" t="s">
        <v>86</v>
      </c>
      <c r="S22" s="243" t="s">
        <v>88</v>
      </c>
      <c r="T22" s="238" t="s">
        <v>86</v>
      </c>
      <c r="U22" s="239" t="s">
        <v>86</v>
      </c>
      <c r="V22" s="238" t="s">
        <v>88</v>
      </c>
      <c r="W22" s="238" t="s">
        <v>86</v>
      </c>
      <c r="X22" s="238"/>
      <c r="Z22" s="133"/>
      <c r="AA22" s="133"/>
      <c r="AB22" s="133"/>
      <c r="AC22" s="133"/>
      <c r="AE22" s="133"/>
      <c r="GH22" s="169"/>
      <c r="GI22" s="169"/>
      <c r="GJ22" s="169"/>
      <c r="GK22" s="169"/>
      <c r="GL22" s="169"/>
      <c r="GM22" s="169"/>
      <c r="GN22" s="169"/>
      <c r="GO22" s="169"/>
      <c r="GP22" s="169"/>
      <c r="GQ22" s="169"/>
      <c r="GR22" s="169"/>
      <c r="GS22" s="169"/>
      <c r="GT22" s="169"/>
      <c r="GU22" s="169"/>
      <c r="GV22" s="169"/>
      <c r="GW22" s="169"/>
      <c r="GX22" s="169"/>
      <c r="GY22" s="169"/>
      <c r="GZ22" s="169"/>
      <c r="HA22" s="169"/>
      <c r="HB22" s="169"/>
      <c r="HC22" s="169"/>
      <c r="HD22" s="169"/>
      <c r="HE22" s="169"/>
      <c r="HF22" s="169"/>
      <c r="HG22" s="169"/>
    </row>
    <row r="23" spans="1:215" s="134" customFormat="1" ht="25.5" x14ac:dyDescent="0.2">
      <c r="A23" s="166" t="s">
        <v>31</v>
      </c>
      <c r="B23" s="102">
        <v>2012</v>
      </c>
      <c r="C23" s="102" t="s">
        <v>284</v>
      </c>
      <c r="D23" s="102" t="s">
        <v>333</v>
      </c>
      <c r="E23" s="253">
        <v>2010</v>
      </c>
      <c r="F23" s="253" t="s">
        <v>290</v>
      </c>
      <c r="G23" s="253" t="s">
        <v>285</v>
      </c>
      <c r="H23" s="253" t="s">
        <v>291</v>
      </c>
      <c r="I23" s="253" t="s">
        <v>284</v>
      </c>
      <c r="J23" s="253" t="s">
        <v>361</v>
      </c>
      <c r="K23" s="253">
        <v>2010</v>
      </c>
      <c r="L23" s="102" t="s">
        <v>246</v>
      </c>
      <c r="M23" s="102" t="s">
        <v>286</v>
      </c>
      <c r="N23" s="134" t="s">
        <v>284</v>
      </c>
      <c r="O23" s="135" t="s">
        <v>284</v>
      </c>
      <c r="P23" s="135" t="s">
        <v>284</v>
      </c>
      <c r="Q23" s="254" t="s">
        <v>285</v>
      </c>
      <c r="R23" s="254" t="s">
        <v>9</v>
      </c>
      <c r="S23" s="240" t="s">
        <v>246</v>
      </c>
      <c r="T23" s="241" t="s">
        <v>554</v>
      </c>
      <c r="U23" s="242"/>
      <c r="V23" s="241"/>
      <c r="W23" s="241"/>
      <c r="X23" s="241"/>
      <c r="Z23" s="135"/>
      <c r="AA23" s="135"/>
      <c r="AB23" s="135"/>
      <c r="AC23" s="135"/>
      <c r="AE23" s="135"/>
      <c r="GH23" s="171"/>
      <c r="GI23" s="171"/>
      <c r="GJ23" s="171"/>
      <c r="GK23" s="171"/>
      <c r="GL23" s="171"/>
      <c r="GM23" s="171"/>
      <c r="GN23" s="171"/>
      <c r="GO23" s="171"/>
      <c r="GP23" s="171"/>
      <c r="GQ23" s="171"/>
      <c r="GR23" s="171"/>
      <c r="GS23" s="171"/>
      <c r="GT23" s="171"/>
      <c r="GU23" s="171"/>
      <c r="GV23" s="171"/>
      <c r="GW23" s="171"/>
      <c r="GX23" s="171"/>
      <c r="GY23" s="171"/>
      <c r="GZ23" s="171"/>
      <c r="HA23" s="171"/>
      <c r="HB23" s="171"/>
      <c r="HC23" s="171"/>
      <c r="HD23" s="171"/>
      <c r="HE23" s="171"/>
      <c r="HF23" s="171"/>
      <c r="HG23" s="171"/>
    </row>
    <row r="24" spans="1:215" s="134" customFormat="1" ht="25.5" x14ac:dyDescent="0.2">
      <c r="A24" s="166" t="s">
        <v>32</v>
      </c>
      <c r="B24" s="131" t="s">
        <v>185</v>
      </c>
      <c r="C24" s="102" t="s">
        <v>185</v>
      </c>
      <c r="D24" s="102" t="s">
        <v>185</v>
      </c>
      <c r="E24" s="253" t="s">
        <v>185</v>
      </c>
      <c r="F24" s="253" t="s">
        <v>185</v>
      </c>
      <c r="G24" s="253" t="s">
        <v>185</v>
      </c>
      <c r="H24" s="253" t="s">
        <v>185</v>
      </c>
      <c r="I24" s="253" t="s">
        <v>185</v>
      </c>
      <c r="J24" s="253" t="s">
        <v>185</v>
      </c>
      <c r="K24" s="253" t="s">
        <v>185</v>
      </c>
      <c r="L24" s="102" t="s">
        <v>292</v>
      </c>
      <c r="M24" s="131" t="s">
        <v>185</v>
      </c>
      <c r="N24" s="135" t="s">
        <v>185</v>
      </c>
      <c r="O24" s="135" t="s">
        <v>185</v>
      </c>
      <c r="P24" s="135" t="s">
        <v>185</v>
      </c>
      <c r="Q24" s="254" t="s">
        <v>185</v>
      </c>
      <c r="R24" s="254" t="s">
        <v>327</v>
      </c>
      <c r="S24" s="240" t="s">
        <v>555</v>
      </c>
      <c r="T24" s="241" t="s">
        <v>555</v>
      </c>
      <c r="U24" s="242" t="s">
        <v>555</v>
      </c>
      <c r="V24" s="241" t="s">
        <v>185</v>
      </c>
      <c r="W24" s="241" t="s">
        <v>555</v>
      </c>
      <c r="X24" s="240" t="s">
        <v>185</v>
      </c>
      <c r="Z24" s="135"/>
      <c r="AA24" s="135"/>
      <c r="AB24" s="135"/>
      <c r="AC24" s="135"/>
      <c r="AE24" s="135"/>
      <c r="GH24" s="171"/>
      <c r="GI24" s="171"/>
      <c r="GJ24" s="171"/>
      <c r="GK24" s="171"/>
      <c r="GL24" s="171"/>
      <c r="GM24" s="171"/>
      <c r="GN24" s="171"/>
      <c r="GO24" s="171"/>
      <c r="GP24" s="171"/>
      <c r="GQ24" s="171"/>
      <c r="GR24" s="171"/>
      <c r="GS24" s="171"/>
      <c r="GT24" s="171"/>
      <c r="GU24" s="171"/>
      <c r="GV24" s="171"/>
      <c r="GW24" s="171"/>
      <c r="GX24" s="171"/>
      <c r="GY24" s="171"/>
      <c r="GZ24" s="171"/>
      <c r="HA24" s="171"/>
      <c r="HB24" s="171"/>
      <c r="HC24" s="171"/>
      <c r="HD24" s="171"/>
      <c r="HE24" s="171"/>
      <c r="HF24" s="171"/>
      <c r="HG24" s="171"/>
    </row>
    <row r="25" spans="1:215" s="132" customFormat="1" ht="25.5" x14ac:dyDescent="0.2">
      <c r="A25" s="168" t="s">
        <v>33</v>
      </c>
      <c r="B25" s="133" t="s">
        <v>443</v>
      </c>
      <c r="C25" s="133" t="s">
        <v>443</v>
      </c>
      <c r="D25" s="133" t="s">
        <v>288</v>
      </c>
      <c r="E25" s="253" t="s">
        <v>249</v>
      </c>
      <c r="F25" s="253" t="s">
        <v>293</v>
      </c>
      <c r="G25" s="253" t="s">
        <v>294</v>
      </c>
      <c r="H25" s="253" t="s">
        <v>295</v>
      </c>
      <c r="I25" s="253" t="s">
        <v>362</v>
      </c>
      <c r="J25" s="253" t="s">
        <v>296</v>
      </c>
      <c r="K25" s="253" t="s">
        <v>249</v>
      </c>
      <c r="L25" s="132" t="s">
        <v>250</v>
      </c>
      <c r="M25" s="132" t="s">
        <v>266</v>
      </c>
      <c r="N25" s="132" t="s">
        <v>266</v>
      </c>
      <c r="O25" s="133" t="s">
        <v>362</v>
      </c>
      <c r="P25" s="133" t="s">
        <v>408</v>
      </c>
      <c r="Q25" s="253"/>
      <c r="R25" s="253"/>
      <c r="S25" s="243" t="s">
        <v>555</v>
      </c>
      <c r="T25" s="243" t="s">
        <v>555</v>
      </c>
      <c r="U25" s="239" t="s">
        <v>555</v>
      </c>
      <c r="V25" s="238" t="s">
        <v>185</v>
      </c>
      <c r="W25" s="238" t="s">
        <v>555</v>
      </c>
      <c r="X25" s="238"/>
      <c r="Z25" s="133"/>
      <c r="AA25" s="133"/>
      <c r="AB25" s="133"/>
      <c r="AC25" s="133"/>
      <c r="AE25" s="133"/>
      <c r="GH25" s="169"/>
      <c r="GI25" s="169"/>
      <c r="GJ25" s="169"/>
      <c r="GK25" s="169"/>
      <c r="GL25" s="169"/>
      <c r="GM25" s="169"/>
      <c r="GN25" s="169"/>
      <c r="GO25" s="169"/>
      <c r="GP25" s="169"/>
      <c r="GQ25" s="169"/>
      <c r="GR25" s="169"/>
      <c r="GS25" s="169"/>
      <c r="GT25" s="169"/>
      <c r="GU25" s="169"/>
      <c r="GV25" s="169"/>
      <c r="GW25" s="169"/>
      <c r="GX25" s="169"/>
      <c r="GY25" s="169"/>
      <c r="GZ25" s="169"/>
      <c r="HA25" s="169"/>
      <c r="HB25" s="169"/>
      <c r="HC25" s="169"/>
      <c r="HD25" s="169"/>
      <c r="HE25" s="169"/>
      <c r="HF25" s="169"/>
      <c r="HG25" s="169"/>
    </row>
    <row r="26" spans="1:215" s="132" customFormat="1" ht="229.5" x14ac:dyDescent="0.2">
      <c r="A26" s="132" t="s">
        <v>34</v>
      </c>
      <c r="B26" s="141" t="s">
        <v>25</v>
      </c>
      <c r="C26" s="141" t="s">
        <v>27</v>
      </c>
      <c r="D26" s="141" t="s">
        <v>438</v>
      </c>
      <c r="E26" s="251" t="s">
        <v>574</v>
      </c>
      <c r="F26" s="251" t="s">
        <v>575</v>
      </c>
      <c r="G26" s="251" t="s">
        <v>576</v>
      </c>
      <c r="H26" s="251" t="s">
        <v>577</v>
      </c>
      <c r="I26" s="251" t="s">
        <v>578</v>
      </c>
      <c r="J26" s="251" t="s">
        <v>579</v>
      </c>
      <c r="K26" s="251" t="s">
        <v>580</v>
      </c>
      <c r="L26" s="141" t="s">
        <v>437</v>
      </c>
      <c r="M26" s="143" t="s">
        <v>450</v>
      </c>
      <c r="N26" s="133" t="s">
        <v>436</v>
      </c>
      <c r="O26" s="133" t="s">
        <v>451</v>
      </c>
      <c r="P26" s="133" t="s">
        <v>588</v>
      </c>
      <c r="Q26" s="253" t="s">
        <v>21</v>
      </c>
      <c r="R26" s="253" t="s">
        <v>22</v>
      </c>
      <c r="S26" s="239" t="s">
        <v>556</v>
      </c>
      <c r="T26" s="239" t="s">
        <v>557</v>
      </c>
      <c r="U26" s="239" t="s">
        <v>558</v>
      </c>
      <c r="V26" s="239" t="s">
        <v>559</v>
      </c>
      <c r="W26" s="239" t="s">
        <v>560</v>
      </c>
      <c r="X26" s="243" t="s">
        <v>633</v>
      </c>
      <c r="Z26" s="133"/>
      <c r="AA26" s="142"/>
      <c r="AB26" s="133"/>
      <c r="AC26" s="142"/>
      <c r="AE26" s="142"/>
      <c r="AF26" s="142"/>
      <c r="AG26" s="142"/>
      <c r="AH26" s="142"/>
      <c r="AI26" s="133"/>
      <c r="AJ26" s="142"/>
      <c r="AK26" s="142"/>
      <c r="AL26" s="142"/>
      <c r="AM26" s="142"/>
      <c r="AN26" s="142"/>
      <c r="AO26" s="133"/>
      <c r="AP26" s="142"/>
      <c r="AQ26" s="142"/>
      <c r="AR26" s="142"/>
      <c r="AS26" s="142"/>
      <c r="AT26" s="142"/>
      <c r="AU26" s="142"/>
      <c r="AV26" s="142"/>
      <c r="AW26" s="142"/>
      <c r="AX26" s="142"/>
      <c r="AZ26" s="133"/>
      <c r="BA26" s="133"/>
      <c r="BB26" s="133"/>
      <c r="BC26" s="133"/>
      <c r="BQ26" s="142"/>
      <c r="DX26" s="133"/>
      <c r="DY26" s="133"/>
      <c r="GH26" s="169"/>
      <c r="GI26" s="169"/>
      <c r="GJ26" s="169"/>
      <c r="GK26" s="169"/>
      <c r="GL26" s="169"/>
      <c r="GM26" s="169"/>
      <c r="GN26" s="169"/>
      <c r="GO26" s="169"/>
      <c r="GP26" s="170"/>
      <c r="GQ26" s="169"/>
      <c r="GR26" s="169"/>
      <c r="GS26" s="169"/>
      <c r="GT26" s="169"/>
      <c r="GU26" s="169"/>
      <c r="GV26" s="169"/>
      <c r="GW26" s="169"/>
      <c r="GX26" s="169"/>
      <c r="GY26" s="169"/>
      <c r="GZ26" s="169"/>
      <c r="HA26" s="169"/>
      <c r="HB26" s="169"/>
      <c r="HC26" s="169"/>
      <c r="HD26" s="169"/>
      <c r="HE26" s="169"/>
      <c r="HF26" s="175"/>
      <c r="HG26" s="175"/>
    </row>
    <row r="27" spans="1:215" s="102" customFormat="1" ht="89.25" x14ac:dyDescent="0.2">
      <c r="A27" s="166" t="s">
        <v>35</v>
      </c>
      <c r="B27" s="131" t="s">
        <v>360</v>
      </c>
      <c r="C27" s="102" t="s">
        <v>363</v>
      </c>
      <c r="D27" s="102" t="s">
        <v>364</v>
      </c>
      <c r="E27" s="253" t="s">
        <v>581</v>
      </c>
      <c r="F27" s="253" t="s">
        <v>582</v>
      </c>
      <c r="G27" s="253" t="s">
        <v>583</v>
      </c>
      <c r="H27" s="253" t="s">
        <v>584</v>
      </c>
      <c r="I27" s="253" t="s">
        <v>585</v>
      </c>
      <c r="J27" s="253" t="s">
        <v>586</v>
      </c>
      <c r="K27" s="253" t="s">
        <v>587</v>
      </c>
      <c r="L27" s="102" t="s">
        <v>365</v>
      </c>
      <c r="M27" s="102" t="s">
        <v>366</v>
      </c>
      <c r="N27" s="102" t="s">
        <v>367</v>
      </c>
      <c r="O27" s="131" t="s">
        <v>297</v>
      </c>
      <c r="P27" s="131" t="s">
        <v>589</v>
      </c>
      <c r="Q27" s="253" t="s">
        <v>590</v>
      </c>
      <c r="R27" s="253" t="s">
        <v>595</v>
      </c>
      <c r="S27" s="236" t="s">
        <v>561</v>
      </c>
      <c r="T27" s="236" t="s">
        <v>561</v>
      </c>
      <c r="U27" s="236" t="s">
        <v>561</v>
      </c>
      <c r="V27" s="236" t="s">
        <v>561</v>
      </c>
      <c r="W27" s="236" t="s">
        <v>561</v>
      </c>
      <c r="X27" s="236"/>
      <c r="Z27" s="131"/>
      <c r="AA27" s="131"/>
      <c r="AB27" s="131"/>
      <c r="AC27" s="131"/>
    </row>
    <row r="28" spans="1:215" s="176" customFormat="1" ht="12.75" customHeight="1" x14ac:dyDescent="0.2">
      <c r="E28" s="259"/>
      <c r="F28" s="259"/>
      <c r="G28" s="259"/>
      <c r="H28" s="259"/>
      <c r="I28" s="259"/>
      <c r="J28" s="259"/>
      <c r="K28" s="259"/>
      <c r="Q28" s="259"/>
      <c r="R28" s="259"/>
      <c r="X28" s="286"/>
    </row>
    <row r="29" spans="1:215" s="176" customFormat="1" ht="12.75" customHeight="1" x14ac:dyDescent="0.2">
      <c r="E29" s="259"/>
      <c r="F29" s="259"/>
      <c r="G29" s="259"/>
      <c r="H29" s="259"/>
      <c r="I29" s="259"/>
      <c r="J29" s="259"/>
      <c r="K29" s="259"/>
      <c r="Q29" s="259"/>
      <c r="R29" s="259"/>
      <c r="X29" s="286"/>
    </row>
    <row r="30" spans="1:215" s="176" customFormat="1" ht="12.75" customHeight="1" x14ac:dyDescent="0.2">
      <c r="E30" s="259"/>
      <c r="F30" s="259"/>
      <c r="G30" s="259"/>
      <c r="H30" s="259"/>
      <c r="I30" s="259"/>
      <c r="J30" s="259"/>
      <c r="K30" s="259"/>
      <c r="Q30" s="259"/>
      <c r="R30" s="259"/>
      <c r="X30" s="286"/>
    </row>
    <row r="31" spans="1:215" s="176" customFormat="1" ht="12.75" customHeight="1" x14ac:dyDescent="0.2">
      <c r="E31" s="259"/>
      <c r="F31" s="259"/>
      <c r="G31" s="259"/>
      <c r="H31" s="259"/>
      <c r="I31" s="259"/>
      <c r="J31" s="259"/>
      <c r="K31" s="259"/>
      <c r="Q31" s="259"/>
      <c r="R31" s="259"/>
      <c r="X31" s="286"/>
    </row>
    <row r="32" spans="1:215" s="176" customFormat="1" ht="12.75" customHeight="1" x14ac:dyDescent="0.2">
      <c r="E32" s="259"/>
      <c r="F32" s="259"/>
      <c r="G32" s="259"/>
      <c r="H32" s="259"/>
      <c r="I32" s="259"/>
      <c r="J32" s="259"/>
      <c r="K32" s="259"/>
      <c r="Q32" s="259"/>
      <c r="R32" s="259"/>
      <c r="X32" s="286"/>
    </row>
    <row r="33" spans="5:24" s="176" customFormat="1" ht="12.75" customHeight="1" x14ac:dyDescent="0.2">
      <c r="E33" s="259"/>
      <c r="F33" s="259"/>
      <c r="G33" s="259"/>
      <c r="H33" s="259"/>
      <c r="I33" s="259"/>
      <c r="J33" s="259"/>
      <c r="K33" s="259"/>
      <c r="Q33" s="259"/>
      <c r="R33" s="259"/>
      <c r="X33" s="286"/>
    </row>
    <row r="34" spans="5:24" s="176" customFormat="1" ht="12.75" customHeight="1" x14ac:dyDescent="0.2">
      <c r="E34" s="259"/>
      <c r="F34" s="259"/>
      <c r="G34" s="259"/>
      <c r="H34" s="259"/>
      <c r="I34" s="259"/>
      <c r="J34" s="259"/>
      <c r="K34" s="259"/>
      <c r="Q34" s="259"/>
      <c r="R34" s="259"/>
      <c r="X34" s="286"/>
    </row>
    <row r="35" spans="5:24" s="176" customFormat="1" ht="12.75" customHeight="1" x14ac:dyDescent="0.2">
      <c r="E35" s="259"/>
      <c r="F35" s="259"/>
      <c r="G35" s="259"/>
      <c r="H35" s="259"/>
      <c r="I35" s="259"/>
      <c r="J35" s="259"/>
      <c r="K35" s="259"/>
      <c r="Q35" s="259"/>
      <c r="R35" s="259"/>
      <c r="X35" s="286"/>
    </row>
    <row r="36" spans="5:24" s="176" customFormat="1" ht="12.75" customHeight="1" x14ac:dyDescent="0.2">
      <c r="E36" s="259"/>
      <c r="F36" s="259"/>
      <c r="G36" s="259"/>
      <c r="H36" s="259"/>
      <c r="I36" s="259"/>
      <c r="J36" s="259"/>
      <c r="K36" s="259"/>
      <c r="Q36" s="259"/>
      <c r="R36" s="259"/>
      <c r="X36" s="286"/>
    </row>
    <row r="37" spans="5:24" s="176" customFormat="1" ht="12.75" customHeight="1" x14ac:dyDescent="0.2">
      <c r="E37" s="259"/>
      <c r="F37" s="259"/>
      <c r="G37" s="259"/>
      <c r="H37" s="259"/>
      <c r="I37" s="259"/>
      <c r="J37" s="259"/>
      <c r="K37" s="259"/>
      <c r="Q37" s="259"/>
      <c r="R37" s="259"/>
      <c r="X37" s="286"/>
    </row>
    <row r="38" spans="5:24" s="176" customFormat="1" ht="12.75" customHeight="1" x14ac:dyDescent="0.2">
      <c r="E38" s="259"/>
      <c r="F38" s="259"/>
      <c r="G38" s="259"/>
      <c r="H38" s="259"/>
      <c r="I38" s="259"/>
      <c r="J38" s="259"/>
      <c r="K38" s="259"/>
      <c r="Q38" s="259"/>
      <c r="R38" s="259"/>
      <c r="X38" s="286"/>
    </row>
    <row r="39" spans="5:24" s="176" customFormat="1" ht="12.75" customHeight="1" x14ac:dyDescent="0.2">
      <c r="E39" s="259"/>
      <c r="F39" s="259"/>
      <c r="G39" s="259"/>
      <c r="H39" s="259"/>
      <c r="I39" s="259"/>
      <c r="J39" s="259"/>
      <c r="K39" s="259"/>
      <c r="Q39" s="259"/>
      <c r="R39" s="259"/>
      <c r="X39" s="286"/>
    </row>
    <row r="40" spans="5:24" s="176" customFormat="1" ht="12.75" customHeight="1" x14ac:dyDescent="0.2">
      <c r="E40" s="259"/>
      <c r="F40" s="259"/>
      <c r="G40" s="259"/>
      <c r="H40" s="259"/>
      <c r="I40" s="259"/>
      <c r="J40" s="259"/>
      <c r="K40" s="259"/>
      <c r="Q40" s="259"/>
      <c r="R40" s="259"/>
      <c r="X40" s="286"/>
    </row>
    <row r="50" spans="1:24" ht="12.75" customHeight="1" x14ac:dyDescent="0.2">
      <c r="A50" s="177" t="s">
        <v>37</v>
      </c>
    </row>
    <row r="51" spans="1:24" s="179" customFormat="1" ht="12.75" customHeight="1" x14ac:dyDescent="0.2">
      <c r="E51" s="260"/>
      <c r="F51" s="260"/>
      <c r="G51" s="260"/>
      <c r="H51" s="260"/>
      <c r="I51" s="260"/>
      <c r="J51" s="260"/>
      <c r="K51" s="260"/>
      <c r="P51" s="260"/>
      <c r="Q51" s="260"/>
      <c r="R51" s="260"/>
      <c r="X51" s="288"/>
    </row>
    <row r="65" spans="13:13" ht="12.75" customHeight="1" x14ac:dyDescent="0.2">
      <c r="M65" s="180"/>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phoneticPr fontId="45" type="noConversion"/>
  <dataValidations disablePrompts="1" count="4">
    <dataValidation type="list" allowBlank="1" showInputMessage="1" showErrorMessage="1" prompt="Select from List." sqref="GH3:HG3">
      <formula1>LstSourseType</formula1>
    </dataValidation>
    <dataValidation type="list" allowBlank="1" showInputMessage="1" showErrorMessage="1" prompt="Select from list." sqref="CH16 AE19:IV19 Z19:AC19 B19:X19">
      <formula1>"Yes, No"</formula1>
    </dataValidation>
    <dataValidation type="list" allowBlank="1" showInputMessage="1" showErrorMessage="1" prompt="Select from List." sqref="HH3:IV3 AE3:GG3 Z3:AC3 B3:X3">
      <formula1>lstSourceType</formula1>
    </dataValidation>
    <dataValidation type="list" allowBlank="1" showInputMessage="1" showErrorMessage="1" prompt="Select from list." sqref="AE22:IV22 Z22:AC22 B22:X22">
      <formula1>lstOrigin</formula1>
    </dataValidation>
  </dataValidations>
  <hyperlinks>
    <hyperlink ref="S20" r:id="rId2"/>
    <hyperlink ref="T20" r:id="rId3"/>
    <hyperlink ref="U20" r:id="rId4"/>
    <hyperlink ref="V20" r:id="rId5"/>
    <hyperlink ref="X20" r:id="rId6"/>
  </hyperlinks>
  <pageMargins left="0.25" right="0.25" top="0.5" bottom="0.5" header="0.3" footer="0.3"/>
  <pageSetup scale="91" orientation="landscape" r:id="rId7"/>
  <headerFooter alignWithMargins="0">
    <oddFooter>Page &amp;P&amp;R&amp;F</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7"/>
  <sheetViews>
    <sheetView zoomScaleNormal="100" workbookViewId="0">
      <selection activeCell="B34" sqref="B34:H34"/>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70" t="s">
        <v>171</v>
      </c>
      <c r="B1" s="370"/>
      <c r="C1" s="370"/>
      <c r="D1" s="370"/>
      <c r="E1" s="370"/>
      <c r="F1" s="370"/>
      <c r="G1" s="370"/>
      <c r="H1" s="370"/>
      <c r="I1" s="370"/>
      <c r="J1" s="370"/>
      <c r="K1" s="370"/>
      <c r="L1" s="370"/>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58" t="s">
        <v>154</v>
      </c>
      <c r="C2" s="59"/>
      <c r="D2" s="59"/>
      <c r="E2" s="59"/>
      <c r="F2" s="59"/>
      <c r="G2" s="59"/>
      <c r="H2" s="59"/>
    </row>
    <row r="3" spans="1:40" ht="38.25" customHeight="1" x14ac:dyDescent="0.2">
      <c r="B3" s="33" t="s">
        <v>191</v>
      </c>
      <c r="C3" s="60" t="s">
        <v>231</v>
      </c>
      <c r="D3" s="61" t="s">
        <v>124</v>
      </c>
      <c r="E3" s="61" t="s">
        <v>75</v>
      </c>
      <c r="F3" s="61" t="s">
        <v>137</v>
      </c>
      <c r="G3" s="61" t="s">
        <v>139</v>
      </c>
      <c r="H3" s="61" t="s">
        <v>149</v>
      </c>
      <c r="I3" s="62" t="s">
        <v>148</v>
      </c>
      <c r="J3" s="61" t="s">
        <v>155</v>
      </c>
      <c r="K3" s="61" t="s">
        <v>156</v>
      </c>
    </row>
    <row r="4" spans="1:40" ht="25.5" x14ac:dyDescent="0.2">
      <c r="B4" s="127" t="s">
        <v>319</v>
      </c>
      <c r="C4" s="128" t="s">
        <v>417</v>
      </c>
      <c r="D4" s="128">
        <v>2</v>
      </c>
      <c r="E4" s="128">
        <v>2</v>
      </c>
      <c r="F4" s="128">
        <v>2</v>
      </c>
      <c r="G4" s="128">
        <v>2</v>
      </c>
      <c r="H4" s="128">
        <v>2</v>
      </c>
      <c r="I4" s="127" t="s">
        <v>429</v>
      </c>
      <c r="J4" s="127" t="s">
        <v>192</v>
      </c>
      <c r="K4" s="129" t="s">
        <v>193</v>
      </c>
    </row>
    <row r="5" spans="1:40" ht="25.5" x14ac:dyDescent="0.2">
      <c r="B5" s="127" t="s">
        <v>570</v>
      </c>
      <c r="C5" s="127" t="s">
        <v>571</v>
      </c>
      <c r="D5" s="128">
        <v>1</v>
      </c>
      <c r="E5" s="128">
        <v>1</v>
      </c>
      <c r="F5" s="128">
        <v>2</v>
      </c>
      <c r="G5" s="128">
        <v>1</v>
      </c>
      <c r="H5" s="128">
        <v>1</v>
      </c>
      <c r="I5" s="127" t="s">
        <v>572</v>
      </c>
      <c r="J5" s="127" t="s">
        <v>192</v>
      </c>
      <c r="K5" s="129" t="s">
        <v>193</v>
      </c>
    </row>
    <row r="6" spans="1:40" ht="25.5" x14ac:dyDescent="0.2">
      <c r="B6" s="127" t="s">
        <v>264</v>
      </c>
      <c r="C6" s="127" t="s">
        <v>413</v>
      </c>
      <c r="D6" s="128">
        <v>1</v>
      </c>
      <c r="E6" s="128">
        <v>2</v>
      </c>
      <c r="F6" s="128">
        <v>2</v>
      </c>
      <c r="G6" s="128">
        <v>2</v>
      </c>
      <c r="H6" s="128">
        <v>1</v>
      </c>
      <c r="I6" s="127" t="s">
        <v>430</v>
      </c>
      <c r="J6" s="127" t="s">
        <v>192</v>
      </c>
      <c r="K6" s="129" t="s">
        <v>193</v>
      </c>
    </row>
    <row r="7" spans="1:40" s="63" customFormat="1" x14ac:dyDescent="0.2">
      <c r="B7" s="185" t="s">
        <v>45</v>
      </c>
      <c r="C7" s="125"/>
      <c r="D7" s="125"/>
      <c r="E7" s="125"/>
      <c r="F7" s="125"/>
      <c r="G7" s="125"/>
      <c r="H7" s="125"/>
      <c r="I7" s="126" t="s">
        <v>429</v>
      </c>
      <c r="J7" s="371" t="s">
        <v>193</v>
      </c>
      <c r="K7" s="371"/>
    </row>
    <row r="8" spans="1:40" ht="20.25" x14ac:dyDescent="0.3">
      <c r="B8" s="21"/>
      <c r="C8" s="21"/>
      <c r="D8" s="21"/>
      <c r="E8" s="21"/>
      <c r="F8" s="21"/>
      <c r="G8" s="21"/>
      <c r="H8" s="21"/>
      <c r="I8" s="64"/>
      <c r="O8" s="21"/>
      <c r="P8" s="21"/>
      <c r="Q8" s="21"/>
      <c r="R8" s="21"/>
      <c r="S8" s="21"/>
      <c r="T8" s="21"/>
      <c r="U8" s="21"/>
      <c r="V8" s="21"/>
      <c r="W8" s="21"/>
      <c r="X8" s="21"/>
      <c r="Y8" s="21"/>
      <c r="Z8" s="21"/>
      <c r="AA8" s="21"/>
      <c r="AB8" s="21"/>
      <c r="AC8" s="21"/>
      <c r="AD8" s="21"/>
      <c r="AE8" s="21"/>
      <c r="AF8" s="21"/>
      <c r="AG8" s="21"/>
      <c r="AH8" s="21"/>
      <c r="AI8" s="21"/>
      <c r="AJ8" s="21"/>
      <c r="AK8" s="21"/>
      <c r="AL8" s="21"/>
      <c r="AM8" s="21"/>
    </row>
    <row r="9" spans="1:40" ht="20.25" x14ac:dyDescent="0.3">
      <c r="A9" s="65" t="s">
        <v>194</v>
      </c>
      <c r="C9" s="21"/>
      <c r="D9" s="21"/>
      <c r="E9" s="21"/>
      <c r="F9" s="21"/>
      <c r="G9" s="21"/>
      <c r="H9" s="64"/>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40" s="29" customFormat="1" ht="13.5" thickBot="1" x14ac:dyDescent="0.25">
      <c r="A10" s="66" t="s">
        <v>195</v>
      </c>
      <c r="F10" s="21"/>
      <c r="G10" s="21"/>
      <c r="H10" s="21"/>
      <c r="I10" s="21"/>
      <c r="J10" s="21"/>
      <c r="K10" s="21"/>
      <c r="L10" s="21"/>
    </row>
    <row r="11" spans="1:40" ht="13.5" thickBot="1" x14ac:dyDescent="0.25">
      <c r="B11" s="339" t="s">
        <v>122</v>
      </c>
      <c r="C11" s="341" t="s">
        <v>123</v>
      </c>
      <c r="D11" s="342"/>
      <c r="E11" s="342"/>
      <c r="F11" s="342"/>
      <c r="G11" s="343"/>
    </row>
    <row r="12" spans="1:40" ht="13.5" thickBot="1" x14ac:dyDescent="0.25">
      <c r="B12" s="340"/>
      <c r="C12" s="25">
        <v>1</v>
      </c>
      <c r="D12" s="25">
        <v>2</v>
      </c>
      <c r="E12" s="25">
        <v>3</v>
      </c>
      <c r="F12" s="25">
        <v>4</v>
      </c>
      <c r="G12" s="25">
        <v>5</v>
      </c>
    </row>
    <row r="13" spans="1:40" ht="60.75" customHeight="1" thickBot="1" x14ac:dyDescent="0.25">
      <c r="B13" s="344" t="s">
        <v>206</v>
      </c>
      <c r="C13" s="27" t="s">
        <v>125</v>
      </c>
      <c r="D13" s="27" t="s">
        <v>126</v>
      </c>
      <c r="E13" s="27" t="s">
        <v>127</v>
      </c>
      <c r="F13" s="27" t="s">
        <v>128</v>
      </c>
      <c r="G13" s="27" t="s">
        <v>129</v>
      </c>
    </row>
    <row r="14" spans="1:40" ht="13.5" customHeight="1" thickBot="1" x14ac:dyDescent="0.25">
      <c r="B14" s="345"/>
      <c r="C14" s="347" t="s">
        <v>130</v>
      </c>
      <c r="D14" s="348"/>
      <c r="E14" s="347" t="s">
        <v>131</v>
      </c>
      <c r="F14" s="349"/>
      <c r="G14" s="348"/>
    </row>
    <row r="15" spans="1:40" ht="36.75" customHeight="1" thickBot="1" x14ac:dyDescent="0.25">
      <c r="B15" s="346"/>
      <c r="C15" s="31" t="s">
        <v>132</v>
      </c>
      <c r="D15" s="350" t="s">
        <v>207</v>
      </c>
      <c r="E15" s="351"/>
      <c r="F15" s="352" t="s">
        <v>133</v>
      </c>
      <c r="G15" s="353"/>
    </row>
    <row r="16" spans="1:40" ht="60.75" thickBot="1" x14ac:dyDescent="0.25">
      <c r="B16" s="28" t="s">
        <v>75</v>
      </c>
      <c r="C16" s="27" t="s">
        <v>134</v>
      </c>
      <c r="D16" s="27" t="s">
        <v>208</v>
      </c>
      <c r="E16" s="27" t="s">
        <v>209</v>
      </c>
      <c r="F16" s="27" t="s">
        <v>135</v>
      </c>
      <c r="G16" s="27" t="s">
        <v>136</v>
      </c>
    </row>
    <row r="17" spans="1:18" ht="36.75" thickBot="1" x14ac:dyDescent="0.25">
      <c r="B17" s="28" t="s">
        <v>137</v>
      </c>
      <c r="C17" s="27" t="s">
        <v>210</v>
      </c>
      <c r="D17" s="27" t="s">
        <v>138</v>
      </c>
      <c r="E17" s="27" t="s">
        <v>211</v>
      </c>
      <c r="F17" s="27" t="s">
        <v>212</v>
      </c>
      <c r="G17" s="27" t="s">
        <v>213</v>
      </c>
    </row>
    <row r="18" spans="1:18" ht="36.75" thickBot="1" x14ac:dyDescent="0.25">
      <c r="B18" s="28" t="s">
        <v>139</v>
      </c>
      <c r="C18" s="27" t="s">
        <v>140</v>
      </c>
      <c r="D18" s="27" t="s">
        <v>150</v>
      </c>
      <c r="E18" s="27" t="s">
        <v>141</v>
      </c>
      <c r="F18" s="27" t="s">
        <v>142</v>
      </c>
      <c r="G18" s="27" t="s">
        <v>143</v>
      </c>
    </row>
    <row r="19" spans="1:18" ht="48.75" thickBot="1" x14ac:dyDescent="0.25">
      <c r="B19" s="28" t="s">
        <v>196</v>
      </c>
      <c r="C19" s="27" t="s">
        <v>214</v>
      </c>
      <c r="D19" s="347" t="s">
        <v>144</v>
      </c>
      <c r="E19" s="348"/>
      <c r="F19" s="27" t="s">
        <v>145</v>
      </c>
      <c r="G19" s="27" t="s">
        <v>146</v>
      </c>
    </row>
    <row r="20" spans="1:18" x14ac:dyDescent="0.2">
      <c r="B20" s="67"/>
      <c r="C20" s="68"/>
      <c r="D20" s="68"/>
      <c r="E20" s="68"/>
      <c r="F20" s="68"/>
      <c r="G20" s="68"/>
    </row>
    <row r="21" spans="1:18" x14ac:dyDescent="0.2">
      <c r="B21" s="67"/>
      <c r="C21" s="68"/>
      <c r="D21" s="68"/>
      <c r="E21" s="68"/>
      <c r="F21" s="68"/>
      <c r="G21" s="68"/>
    </row>
    <row r="22" spans="1:18" x14ac:dyDescent="0.2">
      <c r="A22" s="69" t="s">
        <v>197</v>
      </c>
      <c r="C22" s="39"/>
      <c r="D22" s="39"/>
      <c r="E22" s="39"/>
      <c r="F22" s="39"/>
      <c r="G22" s="39"/>
      <c r="H22" s="39"/>
      <c r="I22" s="39"/>
      <c r="J22" s="39"/>
      <c r="K22" s="39"/>
      <c r="L22" s="39"/>
      <c r="M22" s="39"/>
      <c r="N22" s="39"/>
      <c r="O22" s="39"/>
      <c r="P22" s="39"/>
      <c r="Q22" s="39"/>
      <c r="R22" s="39"/>
    </row>
    <row r="23" spans="1:18" x14ac:dyDescent="0.2">
      <c r="B23" s="70" t="s">
        <v>198</v>
      </c>
      <c r="C23" s="71"/>
      <c r="D23" s="71"/>
      <c r="E23" s="71"/>
      <c r="F23" s="71"/>
      <c r="G23" s="71"/>
      <c r="H23" s="72"/>
      <c r="I23" s="39"/>
      <c r="J23" s="39"/>
      <c r="K23" s="39"/>
      <c r="L23" s="39"/>
      <c r="M23" s="39"/>
      <c r="N23" s="39"/>
      <c r="O23" s="39"/>
      <c r="P23" s="39"/>
      <c r="Q23" s="39"/>
      <c r="R23" s="39"/>
    </row>
    <row r="24" spans="1:18" ht="65.25" customHeight="1" x14ac:dyDescent="0.2">
      <c r="B24" s="73"/>
      <c r="C24" s="335" t="s">
        <v>215</v>
      </c>
      <c r="D24" s="336"/>
      <c r="E24" s="336"/>
      <c r="F24" s="336"/>
      <c r="G24" s="336"/>
      <c r="H24" s="337"/>
      <c r="N24" s="26"/>
      <c r="O24" s="26"/>
      <c r="P24" s="26"/>
      <c r="Q24" s="26"/>
      <c r="R24" s="26"/>
    </row>
    <row r="25" spans="1:18" x14ac:dyDescent="0.2">
      <c r="B25" s="73"/>
      <c r="C25" s="74" t="s">
        <v>216</v>
      </c>
      <c r="D25" s="75"/>
      <c r="E25" s="75"/>
      <c r="F25" s="75"/>
      <c r="G25" s="75"/>
      <c r="H25" s="76"/>
      <c r="I25" s="39"/>
      <c r="J25" s="39"/>
      <c r="K25" s="39"/>
      <c r="L25" s="39"/>
      <c r="M25" s="39"/>
      <c r="N25" s="39"/>
      <c r="O25" s="39"/>
      <c r="P25" s="39"/>
      <c r="Q25" s="39"/>
      <c r="R25" s="39"/>
    </row>
    <row r="26" spans="1:18" x14ac:dyDescent="0.2">
      <c r="B26" s="73"/>
      <c r="C26" s="77" t="s">
        <v>217</v>
      </c>
      <c r="D26" s="78"/>
      <c r="E26" s="78"/>
      <c r="F26" s="78"/>
      <c r="G26" s="78"/>
      <c r="H26" s="79"/>
      <c r="I26" s="39"/>
      <c r="J26" s="39"/>
      <c r="K26" s="39"/>
      <c r="L26" s="39"/>
      <c r="M26" s="39"/>
      <c r="N26" s="39"/>
      <c r="O26" s="39"/>
      <c r="P26" s="39"/>
      <c r="Q26" s="39"/>
      <c r="R26" s="39"/>
    </row>
    <row r="27" spans="1:18" x14ac:dyDescent="0.2">
      <c r="B27" s="73"/>
      <c r="C27" s="77" t="s">
        <v>218</v>
      </c>
      <c r="D27" s="78"/>
      <c r="E27" s="78"/>
      <c r="F27" s="78"/>
      <c r="G27" s="78"/>
      <c r="H27" s="79"/>
      <c r="I27" s="39"/>
      <c r="J27" s="39"/>
      <c r="K27" s="39"/>
      <c r="L27" s="39"/>
      <c r="M27" s="39"/>
      <c r="N27" s="39"/>
      <c r="O27" s="39"/>
      <c r="P27" s="39"/>
      <c r="Q27" s="39"/>
      <c r="R27" s="39"/>
    </row>
    <row r="28" spans="1:18" x14ac:dyDescent="0.2">
      <c r="B28" s="73"/>
      <c r="C28" s="77" t="s">
        <v>219</v>
      </c>
      <c r="D28" s="78"/>
      <c r="E28" s="78"/>
      <c r="F28" s="78"/>
      <c r="G28" s="78"/>
      <c r="H28" s="79"/>
      <c r="I28" s="39"/>
      <c r="J28" s="39"/>
      <c r="K28" s="39"/>
      <c r="L28" s="39"/>
      <c r="M28" s="39"/>
      <c r="N28" s="39"/>
      <c r="O28" s="39"/>
      <c r="P28" s="39"/>
      <c r="Q28" s="39"/>
      <c r="R28" s="39"/>
    </row>
    <row r="29" spans="1:18" x14ac:dyDescent="0.2">
      <c r="B29" s="73"/>
      <c r="C29" s="77" t="s">
        <v>220</v>
      </c>
      <c r="D29" s="78"/>
      <c r="E29" s="78"/>
      <c r="F29" s="78"/>
      <c r="G29" s="78"/>
      <c r="H29" s="79"/>
      <c r="I29" s="39"/>
      <c r="J29" s="39"/>
      <c r="K29" s="39"/>
      <c r="L29" s="39"/>
      <c r="M29" s="39"/>
      <c r="N29" s="39"/>
      <c r="O29" s="39"/>
      <c r="P29" s="39"/>
      <c r="Q29" s="39"/>
      <c r="R29" s="39"/>
    </row>
    <row r="30" spans="1:18" ht="41.25" customHeight="1" x14ac:dyDescent="0.2">
      <c r="B30" s="73"/>
      <c r="C30" s="357" t="s">
        <v>151</v>
      </c>
      <c r="D30" s="358"/>
      <c r="E30" s="358"/>
      <c r="F30" s="358"/>
      <c r="G30" s="358"/>
      <c r="H30" s="359"/>
      <c r="N30" s="80"/>
      <c r="O30" s="80"/>
      <c r="P30" s="80"/>
      <c r="Q30" s="39"/>
      <c r="R30" s="39"/>
    </row>
    <row r="31" spans="1:18" ht="38.25" customHeight="1" x14ac:dyDescent="0.2">
      <c r="B31" s="81"/>
      <c r="C31" s="335" t="s">
        <v>221</v>
      </c>
      <c r="D31" s="336"/>
      <c r="E31" s="336"/>
      <c r="F31" s="336"/>
      <c r="G31" s="336"/>
      <c r="H31" s="337"/>
      <c r="N31" s="26"/>
      <c r="O31" s="26"/>
      <c r="P31" s="26"/>
      <c r="Q31" s="26"/>
      <c r="R31" s="39"/>
    </row>
    <row r="32" spans="1:18" ht="43.5" customHeight="1" x14ac:dyDescent="0.2">
      <c r="B32" s="335" t="s">
        <v>199</v>
      </c>
      <c r="C32" s="336"/>
      <c r="D32" s="336"/>
      <c r="E32" s="336"/>
      <c r="F32" s="336"/>
      <c r="G32" s="336"/>
      <c r="H32" s="337"/>
      <c r="I32" s="39"/>
      <c r="J32" s="39"/>
      <c r="K32" s="39"/>
      <c r="L32" s="39"/>
      <c r="M32" s="39"/>
      <c r="N32" s="39"/>
      <c r="O32" s="39"/>
      <c r="P32" s="39"/>
      <c r="Q32" s="39"/>
      <c r="R32" s="39"/>
    </row>
    <row r="33" spans="1:9" ht="49.5" customHeight="1" x14ac:dyDescent="0.25">
      <c r="B33" s="335" t="s">
        <v>222</v>
      </c>
      <c r="C33" s="336"/>
      <c r="D33" s="336"/>
      <c r="E33" s="336"/>
      <c r="F33" s="336"/>
      <c r="G33" s="336"/>
      <c r="H33" s="337"/>
      <c r="I33" s="30"/>
    </row>
    <row r="34" spans="1:9" ht="46.5" customHeight="1" x14ac:dyDescent="0.25">
      <c r="B34" s="335" t="s">
        <v>200</v>
      </c>
      <c r="C34" s="336"/>
      <c r="D34" s="336"/>
      <c r="E34" s="336"/>
      <c r="F34" s="336"/>
      <c r="G34" s="336"/>
      <c r="H34" s="337"/>
      <c r="I34" s="30"/>
    </row>
    <row r="35" spans="1:9" ht="30" customHeight="1" x14ac:dyDescent="0.25">
      <c r="B35" s="335" t="s">
        <v>201</v>
      </c>
      <c r="C35" s="336"/>
      <c r="D35" s="336"/>
      <c r="E35" s="336"/>
      <c r="F35" s="336"/>
      <c r="G35" s="336"/>
      <c r="H35" s="337"/>
      <c r="I35" s="30"/>
    </row>
    <row r="36" spans="1:9" ht="26.25" customHeight="1" x14ac:dyDescent="0.25">
      <c r="A36" s="82" t="s">
        <v>202</v>
      </c>
      <c r="B36" s="82"/>
      <c r="I36" s="32"/>
    </row>
    <row r="37" spans="1:9" ht="30" customHeight="1" x14ac:dyDescent="0.2">
      <c r="B37" s="360" t="s">
        <v>223</v>
      </c>
      <c r="C37" s="361"/>
      <c r="D37" s="361"/>
      <c r="E37" s="361"/>
      <c r="F37" s="361"/>
      <c r="G37" s="361"/>
      <c r="H37" s="362"/>
    </row>
    <row r="38" spans="1:9" ht="12.75" customHeight="1" x14ac:dyDescent="0.2">
      <c r="B38" s="368" t="s">
        <v>224</v>
      </c>
      <c r="C38" s="369"/>
      <c r="D38" s="369"/>
      <c r="E38" s="369"/>
      <c r="F38" s="369"/>
      <c r="G38" s="83"/>
      <c r="H38" s="84"/>
    </row>
    <row r="39" spans="1:9" ht="29.25" customHeight="1" x14ac:dyDescent="0.2">
      <c r="B39" s="354" t="s">
        <v>225</v>
      </c>
      <c r="C39" s="355"/>
      <c r="D39" s="355"/>
      <c r="E39" s="355"/>
      <c r="F39" s="355"/>
      <c r="G39" s="355"/>
      <c r="H39" s="356"/>
    </row>
    <row r="40" spans="1:9" ht="15" customHeight="1" x14ac:dyDescent="0.2">
      <c r="B40" s="85" t="s">
        <v>147</v>
      </c>
      <c r="C40" s="83"/>
      <c r="D40" s="83"/>
      <c r="E40" s="83"/>
      <c r="F40" s="83"/>
      <c r="G40" s="83"/>
      <c r="H40" s="84"/>
    </row>
    <row r="41" spans="1:9" ht="30.75" customHeight="1" x14ac:dyDescent="0.2">
      <c r="B41" s="354" t="s">
        <v>152</v>
      </c>
      <c r="C41" s="355"/>
      <c r="D41" s="355"/>
      <c r="E41" s="355"/>
      <c r="F41" s="355"/>
      <c r="G41" s="355"/>
      <c r="H41" s="356"/>
    </row>
    <row r="42" spans="1:9" ht="12.75" customHeight="1" x14ac:dyDescent="0.2">
      <c r="B42" s="363" t="s">
        <v>226</v>
      </c>
      <c r="C42" s="364"/>
      <c r="D42" s="364"/>
      <c r="E42" s="364"/>
      <c r="F42" s="364"/>
      <c r="G42" s="364"/>
      <c r="H42" s="84"/>
    </row>
    <row r="43" spans="1:9" ht="35.25" customHeight="1" x14ac:dyDescent="0.2">
      <c r="B43" s="354" t="s">
        <v>227</v>
      </c>
      <c r="C43" s="355"/>
      <c r="D43" s="355"/>
      <c r="E43" s="355"/>
      <c r="F43" s="355"/>
      <c r="G43" s="355"/>
      <c r="H43" s="356"/>
    </row>
    <row r="44" spans="1:9" ht="24.75" customHeight="1" x14ac:dyDescent="0.2">
      <c r="B44" s="365" t="s">
        <v>228</v>
      </c>
      <c r="C44" s="366"/>
      <c r="D44" s="366"/>
      <c r="E44" s="366"/>
      <c r="F44" s="366"/>
      <c r="G44" s="366"/>
      <c r="H44" s="367"/>
    </row>
    <row r="45" spans="1:9" ht="27.75" customHeight="1" x14ac:dyDescent="0.2">
      <c r="B45" s="357" t="s">
        <v>153</v>
      </c>
      <c r="C45" s="358"/>
      <c r="D45" s="358"/>
      <c r="E45" s="358"/>
      <c r="F45" s="358"/>
      <c r="G45" s="358"/>
      <c r="H45" s="359"/>
    </row>
    <row r="46" spans="1:9" ht="21" customHeight="1" x14ac:dyDescent="0.2">
      <c r="B46" s="335" t="s">
        <v>229</v>
      </c>
      <c r="C46" s="336"/>
      <c r="D46" s="336"/>
      <c r="E46" s="336"/>
      <c r="F46" s="336"/>
      <c r="G46" s="336"/>
      <c r="H46" s="337"/>
    </row>
    <row r="47" spans="1:9" ht="26.25" customHeight="1" x14ac:dyDescent="0.2">
      <c r="B47" s="338" t="s">
        <v>230</v>
      </c>
      <c r="C47" s="338"/>
      <c r="D47" s="338"/>
      <c r="E47" s="338"/>
      <c r="F47" s="338"/>
      <c r="G47" s="338"/>
      <c r="H47" s="338"/>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38:F38"/>
    <mergeCell ref="A1:L1"/>
    <mergeCell ref="J7:K7"/>
    <mergeCell ref="D19:E19"/>
    <mergeCell ref="C24:H24"/>
    <mergeCell ref="C30:H30"/>
    <mergeCell ref="C31:H31"/>
    <mergeCell ref="B45:H45"/>
    <mergeCell ref="B32:H32"/>
    <mergeCell ref="B33:H33"/>
    <mergeCell ref="B34:H34"/>
    <mergeCell ref="B35:H35"/>
    <mergeCell ref="B37:H37"/>
    <mergeCell ref="B41:H41"/>
    <mergeCell ref="B42:G42"/>
    <mergeCell ref="B43:H43"/>
    <mergeCell ref="B44:H44"/>
    <mergeCell ref="B46:H46"/>
    <mergeCell ref="B47:H47"/>
    <mergeCell ref="B11:B12"/>
    <mergeCell ref="C11:G11"/>
    <mergeCell ref="B13:B15"/>
    <mergeCell ref="C14:D14"/>
    <mergeCell ref="E14:G14"/>
    <mergeCell ref="D15:E15"/>
    <mergeCell ref="F15:G15"/>
    <mergeCell ref="B39:H39"/>
  </mergeCells>
  <phoneticPr fontId="45" type="noConversion"/>
  <pageMargins left="0.25" right="0.25" top="0.75" bottom="0.75" header="0.3" footer="0.3"/>
  <pageSetup paperSize="3" fitToHeight="2" orientation="landscape" r:id="rId2"/>
  <headerFooter>
    <oddFooter>&amp;CPage &amp;P&amp;R&amp;F</oddFooter>
  </headerFooter>
  <rowBreaks count="1" manualBreakCount="1">
    <brk id="2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topLeftCell="A34" zoomScale="115" zoomScaleNormal="115" zoomScaleSheetLayoutView="100" workbookViewId="0">
      <selection activeCell="F53" sqref="F53"/>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8" max="8" width="19.8554687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1"/>
      <c r="B1" s="21"/>
      <c r="C1" s="21"/>
      <c r="D1" s="21"/>
      <c r="E1" s="21"/>
      <c r="F1" s="21"/>
      <c r="G1" s="21"/>
      <c r="H1" s="64" t="s">
        <v>505</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86" customFormat="1" ht="20.25" x14ac:dyDescent="0.3">
      <c r="A2" s="65" t="s">
        <v>172</v>
      </c>
      <c r="B2" s="65"/>
      <c r="C2" s="65"/>
      <c r="D2" s="65"/>
      <c r="E2" s="65"/>
      <c r="F2" s="65"/>
      <c r="G2" s="65"/>
      <c r="H2" s="65"/>
      <c r="I2" s="65" t="s">
        <v>38</v>
      </c>
    </row>
    <row r="4" spans="1:38" ht="15" x14ac:dyDescent="0.2">
      <c r="A4" s="120" t="s">
        <v>428</v>
      </c>
      <c r="B4" s="55"/>
      <c r="C4" s="55"/>
      <c r="D4" s="55"/>
      <c r="E4" s="55"/>
      <c r="F4" s="55"/>
      <c r="G4" s="55"/>
      <c r="H4" s="55"/>
      <c r="I4" s="55"/>
    </row>
    <row r="5" spans="1:38" x14ac:dyDescent="0.2">
      <c r="A5" s="114"/>
      <c r="B5" s="121"/>
      <c r="C5" s="121"/>
      <c r="D5" s="121"/>
      <c r="E5" s="122" t="s">
        <v>251</v>
      </c>
      <c r="F5" s="122" t="s">
        <v>64</v>
      </c>
      <c r="G5" s="122" t="s">
        <v>71</v>
      </c>
      <c r="H5" s="100"/>
      <c r="I5" s="124" t="s">
        <v>256</v>
      </c>
      <c r="J5" s="91"/>
      <c r="K5" s="91"/>
      <c r="L5" s="39"/>
    </row>
    <row r="6" spans="1:38" x14ac:dyDescent="0.2">
      <c r="A6" s="114"/>
      <c r="B6" s="121"/>
      <c r="C6" s="121"/>
      <c r="D6" s="121"/>
      <c r="E6" s="122"/>
      <c r="F6" s="122"/>
      <c r="G6" s="122"/>
      <c r="H6" s="100"/>
      <c r="I6" s="124"/>
      <c r="J6" s="91"/>
      <c r="K6" s="91"/>
      <c r="L6" s="39"/>
    </row>
    <row r="7" spans="1:38" ht="15" x14ac:dyDescent="0.25">
      <c r="C7" s="219" t="s">
        <v>506</v>
      </c>
      <c r="K7" s="91"/>
      <c r="L7" s="39"/>
    </row>
    <row r="8" spans="1:38" ht="15" x14ac:dyDescent="0.25">
      <c r="C8" t="s">
        <v>507</v>
      </c>
      <c r="F8" s="220">
        <v>1.1023113109243879E-3</v>
      </c>
      <c r="G8" t="s">
        <v>508</v>
      </c>
      <c r="K8" s="91"/>
      <c r="L8" s="39"/>
    </row>
    <row r="9" spans="1:38" ht="15" x14ac:dyDescent="0.25">
      <c r="C9" t="s">
        <v>509</v>
      </c>
      <c r="F9" s="220">
        <v>20</v>
      </c>
      <c r="G9" t="s">
        <v>510</v>
      </c>
      <c r="K9" s="91"/>
      <c r="L9" s="39"/>
    </row>
    <row r="10" spans="1:38" x14ac:dyDescent="0.2">
      <c r="K10" s="91"/>
      <c r="L10" s="39"/>
    </row>
    <row r="11" spans="1:38" x14ac:dyDescent="0.2">
      <c r="K11" s="91"/>
      <c r="L11" s="39"/>
    </row>
    <row r="12" spans="1:38" x14ac:dyDescent="0.2">
      <c r="G12" t="s">
        <v>511</v>
      </c>
      <c r="H12" t="s">
        <v>512</v>
      </c>
      <c r="I12" t="s">
        <v>513</v>
      </c>
      <c r="K12" s="91"/>
      <c r="L12" s="39"/>
    </row>
    <row r="13" spans="1:38" ht="15" x14ac:dyDescent="0.25">
      <c r="A13" t="s">
        <v>514</v>
      </c>
      <c r="B13" s="220">
        <v>1</v>
      </c>
      <c r="C13" t="s">
        <v>515</v>
      </c>
      <c r="G13" s="221">
        <v>8.790932704621994E-2</v>
      </c>
      <c r="H13" s="221">
        <v>6.7363469000934826E-4</v>
      </c>
      <c r="I13" s="221">
        <v>2.5764750013546292E-2</v>
      </c>
      <c r="K13" s="91"/>
      <c r="L13" s="39"/>
    </row>
    <row r="14" spans="1:38" x14ac:dyDescent="0.2">
      <c r="C14" t="s">
        <v>516</v>
      </c>
      <c r="G14" s="221">
        <v>0.10141264060504369</v>
      </c>
      <c r="H14" s="221">
        <v>7.7710835712677161E-4</v>
      </c>
      <c r="I14" s="221">
        <v>2.9722344843213275E-2</v>
      </c>
      <c r="K14" s="91"/>
      <c r="L14" s="39"/>
    </row>
    <row r="15" spans="1:38" x14ac:dyDescent="0.2">
      <c r="C15" t="s">
        <v>517</v>
      </c>
      <c r="G15" s="221">
        <v>0.11199482918991781</v>
      </c>
      <c r="H15" s="221">
        <v>8.5819792482695644E-4</v>
      </c>
      <c r="I15" s="221">
        <v>3.2823806913809442E-2</v>
      </c>
      <c r="K15" s="91"/>
      <c r="L15" s="39"/>
    </row>
    <row r="16" spans="1:38" s="222" customFormat="1" ht="15" x14ac:dyDescent="0.25">
      <c r="A16" s="222" t="s">
        <v>518</v>
      </c>
      <c r="B16" s="223">
        <v>50</v>
      </c>
      <c r="C16" s="222" t="s">
        <v>519</v>
      </c>
      <c r="G16" s="224">
        <v>0.14638694209075873</v>
      </c>
      <c r="H16" s="224">
        <v>1.1217390198525574E-3</v>
      </c>
      <c r="I16" s="224">
        <v>4.2903558643246992E-2</v>
      </c>
      <c r="K16" s="225"/>
    </row>
    <row r="17" spans="1:33" s="222" customFormat="1" ht="15" x14ac:dyDescent="0.25">
      <c r="A17" s="222" t="s">
        <v>520</v>
      </c>
      <c r="B17" s="223">
        <v>800</v>
      </c>
      <c r="C17" s="222" t="s">
        <v>521</v>
      </c>
      <c r="G17" s="224"/>
      <c r="H17" s="224"/>
      <c r="I17" s="224">
        <v>9.4647077382075215E-2</v>
      </c>
      <c r="K17" s="225"/>
    </row>
    <row r="18" spans="1:33" x14ac:dyDescent="0.2">
      <c r="C18" t="s">
        <v>522</v>
      </c>
      <c r="G18" s="221">
        <v>0.16799224378487673</v>
      </c>
      <c r="H18" s="221">
        <v>1.2872968872404348E-3</v>
      </c>
      <c r="I18" s="221">
        <v>4.9235710370714163E-2</v>
      </c>
      <c r="K18" s="91"/>
      <c r="L18" s="39"/>
    </row>
    <row r="19" spans="1:33" x14ac:dyDescent="0.2">
      <c r="A19" s="114"/>
      <c r="B19" s="121"/>
      <c r="C19" s="121"/>
      <c r="D19" s="121"/>
      <c r="E19" s="122"/>
      <c r="F19" s="122"/>
      <c r="G19" s="122" t="s">
        <v>523</v>
      </c>
      <c r="H19" s="226">
        <f>SUM(H13:H15)</f>
        <v>2.3089409719630762E-3</v>
      </c>
      <c r="I19" s="124" t="s">
        <v>525</v>
      </c>
      <c r="J19" s="91"/>
      <c r="K19" s="91"/>
      <c r="L19" s="39"/>
    </row>
    <row r="20" spans="1:33" x14ac:dyDescent="0.2">
      <c r="A20" s="114"/>
      <c r="B20" s="121"/>
      <c r="C20" s="121"/>
      <c r="D20" s="121"/>
      <c r="E20" s="122"/>
      <c r="F20" s="122"/>
      <c r="G20" s="122" t="s">
        <v>524</v>
      </c>
      <c r="H20" s="226">
        <f>SUM(H13:H14,H18)</f>
        <v>2.7380399343765547E-3</v>
      </c>
      <c r="I20" s="124" t="s">
        <v>525</v>
      </c>
      <c r="J20" s="91"/>
      <c r="K20" s="91"/>
      <c r="L20" s="39"/>
    </row>
    <row r="21" spans="1:33" x14ac:dyDescent="0.2">
      <c r="A21" s="114"/>
      <c r="B21" s="121"/>
      <c r="C21" s="121"/>
      <c r="D21" s="121"/>
      <c r="E21" s="122"/>
      <c r="F21" s="122"/>
      <c r="G21" s="122"/>
      <c r="H21" s="100"/>
      <c r="I21" s="124"/>
      <c r="J21" s="91"/>
      <c r="K21" s="91"/>
      <c r="L21" s="39"/>
    </row>
    <row r="22" spans="1:33" x14ac:dyDescent="0.2">
      <c r="A22" s="114"/>
      <c r="B22" s="121"/>
      <c r="C22" s="121"/>
      <c r="D22" s="121"/>
      <c r="E22" s="122"/>
      <c r="F22" s="122"/>
      <c r="G22" s="122"/>
      <c r="H22" s="100"/>
      <c r="I22" s="124"/>
      <c r="J22" s="91"/>
      <c r="K22" s="91"/>
      <c r="L22" s="39"/>
    </row>
    <row r="23" spans="1:33" x14ac:dyDescent="0.2">
      <c r="A23" s="114"/>
      <c r="B23" s="121"/>
      <c r="C23" s="121"/>
      <c r="D23" s="121"/>
      <c r="E23" s="122"/>
      <c r="F23" s="122"/>
      <c r="G23" s="122"/>
      <c r="H23" s="100"/>
      <c r="I23" s="124"/>
      <c r="J23" s="91"/>
      <c r="K23" s="91"/>
      <c r="L23" s="39"/>
    </row>
    <row r="24" spans="1:33" x14ac:dyDescent="0.2">
      <c r="A24" s="114"/>
      <c r="B24" s="121"/>
      <c r="C24" s="121"/>
      <c r="D24" s="121"/>
      <c r="E24" s="122"/>
      <c r="F24" s="122"/>
      <c r="G24" s="122"/>
      <c r="H24" s="100"/>
      <c r="I24" s="124"/>
      <c r="J24" s="91"/>
      <c r="K24" s="91"/>
      <c r="L24" s="39"/>
    </row>
    <row r="25" spans="1:33" x14ac:dyDescent="0.2">
      <c r="A25" s="114"/>
      <c r="B25" s="111" t="s">
        <v>397</v>
      </c>
      <c r="C25" s="121"/>
      <c r="D25" s="121"/>
      <c r="E25" s="122"/>
      <c r="F25" s="122"/>
      <c r="G25" s="122"/>
      <c r="H25" s="100"/>
      <c r="I25" s="100"/>
      <c r="J25" s="91"/>
      <c r="K25" s="91"/>
      <c r="L25" s="39"/>
    </row>
    <row r="26" spans="1:33" x14ac:dyDescent="0.2">
      <c r="A26" s="55"/>
      <c r="B26" s="55"/>
      <c r="C26" s="55"/>
      <c r="D26" s="108"/>
      <c r="E26" s="112" t="s">
        <v>348</v>
      </c>
      <c r="F26" s="55">
        <v>0.35</v>
      </c>
      <c r="G26" s="55" t="s">
        <v>340</v>
      </c>
      <c r="H26" s="55"/>
      <c r="I26" s="108" t="s">
        <v>431</v>
      </c>
      <c r="AG26" s="24"/>
    </row>
    <row r="27" spans="1:33" x14ac:dyDescent="0.2">
      <c r="A27" s="55"/>
      <c r="B27" s="55"/>
      <c r="C27" s="55"/>
      <c r="D27" s="108"/>
      <c r="E27" s="112" t="s">
        <v>400</v>
      </c>
      <c r="F27" s="55">
        <v>440</v>
      </c>
      <c r="G27" s="55" t="s">
        <v>341</v>
      </c>
      <c r="H27" s="55"/>
      <c r="I27" s="108" t="s">
        <v>432</v>
      </c>
      <c r="AG27" s="24"/>
    </row>
    <row r="28" spans="1:33" ht="13.5" customHeight="1" x14ac:dyDescent="0.2">
      <c r="A28" s="55"/>
      <c r="B28" s="55"/>
      <c r="C28" s="55"/>
      <c r="D28" s="108"/>
      <c r="E28" s="195" t="s">
        <v>402</v>
      </c>
      <c r="F28" s="123">
        <f>F27*F26</f>
        <v>154</v>
      </c>
      <c r="G28" s="148" t="s">
        <v>459</v>
      </c>
      <c r="H28" s="55"/>
      <c r="I28" s="108"/>
      <c r="AG28" s="24"/>
    </row>
    <row r="29" spans="1:33" x14ac:dyDescent="0.2">
      <c r="A29" s="55"/>
      <c r="B29" s="55"/>
      <c r="C29" s="55"/>
      <c r="D29" s="108"/>
      <c r="E29" s="112" t="s">
        <v>403</v>
      </c>
      <c r="F29" s="55">
        <f>Conversions!D31</f>
        <v>1186.04</v>
      </c>
      <c r="G29" s="55" t="s">
        <v>342</v>
      </c>
      <c r="H29" s="55"/>
      <c r="I29" s="108" t="s">
        <v>433</v>
      </c>
      <c r="AG29" s="24"/>
    </row>
    <row r="30" spans="1:33" x14ac:dyDescent="0.2">
      <c r="A30" s="55"/>
      <c r="B30" s="55"/>
      <c r="C30" s="55"/>
      <c r="D30" s="108"/>
      <c r="E30" s="112" t="s">
        <v>349</v>
      </c>
      <c r="F30" s="55">
        <f>F29/Conversions!D15</f>
        <v>1.18604</v>
      </c>
      <c r="G30" s="55" t="s">
        <v>343</v>
      </c>
      <c r="H30" s="55"/>
      <c r="I30" s="108"/>
      <c r="AG30" s="24"/>
    </row>
    <row r="31" spans="1:33" x14ac:dyDescent="0.2">
      <c r="A31" s="55"/>
      <c r="B31" s="55"/>
      <c r="C31" s="55"/>
      <c r="D31" s="108"/>
      <c r="E31" s="112" t="s">
        <v>350</v>
      </c>
      <c r="F31" s="55">
        <f>F30*F28*Conversions!D9</f>
        <v>82.84871895527921</v>
      </c>
      <c r="G31" s="55" t="s">
        <v>344</v>
      </c>
      <c r="H31" s="55"/>
      <c r="I31" s="108"/>
      <c r="AG31" s="24"/>
    </row>
    <row r="32" spans="1:33" x14ac:dyDescent="0.2">
      <c r="A32" s="55"/>
      <c r="B32" s="55"/>
      <c r="C32" s="55"/>
      <c r="D32" s="108"/>
      <c r="E32" s="112" t="s">
        <v>401</v>
      </c>
      <c r="F32" s="55">
        <f>AVERAGE(2,4)</f>
        <v>3</v>
      </c>
      <c r="G32" s="55" t="s">
        <v>398</v>
      </c>
      <c r="H32" s="55"/>
      <c r="I32" s="108" t="s">
        <v>432</v>
      </c>
      <c r="AG32" s="24"/>
    </row>
    <row r="33" spans="1:33" x14ac:dyDescent="0.2">
      <c r="A33" s="55"/>
      <c r="B33" s="55"/>
      <c r="C33" s="55"/>
      <c r="D33" s="108"/>
      <c r="E33" s="112" t="s">
        <v>347</v>
      </c>
      <c r="F33" s="55">
        <f>F32*Conversions!D21</f>
        <v>2721.55422</v>
      </c>
      <c r="G33" s="55" t="s">
        <v>399</v>
      </c>
      <c r="H33" s="55"/>
      <c r="I33" s="108" t="s">
        <v>434</v>
      </c>
      <c r="AG33" s="24"/>
    </row>
    <row r="34" spans="1:33" x14ac:dyDescent="0.2">
      <c r="A34" s="55"/>
      <c r="B34" s="55"/>
      <c r="C34" s="55"/>
      <c r="D34" s="108"/>
      <c r="E34" s="112" t="s">
        <v>351</v>
      </c>
      <c r="F34" s="55">
        <f>F33/(F43*5)</f>
        <v>0.2142857142857143</v>
      </c>
      <c r="G34" s="55" t="s">
        <v>254</v>
      </c>
      <c r="H34" s="55"/>
      <c r="I34" s="108"/>
      <c r="AG34" s="24"/>
    </row>
    <row r="35" spans="1:33" x14ac:dyDescent="0.2">
      <c r="A35" s="55"/>
      <c r="B35" s="55"/>
      <c r="C35" s="55"/>
      <c r="D35" s="108"/>
      <c r="E35" s="112" t="s">
        <v>352</v>
      </c>
      <c r="F35" s="55">
        <f>F31/F34</f>
        <v>386.62735512463627</v>
      </c>
      <c r="G35" s="55" t="s">
        <v>345</v>
      </c>
      <c r="H35" s="55"/>
      <c r="I35" s="194"/>
      <c r="AG35" s="24"/>
    </row>
    <row r="36" spans="1:33" x14ac:dyDescent="0.2">
      <c r="A36" s="55"/>
      <c r="B36" s="55"/>
      <c r="C36" s="55"/>
      <c r="D36" s="108"/>
      <c r="E36" s="112" t="s">
        <v>353</v>
      </c>
      <c r="F36" s="123">
        <f>F35/(F43*5)</f>
        <v>3.0441693333333335E-2</v>
      </c>
      <c r="G36" s="55" t="s">
        <v>346</v>
      </c>
      <c r="H36" s="55"/>
      <c r="I36" s="108"/>
      <c r="AG36" s="24"/>
    </row>
    <row r="37" spans="1:33" x14ac:dyDescent="0.2">
      <c r="A37" s="55"/>
      <c r="B37" s="55"/>
      <c r="C37" s="55"/>
      <c r="D37" s="108"/>
      <c r="E37" s="112"/>
      <c r="F37" s="123"/>
      <c r="G37" s="55"/>
      <c r="H37" s="55"/>
      <c r="I37" s="108"/>
      <c r="AG37" s="24"/>
    </row>
    <row r="38" spans="1:33" x14ac:dyDescent="0.2">
      <c r="A38" s="100"/>
      <c r="B38" s="124" t="s">
        <v>414</v>
      </c>
      <c r="C38" s="100"/>
      <c r="D38" s="196"/>
      <c r="E38" s="114"/>
      <c r="F38" s="197"/>
      <c r="G38" s="100"/>
      <c r="H38" s="100"/>
      <c r="I38" s="196"/>
      <c r="J38" s="91"/>
      <c r="K38" s="91"/>
      <c r="L38" s="91"/>
      <c r="M38" s="91"/>
      <c r="N38" s="91"/>
      <c r="O38" s="91"/>
      <c r="P38" s="91"/>
      <c r="Q38" s="91"/>
      <c r="R38" s="91"/>
      <c r="S38" s="91"/>
      <c r="T38" s="91"/>
      <c r="U38" s="91"/>
      <c r="V38" s="91"/>
      <c r="W38" s="91"/>
      <c r="X38" s="91"/>
      <c r="Y38" s="91"/>
      <c r="Z38" s="91"/>
      <c r="AA38" s="91"/>
      <c r="AB38" s="91"/>
      <c r="AC38" s="91"/>
      <c r="AD38" s="91"/>
      <c r="AE38" s="91"/>
      <c r="AF38" s="91"/>
      <c r="AG38" s="24"/>
    </row>
    <row r="39" spans="1:33" x14ac:dyDescent="0.2">
      <c r="A39" s="100"/>
      <c r="B39" s="100"/>
      <c r="C39" s="100"/>
      <c r="D39" s="196"/>
      <c r="E39" s="114" t="s">
        <v>355</v>
      </c>
      <c r="F39" s="197">
        <f>F36</f>
        <v>3.0441693333333335E-2</v>
      </c>
      <c r="G39" s="100" t="s">
        <v>354</v>
      </c>
      <c r="H39" s="100"/>
      <c r="I39" s="196" t="s">
        <v>435</v>
      </c>
      <c r="J39" s="91"/>
      <c r="K39" s="91"/>
      <c r="L39" s="91"/>
      <c r="M39" s="91"/>
      <c r="N39" s="91"/>
      <c r="O39" s="91"/>
      <c r="P39" s="91"/>
      <c r="Q39" s="91"/>
      <c r="R39" s="91"/>
      <c r="S39" s="91"/>
      <c r="T39" s="91"/>
      <c r="U39" s="91"/>
      <c r="V39" s="91"/>
      <c r="W39" s="91"/>
      <c r="X39" s="91"/>
      <c r="Y39" s="91"/>
      <c r="Z39" s="91"/>
      <c r="AA39" s="91"/>
      <c r="AB39" s="91"/>
      <c r="AC39" s="91"/>
      <c r="AD39" s="91"/>
      <c r="AE39" s="91"/>
      <c r="AF39" s="91"/>
      <c r="AG39" s="24"/>
    </row>
    <row r="40" spans="1:33" x14ac:dyDescent="0.2">
      <c r="A40" s="55"/>
      <c r="B40" s="55"/>
      <c r="C40" s="55"/>
      <c r="D40" s="108"/>
      <c r="E40" s="114" t="s">
        <v>460</v>
      </c>
      <c r="F40" s="115">
        <f>F39*F43</f>
        <v>77.325471024927253</v>
      </c>
      <c r="G40" s="196" t="s">
        <v>461</v>
      </c>
      <c r="H40" s="55"/>
      <c r="I40" s="108"/>
      <c r="AG40" s="24"/>
    </row>
    <row r="41" spans="1:33" ht="15" x14ac:dyDescent="0.2">
      <c r="A41" s="120" t="s">
        <v>411</v>
      </c>
      <c r="B41" s="55"/>
      <c r="C41" s="55"/>
      <c r="D41" s="55"/>
      <c r="E41" s="55"/>
      <c r="F41" s="55"/>
      <c r="G41" s="55"/>
      <c r="H41" s="55"/>
      <c r="I41" s="55"/>
      <c r="L41" s="39"/>
    </row>
    <row r="42" spans="1:33" ht="15" x14ac:dyDescent="0.2">
      <c r="A42" s="149"/>
      <c r="B42" s="150" t="s">
        <v>404</v>
      </c>
      <c r="C42" s="109"/>
      <c r="D42" s="109"/>
      <c r="E42" s="110"/>
      <c r="F42" s="109"/>
      <c r="G42" s="109"/>
      <c r="H42" s="109"/>
      <c r="I42" s="109"/>
      <c r="J42" s="109"/>
      <c r="L42" s="39" t="s">
        <v>405</v>
      </c>
    </row>
    <row r="43" spans="1:33" ht="15" x14ac:dyDescent="0.2">
      <c r="A43" s="149"/>
      <c r="B43" s="109"/>
      <c r="C43" s="109"/>
      <c r="D43" s="109"/>
      <c r="E43" s="110"/>
      <c r="F43" s="151">
        <f>M48*Conversions!D21</f>
        <v>2540.117272</v>
      </c>
      <c r="G43" s="108" t="s">
        <v>267</v>
      </c>
      <c r="H43" s="109"/>
      <c r="I43" s="109" t="s">
        <v>405</v>
      </c>
      <c r="J43" s="109"/>
      <c r="L43" s="152" t="s">
        <v>406</v>
      </c>
      <c r="M43" s="152" t="s">
        <v>407</v>
      </c>
      <c r="N43" s="152" t="s">
        <v>408</v>
      </c>
    </row>
    <row r="44" spans="1:33" ht="15" x14ac:dyDescent="0.2">
      <c r="A44" s="149"/>
      <c r="B44" s="109"/>
      <c r="C44" s="109"/>
      <c r="D44" s="109"/>
      <c r="E44" s="110"/>
      <c r="F44" s="153">
        <f>F43*30</f>
        <v>76203.518159999992</v>
      </c>
      <c r="G44" s="108" t="s">
        <v>409</v>
      </c>
      <c r="H44" s="109"/>
      <c r="I44" s="109" t="s">
        <v>454</v>
      </c>
      <c r="J44" s="109"/>
      <c r="L44" s="62">
        <v>1</v>
      </c>
      <c r="M44" s="154">
        <v>1.9</v>
      </c>
      <c r="N44" s="62" t="s">
        <v>410</v>
      </c>
    </row>
    <row r="45" spans="1:33" ht="15.75" x14ac:dyDescent="0.2">
      <c r="A45" s="155"/>
      <c r="B45" s="109"/>
      <c r="C45" s="109"/>
      <c r="D45" s="109"/>
      <c r="E45" s="110"/>
      <c r="F45" s="156"/>
      <c r="G45" s="109"/>
      <c r="H45" s="109"/>
      <c r="I45" s="109"/>
      <c r="J45" s="109"/>
      <c r="L45" s="62">
        <v>2</v>
      </c>
      <c r="M45" s="154">
        <v>2.6</v>
      </c>
      <c r="N45" s="62" t="s">
        <v>410</v>
      </c>
    </row>
    <row r="46" spans="1:33" x14ac:dyDescent="0.2">
      <c r="A46" s="155"/>
      <c r="B46" s="111"/>
      <c r="C46" s="109"/>
      <c r="D46" s="109"/>
      <c r="E46" s="110"/>
      <c r="F46" s="148"/>
      <c r="G46" s="108"/>
      <c r="H46" s="109"/>
      <c r="I46" s="109"/>
      <c r="J46" s="109"/>
      <c r="L46" s="62">
        <v>3</v>
      </c>
      <c r="M46" s="154">
        <v>2.85</v>
      </c>
      <c r="N46" s="62" t="s">
        <v>410</v>
      </c>
    </row>
    <row r="47" spans="1:33" x14ac:dyDescent="0.2">
      <c r="A47" s="155"/>
      <c r="B47" s="55"/>
      <c r="C47" s="109"/>
      <c r="D47" s="109"/>
      <c r="E47" s="109"/>
      <c r="F47" s="157"/>
      <c r="G47" s="108"/>
      <c r="H47" s="109"/>
      <c r="I47" s="109"/>
      <c r="J47" s="109"/>
      <c r="L47" s="62">
        <v>4</v>
      </c>
      <c r="M47" s="154">
        <v>3.85</v>
      </c>
      <c r="N47" s="62" t="s">
        <v>410</v>
      </c>
    </row>
    <row r="48" spans="1:33" x14ac:dyDescent="0.2">
      <c r="A48" s="155"/>
      <c r="B48" s="109"/>
      <c r="C48" s="109"/>
      <c r="D48" s="109"/>
      <c r="E48" s="109"/>
      <c r="F48" s="123"/>
      <c r="G48" s="148"/>
      <c r="H48" s="109"/>
      <c r="I48" s="109"/>
      <c r="J48" s="109"/>
      <c r="L48" s="33" t="s">
        <v>301</v>
      </c>
      <c r="M48" s="33">
        <f>AVERAGE(M44:M47)</f>
        <v>2.8</v>
      </c>
      <c r="N48" s="33" t="s">
        <v>410</v>
      </c>
    </row>
    <row r="49" spans="1:16" x14ac:dyDescent="0.2">
      <c r="A49" s="155"/>
      <c r="B49" s="109"/>
      <c r="C49" s="109"/>
      <c r="D49" s="109"/>
      <c r="E49" s="109"/>
      <c r="F49" s="123"/>
      <c r="G49" s="55"/>
      <c r="H49" s="109"/>
      <c r="I49" s="109"/>
      <c r="J49" s="109"/>
    </row>
    <row r="50" spans="1:16" ht="15" x14ac:dyDescent="0.25">
      <c r="A50" s="105" t="s">
        <v>264</v>
      </c>
    </row>
    <row r="51" spans="1:16" x14ac:dyDescent="0.2">
      <c r="E51" s="116" t="s">
        <v>265</v>
      </c>
      <c r="F51" s="21">
        <v>40.799999999999997</v>
      </c>
      <c r="G51" s="39" t="s">
        <v>614</v>
      </c>
      <c r="I51" s="39" t="s">
        <v>455</v>
      </c>
      <c r="L51" s="107"/>
      <c r="N51" s="63"/>
      <c r="O51" s="63"/>
      <c r="P51" s="107"/>
    </row>
    <row r="52" spans="1:16" x14ac:dyDescent="0.2">
      <c r="E52" s="87" t="s">
        <v>415</v>
      </c>
      <c r="F52" s="21">
        <f>F51*Conversions!D9/F43</f>
        <v>7.2857142857142851E-3</v>
      </c>
      <c r="G52" s="39" t="s">
        <v>615</v>
      </c>
      <c r="L52" s="144"/>
      <c r="M52" s="144"/>
      <c r="N52" s="144"/>
      <c r="O52" s="144"/>
      <c r="P52" s="144"/>
    </row>
    <row r="53" spans="1:16" x14ac:dyDescent="0.2">
      <c r="E53" s="87" t="s">
        <v>416</v>
      </c>
      <c r="F53" s="281">
        <f>F51/Conversions!D4</f>
        <v>18.506573916072686</v>
      </c>
      <c r="G53" s="39" t="s">
        <v>617</v>
      </c>
      <c r="I53" s="39" t="s">
        <v>612</v>
      </c>
      <c r="L53" s="145"/>
      <c r="M53" s="145"/>
      <c r="N53" s="145"/>
      <c r="O53" s="146"/>
      <c r="P53" s="146"/>
    </row>
    <row r="54" spans="1:16" x14ac:dyDescent="0.2">
      <c r="E54" s="87" t="s">
        <v>625</v>
      </c>
      <c r="F54">
        <f>F53*30/Yield_SRWC!B5</f>
        <v>42.707478267860047</v>
      </c>
      <c r="G54" s="39" t="s">
        <v>623</v>
      </c>
      <c r="L54" s="145"/>
      <c r="M54" s="145"/>
      <c r="N54" s="145"/>
      <c r="O54" s="146"/>
      <c r="P54" s="146"/>
    </row>
    <row r="55" spans="1:16" x14ac:dyDescent="0.2">
      <c r="F55">
        <v>30</v>
      </c>
      <c r="G55" s="39" t="s">
        <v>624</v>
      </c>
    </row>
    <row r="56" spans="1:16" x14ac:dyDescent="0.2">
      <c r="E56" s="87" t="s">
        <v>626</v>
      </c>
      <c r="F56" s="279">
        <f>F54/F55</f>
        <v>1.4235826089286683</v>
      </c>
      <c r="G56" t="s">
        <v>622</v>
      </c>
    </row>
    <row r="58" spans="1:16" x14ac:dyDescent="0.2">
      <c r="E58" s="87" t="s">
        <v>616</v>
      </c>
      <c r="F58" s="279">
        <v>0.15</v>
      </c>
      <c r="G58" s="39" t="s">
        <v>608</v>
      </c>
    </row>
  </sheetData>
  <customSheetViews>
    <customSheetView guid="{A8892CA7-9094-4C03-B23A-DC3610B7C783}">
      <selection activeCell="H7" sqref="H7"/>
      <pageMargins left="0.75" right="0.75" top="1" bottom="1" header="0.5" footer="0.5"/>
      <pageSetup orientation="portrait" r:id="rId1"/>
      <headerFooter alignWithMargins="0"/>
    </customSheetView>
  </customSheetViews>
  <phoneticPr fontId="45" type="noConversion"/>
  <pageMargins left="0.75" right="0.75" top="1" bottom="1" header="0.5" footer="0.5"/>
  <pageSetup scale="75" pageOrder="overThenDown"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zoomScaleNormal="100" zoomScaleSheetLayoutView="100" workbookViewId="0">
      <selection activeCell="F31" sqref="F31"/>
    </sheetView>
  </sheetViews>
  <sheetFormatPr defaultRowHeight="12.75" x14ac:dyDescent="0.2"/>
  <cols>
    <col min="1" max="1" width="28.85546875" style="91" customWidth="1"/>
    <col min="2" max="2" width="19.42578125" style="91" customWidth="1"/>
    <col min="3" max="3" width="18.85546875" style="91" customWidth="1"/>
    <col min="4" max="4" width="12.140625" style="91" customWidth="1"/>
    <col min="5" max="5" width="27" style="91" customWidth="1"/>
    <col min="6" max="6" width="14.140625" style="91" customWidth="1"/>
    <col min="7" max="7" width="14.42578125" style="91" customWidth="1"/>
    <col min="8" max="8" width="9.140625" style="91"/>
    <col min="9" max="9" width="15.5703125" style="91" customWidth="1"/>
    <col min="10" max="10" width="14.5703125" style="91" customWidth="1"/>
    <col min="11" max="16384" width="9.140625" style="91"/>
  </cols>
  <sheetData>
    <row r="1" spans="1:29" ht="20.25" x14ac:dyDescent="0.2">
      <c r="A1" s="198" t="s">
        <v>463</v>
      </c>
      <c r="B1" s="197"/>
      <c r="C1" s="197"/>
      <c r="D1" s="197"/>
      <c r="E1" s="197"/>
      <c r="F1" s="197"/>
      <c r="G1" s="197"/>
      <c r="H1" s="199" t="s">
        <v>464</v>
      </c>
      <c r="I1" s="100"/>
      <c r="J1" s="88"/>
      <c r="K1" s="88"/>
      <c r="L1" s="88"/>
      <c r="M1" s="88"/>
      <c r="N1" s="88"/>
      <c r="O1" s="88"/>
      <c r="P1" s="88"/>
      <c r="Q1" s="88"/>
      <c r="R1" s="88"/>
      <c r="S1" s="88"/>
      <c r="T1" s="88"/>
      <c r="U1" s="88"/>
      <c r="V1" s="88"/>
      <c r="W1" s="88"/>
      <c r="X1" s="88"/>
      <c r="Y1" s="88"/>
      <c r="Z1" s="88"/>
      <c r="AA1" s="88"/>
      <c r="AB1" s="88"/>
      <c r="AC1" s="88"/>
    </row>
    <row r="2" spans="1:29" s="201" customFormat="1" ht="20.25" x14ac:dyDescent="0.3">
      <c r="A2" s="200" t="s">
        <v>172</v>
      </c>
      <c r="B2" s="200"/>
      <c r="C2" s="200"/>
      <c r="D2" s="200"/>
      <c r="E2" s="200"/>
      <c r="F2" s="200"/>
      <c r="G2" s="200"/>
      <c r="H2" s="200"/>
      <c r="I2" s="200" t="s">
        <v>38</v>
      </c>
    </row>
    <row r="3" spans="1:29" ht="12" customHeight="1" x14ac:dyDescent="0.2">
      <c r="A3" s="202" t="s">
        <v>251</v>
      </c>
      <c r="B3" s="202" t="s">
        <v>64</v>
      </c>
      <c r="C3" s="202" t="s">
        <v>71</v>
      </c>
      <c r="D3" s="202" t="s">
        <v>465</v>
      </c>
      <c r="E3" s="203"/>
      <c r="F3" s="202" t="s">
        <v>175</v>
      </c>
      <c r="G3" s="204"/>
      <c r="H3" s="204"/>
      <c r="I3" s="205"/>
    </row>
    <row r="4" spans="1:29" ht="12" customHeight="1" x14ac:dyDescent="0.2">
      <c r="A4" s="206" t="s">
        <v>466</v>
      </c>
      <c r="B4" s="207">
        <f>C46</f>
        <v>6350.2931800000006</v>
      </c>
      <c r="C4" s="196" t="s">
        <v>267</v>
      </c>
      <c r="D4" s="205" t="s">
        <v>467</v>
      </c>
      <c r="H4" s="205"/>
      <c r="I4" s="205"/>
    </row>
    <row r="5" spans="1:29" ht="13.5" customHeight="1" x14ac:dyDescent="0.2">
      <c r="A5" s="94" t="s">
        <v>468</v>
      </c>
      <c r="B5" s="91">
        <v>13</v>
      </c>
      <c r="C5" s="130" t="s">
        <v>469</v>
      </c>
      <c r="F5" s="130" t="s">
        <v>470</v>
      </c>
      <c r="H5" s="205"/>
    </row>
    <row r="6" spans="1:29" ht="13.5" customHeight="1" x14ac:dyDescent="0.2">
      <c r="A6" s="206" t="s">
        <v>471</v>
      </c>
      <c r="B6" s="208">
        <f>B4*13</f>
        <v>82553.811340000015</v>
      </c>
      <c r="C6" s="196" t="s">
        <v>472</v>
      </c>
      <c r="D6" s="205"/>
      <c r="F6" s="205" t="s">
        <v>470</v>
      </c>
      <c r="G6" s="205"/>
      <c r="H6" s="205"/>
      <c r="I6" s="205"/>
    </row>
    <row r="7" spans="1:29" x14ac:dyDescent="0.2">
      <c r="A7" s="209"/>
      <c r="B7" s="124"/>
      <c r="C7" s="205"/>
      <c r="D7" s="205"/>
      <c r="E7" s="210"/>
      <c r="H7" s="205"/>
    </row>
    <row r="8" spans="1:29" x14ac:dyDescent="0.2">
      <c r="A8" s="210"/>
      <c r="B8" s="196"/>
      <c r="C8" s="196"/>
      <c r="D8" s="205"/>
      <c r="H8" s="205"/>
      <c r="I8" s="205"/>
    </row>
    <row r="9" spans="1:29" x14ac:dyDescent="0.2">
      <c r="A9" s="210"/>
      <c r="B9" s="196"/>
      <c r="C9" s="121"/>
      <c r="D9" s="205"/>
      <c r="H9" s="205"/>
      <c r="I9" s="205"/>
    </row>
    <row r="10" spans="1:29" x14ac:dyDescent="0.2">
      <c r="A10" s="209"/>
      <c r="B10" s="205"/>
      <c r="C10" s="205"/>
      <c r="D10" s="205"/>
      <c r="E10" s="205"/>
      <c r="F10" s="100"/>
      <c r="G10" s="100"/>
      <c r="H10" s="205"/>
      <c r="I10" s="205"/>
    </row>
    <row r="11" spans="1:29" ht="15" x14ac:dyDescent="0.2">
      <c r="A11" s="211" t="s">
        <v>473</v>
      </c>
    </row>
    <row r="12" spans="1:29" x14ac:dyDescent="0.2">
      <c r="B12" s="130" t="s">
        <v>474</v>
      </c>
      <c r="C12" s="130" t="s">
        <v>475</v>
      </c>
      <c r="H12" s="130"/>
    </row>
    <row r="13" spans="1:29" x14ac:dyDescent="0.2">
      <c r="A13" s="130" t="s">
        <v>477</v>
      </c>
      <c r="B13" s="91">
        <v>6.48</v>
      </c>
      <c r="H13" s="130"/>
      <c r="I13" t="s">
        <v>562</v>
      </c>
    </row>
    <row r="14" spans="1:29" x14ac:dyDescent="0.2">
      <c r="A14" s="130" t="s">
        <v>478</v>
      </c>
      <c r="B14" s="91">
        <v>5.77</v>
      </c>
      <c r="I14" s="39" t="s">
        <v>562</v>
      </c>
    </row>
    <row r="15" spans="1:29" x14ac:dyDescent="0.2">
      <c r="A15" s="130" t="s">
        <v>477</v>
      </c>
      <c r="B15" s="91">
        <f>150/13</f>
        <v>11.538461538461538</v>
      </c>
      <c r="D15" s="130" t="s">
        <v>479</v>
      </c>
      <c r="H15" s="130"/>
      <c r="I15" s="39" t="s">
        <v>563</v>
      </c>
    </row>
    <row r="16" spans="1:29" x14ac:dyDescent="0.2">
      <c r="A16" s="130" t="s">
        <v>481</v>
      </c>
      <c r="C16" s="91">
        <f>69.5/13</f>
        <v>5.3461538461538458</v>
      </c>
      <c r="D16" s="130" t="s">
        <v>482</v>
      </c>
      <c r="H16" s="130"/>
      <c r="I16" s="39" t="s">
        <v>566</v>
      </c>
    </row>
    <row r="17" spans="1:9" x14ac:dyDescent="0.2">
      <c r="A17" s="130" t="s">
        <v>484</v>
      </c>
      <c r="C17" s="91">
        <f>64/13</f>
        <v>4.9230769230769234</v>
      </c>
      <c r="D17" s="130" t="s">
        <v>482</v>
      </c>
      <c r="H17" s="130"/>
      <c r="I17" s="39" t="s">
        <v>566</v>
      </c>
    </row>
    <row r="18" spans="1:9" x14ac:dyDescent="0.2">
      <c r="A18" s="130" t="s">
        <v>477</v>
      </c>
      <c r="C18" s="130" t="s">
        <v>485</v>
      </c>
      <c r="D18" s="130" t="s">
        <v>486</v>
      </c>
      <c r="H18" s="130"/>
      <c r="I18" s="39" t="s">
        <v>568</v>
      </c>
    </row>
    <row r="19" spans="1:9" x14ac:dyDescent="0.2">
      <c r="A19" s="130" t="s">
        <v>477</v>
      </c>
      <c r="C19" s="130" t="s">
        <v>488</v>
      </c>
      <c r="D19" s="130" t="s">
        <v>489</v>
      </c>
      <c r="H19" s="130"/>
      <c r="I19" s="39" t="s">
        <v>568</v>
      </c>
    </row>
    <row r="20" spans="1:9" x14ac:dyDescent="0.2">
      <c r="A20" s="130" t="s">
        <v>477</v>
      </c>
      <c r="C20" s="130" t="s">
        <v>490</v>
      </c>
      <c r="D20" s="130" t="s">
        <v>491</v>
      </c>
      <c r="H20" s="130"/>
      <c r="I20" s="39" t="s">
        <v>568</v>
      </c>
    </row>
    <row r="21" spans="1:9" x14ac:dyDescent="0.2">
      <c r="A21" s="130" t="s">
        <v>477</v>
      </c>
      <c r="C21" s="130" t="s">
        <v>492</v>
      </c>
      <c r="D21" s="130" t="s">
        <v>493</v>
      </c>
      <c r="H21" s="130"/>
      <c r="I21" s="39" t="s">
        <v>568</v>
      </c>
    </row>
    <row r="22" spans="1:9" x14ac:dyDescent="0.2">
      <c r="A22" s="130" t="s">
        <v>477</v>
      </c>
      <c r="C22" s="130" t="s">
        <v>494</v>
      </c>
      <c r="D22" s="130" t="s">
        <v>495</v>
      </c>
      <c r="H22" s="130"/>
      <c r="I22" s="39" t="s">
        <v>568</v>
      </c>
    </row>
    <row r="23" spans="1:9" x14ac:dyDescent="0.2">
      <c r="A23" s="130" t="s">
        <v>496</v>
      </c>
      <c r="C23" s="91">
        <v>8</v>
      </c>
      <c r="D23" s="130" t="s">
        <v>497</v>
      </c>
      <c r="H23" s="130"/>
      <c r="I23" s="39" t="s">
        <v>569</v>
      </c>
    </row>
    <row r="24" spans="1:9" x14ac:dyDescent="0.2">
      <c r="A24" s="130" t="s">
        <v>499</v>
      </c>
      <c r="C24" s="91">
        <v>9</v>
      </c>
      <c r="D24" s="130" t="s">
        <v>497</v>
      </c>
      <c r="H24" s="130"/>
      <c r="I24" s="39" t="s">
        <v>569</v>
      </c>
    </row>
    <row r="25" spans="1:9" x14ac:dyDescent="0.2">
      <c r="A25" s="130" t="s">
        <v>500</v>
      </c>
      <c r="C25" s="91">
        <v>10</v>
      </c>
      <c r="D25" s="130" t="s">
        <v>497</v>
      </c>
      <c r="H25" s="130"/>
      <c r="I25" s="39" t="s">
        <v>569</v>
      </c>
    </row>
    <row r="26" spans="1:9" x14ac:dyDescent="0.2">
      <c r="I26"/>
    </row>
    <row r="27" spans="1:9" x14ac:dyDescent="0.2">
      <c r="A27" s="130" t="s">
        <v>501</v>
      </c>
      <c r="C27" s="130" t="s">
        <v>232</v>
      </c>
      <c r="I27"/>
    </row>
    <row r="28" spans="1:9" x14ac:dyDescent="0.2">
      <c r="A28" s="91" t="str">
        <f t="shared" ref="A28:A34" si="0">A16</f>
        <v>Pinus taeda (loblolly pine)</v>
      </c>
      <c r="C28" s="212">
        <v>4849.9491869230769</v>
      </c>
      <c r="I28" t="s">
        <v>567</v>
      </c>
    </row>
    <row r="29" spans="1:9" x14ac:dyDescent="0.2">
      <c r="A29" s="91" t="str">
        <f t="shared" si="0"/>
        <v>Pinus elliottii</v>
      </c>
      <c r="C29" s="212">
        <v>4466.1402584615389</v>
      </c>
      <c r="I29" t="s">
        <v>567</v>
      </c>
    </row>
    <row r="30" spans="1:9" x14ac:dyDescent="0.2">
      <c r="A30" s="91" t="str">
        <f t="shared" si="0"/>
        <v>Loblolly Pine</v>
      </c>
      <c r="C30" s="213">
        <v>2993.7096419999998</v>
      </c>
      <c r="D30" s="130" t="s">
        <v>486</v>
      </c>
      <c r="I30" t="s">
        <v>565</v>
      </c>
    </row>
    <row r="31" spans="1:9" x14ac:dyDescent="0.2">
      <c r="A31" s="91" t="str">
        <f t="shared" si="0"/>
        <v>Loblolly Pine</v>
      </c>
      <c r="C31" s="213">
        <v>3447.3020120000001</v>
      </c>
      <c r="D31" s="130" t="s">
        <v>486</v>
      </c>
      <c r="I31" t="s">
        <v>565</v>
      </c>
    </row>
    <row r="32" spans="1:9" x14ac:dyDescent="0.2">
      <c r="A32" s="91" t="str">
        <f t="shared" si="0"/>
        <v>Loblolly Pine</v>
      </c>
      <c r="C32" s="213">
        <v>3265.8650640000001</v>
      </c>
      <c r="D32" s="130" t="s">
        <v>489</v>
      </c>
      <c r="I32" t="s">
        <v>565</v>
      </c>
    </row>
    <row r="33" spans="1:9" x14ac:dyDescent="0.2">
      <c r="A33" s="91" t="str">
        <f t="shared" si="0"/>
        <v>Loblolly Pine</v>
      </c>
      <c r="C33" s="213">
        <v>4717.3606480000008</v>
      </c>
      <c r="D33" s="130" t="s">
        <v>489</v>
      </c>
      <c r="I33" t="s">
        <v>565</v>
      </c>
    </row>
    <row r="34" spans="1:9" x14ac:dyDescent="0.2">
      <c r="A34" s="91" t="str">
        <f t="shared" si="0"/>
        <v>Loblolly Pine</v>
      </c>
      <c r="C34" s="213">
        <v>4626.6421739999996</v>
      </c>
      <c r="D34" s="130" t="s">
        <v>491</v>
      </c>
      <c r="I34" t="s">
        <v>565</v>
      </c>
    </row>
    <row r="35" spans="1:9" x14ac:dyDescent="0.2">
      <c r="A35" s="91" t="str">
        <f>A22</f>
        <v>Loblolly Pine</v>
      </c>
      <c r="C35" s="213">
        <v>6622.4486020000004</v>
      </c>
      <c r="D35" s="130" t="s">
        <v>491</v>
      </c>
      <c r="I35" t="s">
        <v>565</v>
      </c>
    </row>
    <row r="36" spans="1:9" x14ac:dyDescent="0.2">
      <c r="A36" s="91" t="str">
        <f>A22</f>
        <v>Loblolly Pine</v>
      </c>
      <c r="C36" s="213">
        <v>4898.7975960000003</v>
      </c>
      <c r="D36" s="130" t="s">
        <v>493</v>
      </c>
      <c r="I36" t="s">
        <v>565</v>
      </c>
    </row>
    <row r="37" spans="1:9" x14ac:dyDescent="0.2">
      <c r="A37" s="91" t="str">
        <f>A22</f>
        <v>Loblolly Pine</v>
      </c>
      <c r="C37" s="213">
        <v>7620.3518160000003</v>
      </c>
      <c r="D37" s="130" t="s">
        <v>493</v>
      </c>
      <c r="I37" t="s">
        <v>565</v>
      </c>
    </row>
    <row r="38" spans="1:9" x14ac:dyDescent="0.2">
      <c r="A38" s="91" t="str">
        <f>A22</f>
        <v>Loblolly Pine</v>
      </c>
      <c r="C38" s="213">
        <v>5443.10844</v>
      </c>
      <c r="D38" s="130" t="s">
        <v>495</v>
      </c>
      <c r="I38" t="s">
        <v>565</v>
      </c>
    </row>
    <row r="39" spans="1:9" x14ac:dyDescent="0.2">
      <c r="A39" s="91" t="str">
        <f>A22</f>
        <v>Loblolly Pine</v>
      </c>
      <c r="C39" s="213">
        <v>7257.4779200000003</v>
      </c>
      <c r="D39" s="130" t="s">
        <v>495</v>
      </c>
      <c r="I39" t="s">
        <v>565</v>
      </c>
    </row>
    <row r="40" spans="1:9" x14ac:dyDescent="0.2">
      <c r="A40" s="91" t="str">
        <f>A23</f>
        <v>Loblolly Pine, low</v>
      </c>
      <c r="C40" s="213">
        <v>3237.485144040631</v>
      </c>
      <c r="I40" t="s">
        <v>564</v>
      </c>
    </row>
    <row r="41" spans="1:9" x14ac:dyDescent="0.2">
      <c r="A41" s="91" t="str">
        <f>A24</f>
        <v>Loblolly Pine, average</v>
      </c>
      <c r="C41" s="213">
        <v>3642.1707870457099</v>
      </c>
      <c r="I41" t="s">
        <v>564</v>
      </c>
    </row>
    <row r="42" spans="1:9" x14ac:dyDescent="0.2">
      <c r="A42" s="91" t="str">
        <f>A25</f>
        <v>Loblolly Pine, high yield est</v>
      </c>
      <c r="C42" s="213">
        <v>4046.8564300507887</v>
      </c>
      <c r="I42" t="s">
        <v>564</v>
      </c>
    </row>
    <row r="43" spans="1:9" x14ac:dyDescent="0.2">
      <c r="A43" s="130" t="s">
        <v>502</v>
      </c>
      <c r="C43" s="214">
        <f>MIN(C28:C42)</f>
        <v>2993.7096419999998</v>
      </c>
    </row>
    <row r="44" spans="1:9" x14ac:dyDescent="0.2">
      <c r="A44" s="130" t="s">
        <v>503</v>
      </c>
      <c r="C44" s="214">
        <f>MAX(C28:C42)</f>
        <v>7620.3518160000003</v>
      </c>
    </row>
    <row r="45" spans="1:9" x14ac:dyDescent="0.2">
      <c r="A45" s="130" t="s">
        <v>301</v>
      </c>
      <c r="C45" s="212">
        <f>AVERAGE(C28:C42)</f>
        <v>4742.3777147014489</v>
      </c>
    </row>
    <row r="46" spans="1:9" x14ac:dyDescent="0.2">
      <c r="A46" s="130" t="s">
        <v>504</v>
      </c>
      <c r="C46" s="215">
        <f>AVERAGE(C38:C39)</f>
        <v>6350.2931800000006</v>
      </c>
    </row>
    <row r="58" spans="1:9" x14ac:dyDescent="0.2">
      <c r="A58" s="216"/>
      <c r="B58" s="216"/>
      <c r="C58" s="216"/>
      <c r="D58" s="216"/>
      <c r="E58" s="217"/>
      <c r="F58" s="218"/>
      <c r="G58" s="216"/>
      <c r="H58" s="216"/>
      <c r="I58" s="216"/>
    </row>
    <row r="59" spans="1:9" x14ac:dyDescent="0.2">
      <c r="A59" s="100"/>
      <c r="B59" s="100"/>
      <c r="C59" s="100"/>
      <c r="D59" s="100"/>
      <c r="E59" s="114"/>
      <c r="F59" s="197"/>
      <c r="G59" s="100"/>
      <c r="H59" s="100"/>
      <c r="I59" s="196"/>
    </row>
  </sheetData>
  <phoneticPr fontId="45" type="noConversion"/>
  <hyperlinks>
    <hyperlink ref="I14" r:id="rId1" display="http://www.gabioenergy.org/ppt/McClure--Forest%20Biomass%20as%20a%20Feedstock%20for%20Energy%20Production.pdf"/>
    <hyperlink ref="I19" r:id="rId2" display="http://www1.eere.energy.gov/biomass/pdfs/billion_ton_update.pdf"/>
  </hyperlinks>
  <pageMargins left="0.75" right="0.75" top="1" bottom="1" header="0.5" footer="0.5"/>
  <pageSetup scale="75" pageOrder="overThenDown" orientation="landscape" r:id="rId3"/>
  <headerFooter alignWithMargins="0"/>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zoomScaleSheetLayoutView="100" workbookViewId="0">
      <selection activeCell="D4" sqref="D4"/>
    </sheetView>
  </sheetViews>
  <sheetFormatPr defaultRowHeight="12.75" x14ac:dyDescent="0.2"/>
  <cols>
    <col min="1" max="1" width="9.140625" style="91"/>
    <col min="2" max="2" width="9.140625" style="93"/>
    <col min="3" max="3" width="33.28515625" style="91" customWidth="1"/>
    <col min="4" max="4" width="12.42578125" style="93" customWidth="1"/>
    <col min="5" max="9" width="9.140625" style="91"/>
    <col min="10" max="10" width="21.85546875" style="91" customWidth="1"/>
    <col min="11" max="11" width="12.42578125" style="91" bestFit="1" customWidth="1"/>
    <col min="12" max="16384" width="9.140625" style="91"/>
  </cols>
  <sheetData>
    <row r="1" spans="1:38" ht="20.25" x14ac:dyDescent="0.3">
      <c r="A1" s="88"/>
      <c r="B1" s="89"/>
      <c r="C1" s="88"/>
      <c r="D1" s="89"/>
      <c r="E1" s="88"/>
      <c r="F1" s="88"/>
      <c r="G1" s="88"/>
      <c r="H1" s="90" t="s">
        <v>173</v>
      </c>
      <c r="N1" s="88"/>
      <c r="O1" s="88"/>
      <c r="P1" s="88"/>
      <c r="Q1" s="88"/>
      <c r="R1" s="88"/>
      <c r="S1" s="88"/>
      <c r="T1" s="88"/>
      <c r="U1" s="88"/>
      <c r="V1" s="88"/>
      <c r="W1" s="88"/>
      <c r="X1" s="88"/>
      <c r="Y1" s="88"/>
      <c r="Z1" s="88"/>
      <c r="AA1" s="88"/>
      <c r="AB1" s="88"/>
      <c r="AC1" s="88"/>
      <c r="AD1" s="88"/>
      <c r="AE1" s="88"/>
      <c r="AF1" s="88"/>
      <c r="AG1" s="88"/>
      <c r="AH1" s="88"/>
      <c r="AI1" s="88"/>
      <c r="AJ1" s="88"/>
      <c r="AK1" s="88"/>
      <c r="AL1" s="88"/>
    </row>
    <row r="3" spans="1:38" x14ac:dyDescent="0.2">
      <c r="B3" s="372" t="s">
        <v>203</v>
      </c>
      <c r="C3" s="372"/>
      <c r="D3" s="372"/>
      <c r="E3" s="372"/>
      <c r="F3" s="92" t="s">
        <v>256</v>
      </c>
    </row>
    <row r="4" spans="1:38" x14ac:dyDescent="0.2">
      <c r="B4" s="93">
        <v>1</v>
      </c>
      <c r="C4" s="94" t="s">
        <v>121</v>
      </c>
      <c r="D4" s="113">
        <v>2.2046220000000001</v>
      </c>
      <c r="E4" s="94" t="s">
        <v>157</v>
      </c>
      <c r="F4" s="95"/>
      <c r="H4" s="96"/>
    </row>
    <row r="5" spans="1:38" x14ac:dyDescent="0.2">
      <c r="B5" s="93">
        <v>1</v>
      </c>
      <c r="C5" s="94" t="s">
        <v>121</v>
      </c>
      <c r="D5" s="113">
        <v>1000</v>
      </c>
      <c r="E5" s="94" t="s">
        <v>260</v>
      </c>
      <c r="F5" s="95"/>
      <c r="H5" s="96"/>
    </row>
    <row r="6" spans="1:38" x14ac:dyDescent="0.2">
      <c r="B6" s="93">
        <v>1</v>
      </c>
      <c r="C6" s="94" t="s">
        <v>252</v>
      </c>
      <c r="D6" s="113">
        <v>1E-3</v>
      </c>
      <c r="E6" s="94" t="s">
        <v>121</v>
      </c>
      <c r="F6" s="94"/>
    </row>
    <row r="7" spans="1:38" x14ac:dyDescent="0.2">
      <c r="B7" s="97">
        <v>1</v>
      </c>
      <c r="C7" s="95" t="s">
        <v>255</v>
      </c>
      <c r="D7" s="113">
        <v>12</v>
      </c>
      <c r="E7" s="95" t="s">
        <v>253</v>
      </c>
      <c r="F7" s="94"/>
    </row>
    <row r="8" spans="1:38" x14ac:dyDescent="0.2">
      <c r="B8" s="97">
        <v>1</v>
      </c>
      <c r="C8" s="94" t="s">
        <v>261</v>
      </c>
      <c r="D8" s="113">
        <v>3.78541178</v>
      </c>
      <c r="E8" s="95" t="s">
        <v>439</v>
      </c>
      <c r="F8" s="94"/>
    </row>
    <row r="9" spans="1:38" x14ac:dyDescent="0.2">
      <c r="B9" s="93">
        <v>1</v>
      </c>
      <c r="C9" s="94" t="s">
        <v>259</v>
      </c>
      <c r="D9" s="113">
        <v>0.45359237000000002</v>
      </c>
      <c r="E9" s="94" t="s">
        <v>121</v>
      </c>
      <c r="F9" s="95"/>
    </row>
    <row r="10" spans="1:38" x14ac:dyDescent="0.2">
      <c r="B10">
        <v>1</v>
      </c>
      <c r="C10" s="39" t="s">
        <v>298</v>
      </c>
      <c r="D10">
        <v>5280</v>
      </c>
      <c r="E10" s="39" t="s">
        <v>255</v>
      </c>
      <c r="F10" s="95"/>
      <c r="I10" s="130"/>
      <c r="J10" s="130"/>
      <c r="K10" s="130"/>
      <c r="L10" s="130"/>
      <c r="M10" s="130"/>
    </row>
    <row r="11" spans="1:38" x14ac:dyDescent="0.2">
      <c r="B11">
        <v>1</v>
      </c>
      <c r="C11" s="39" t="s">
        <v>299</v>
      </c>
      <c r="D11">
        <v>43560</v>
      </c>
      <c r="E11" s="39" t="s">
        <v>300</v>
      </c>
      <c r="F11" s="95"/>
    </row>
    <row r="12" spans="1:38" x14ac:dyDescent="0.2">
      <c r="B12">
        <v>1</v>
      </c>
      <c r="C12" s="119" t="s">
        <v>303</v>
      </c>
      <c r="D12">
        <v>2.4710538099999999</v>
      </c>
      <c r="E12" s="119" t="s">
        <v>304</v>
      </c>
    </row>
    <row r="13" spans="1:38" x14ac:dyDescent="0.2">
      <c r="B13">
        <v>1</v>
      </c>
      <c r="C13" s="119" t="s">
        <v>305</v>
      </c>
      <c r="D13">
        <v>25.4</v>
      </c>
      <c r="E13" s="119" t="s">
        <v>306</v>
      </c>
      <c r="F13"/>
    </row>
    <row r="14" spans="1:38" x14ac:dyDescent="0.2">
      <c r="B14">
        <v>1</v>
      </c>
      <c r="C14" s="119" t="s">
        <v>307</v>
      </c>
      <c r="D14">
        <v>1000</v>
      </c>
      <c r="E14" s="119" t="s">
        <v>121</v>
      </c>
      <c r="F14"/>
    </row>
    <row r="15" spans="1:38" x14ac:dyDescent="0.2">
      <c r="B15">
        <v>1</v>
      </c>
      <c r="C15" s="119" t="s">
        <v>308</v>
      </c>
      <c r="D15">
        <v>1000</v>
      </c>
      <c r="E15" s="119" t="s">
        <v>121</v>
      </c>
      <c r="F15"/>
    </row>
    <row r="16" spans="1:38" x14ac:dyDescent="0.2">
      <c r="B16">
        <v>1</v>
      </c>
      <c r="C16" s="119" t="s">
        <v>306</v>
      </c>
      <c r="D16">
        <f>0.001</f>
        <v>1E-3</v>
      </c>
      <c r="E16" s="119" t="s">
        <v>310</v>
      </c>
      <c r="F16"/>
    </row>
    <row r="17" spans="2:6" x14ac:dyDescent="0.2">
      <c r="B17">
        <v>1</v>
      </c>
      <c r="C17" s="119" t="s">
        <v>299</v>
      </c>
      <c r="D17">
        <v>4046.8564200000001</v>
      </c>
      <c r="E17" s="119" t="s">
        <v>309</v>
      </c>
      <c r="F17"/>
    </row>
    <row r="18" spans="2:6" x14ac:dyDescent="0.2">
      <c r="B18" s="39">
        <v>1</v>
      </c>
      <c r="C18" s="119" t="s">
        <v>311</v>
      </c>
      <c r="D18">
        <v>1000</v>
      </c>
      <c r="E18" s="119" t="s">
        <v>269</v>
      </c>
      <c r="F18"/>
    </row>
    <row r="19" spans="2:6" x14ac:dyDescent="0.2">
      <c r="B19" s="39">
        <v>1</v>
      </c>
      <c r="C19" s="119" t="s">
        <v>312</v>
      </c>
      <c r="D19">
        <v>1E-3</v>
      </c>
      <c r="E19" s="119" t="s">
        <v>121</v>
      </c>
      <c r="F19"/>
    </row>
    <row r="20" spans="2:6" x14ac:dyDescent="0.2">
      <c r="B20" s="39">
        <v>1</v>
      </c>
      <c r="C20" s="119" t="s">
        <v>313</v>
      </c>
      <c r="D20">
        <v>9.9999999999999995E-7</v>
      </c>
      <c r="E20" s="119" t="s">
        <v>121</v>
      </c>
      <c r="F20"/>
    </row>
    <row r="21" spans="2:6" x14ac:dyDescent="0.2">
      <c r="B21" s="39">
        <v>1</v>
      </c>
      <c r="C21" s="119" t="s">
        <v>314</v>
      </c>
      <c r="D21">
        <v>907.18474000000003</v>
      </c>
      <c r="E21" s="119" t="s">
        <v>121</v>
      </c>
      <c r="F21"/>
    </row>
    <row r="22" spans="2:6" x14ac:dyDescent="0.2">
      <c r="B22" s="39">
        <v>1</v>
      </c>
      <c r="C22" s="119" t="s">
        <v>315</v>
      </c>
      <c r="D22">
        <v>1</v>
      </c>
      <c r="E22" s="119" t="s">
        <v>316</v>
      </c>
      <c r="F22"/>
    </row>
    <row r="23" spans="2:6" x14ac:dyDescent="0.2">
      <c r="B23">
        <v>1</v>
      </c>
      <c r="C23" t="s">
        <v>317</v>
      </c>
      <c r="D23">
        <f>D28/D8</f>
        <v>0.84314188391622547</v>
      </c>
      <c r="E23" t="s">
        <v>318</v>
      </c>
    </row>
    <row r="24" spans="2:6" x14ac:dyDescent="0.2">
      <c r="B24">
        <v>1</v>
      </c>
      <c r="C24" s="39" t="s">
        <v>298</v>
      </c>
      <c r="D24">
        <v>5280</v>
      </c>
      <c r="E24" s="39" t="s">
        <v>255</v>
      </c>
    </row>
    <row r="25" spans="2:6" x14ac:dyDescent="0.2">
      <c r="B25">
        <v>1</v>
      </c>
      <c r="C25" s="39" t="s">
        <v>299</v>
      </c>
      <c r="D25">
        <v>43560</v>
      </c>
      <c r="E25" s="39" t="s">
        <v>300</v>
      </c>
    </row>
    <row r="26" spans="2:6" x14ac:dyDescent="0.2">
      <c r="B26"/>
      <c r="C26"/>
      <c r="D26"/>
      <c r="E26"/>
    </row>
    <row r="27" spans="2:6" x14ac:dyDescent="0.2">
      <c r="B27" s="91" t="s">
        <v>325</v>
      </c>
    </row>
    <row r="28" spans="2:6" x14ac:dyDescent="0.2">
      <c r="B28" s="130"/>
      <c r="C28" s="130" t="s">
        <v>257</v>
      </c>
      <c r="D28" s="130">
        <f>D33*D8</f>
        <v>3.1916392195878722</v>
      </c>
      <c r="E28" s="130" t="s">
        <v>258</v>
      </c>
      <c r="F28" s="94"/>
    </row>
    <row r="29" spans="2:6" x14ac:dyDescent="0.2">
      <c r="B29" s="130"/>
      <c r="C29" s="130" t="s">
        <v>257</v>
      </c>
      <c r="D29" s="130">
        <f>D28*D4</f>
        <v>7.0363580395662542</v>
      </c>
      <c r="E29" s="130" t="s">
        <v>262</v>
      </c>
      <c r="F29" s="130"/>
    </row>
    <row r="30" spans="2:6" x14ac:dyDescent="0.2">
      <c r="B30" s="130">
        <v>1</v>
      </c>
      <c r="C30" s="130" t="s">
        <v>324</v>
      </c>
      <c r="D30" s="130">
        <f>1/D29</f>
        <v>0.14211897609201871</v>
      </c>
      <c r="E30" s="130" t="s">
        <v>263</v>
      </c>
      <c r="F30" s="94"/>
    </row>
    <row r="31" spans="2:6" x14ac:dyDescent="0.2">
      <c r="B31" s="130">
        <v>1</v>
      </c>
      <c r="C31" s="130" t="s">
        <v>320</v>
      </c>
      <c r="D31" s="130">
        <v>1186.04</v>
      </c>
      <c r="E31" s="130" t="s">
        <v>269</v>
      </c>
      <c r="F31" s="130" t="s">
        <v>412</v>
      </c>
    </row>
    <row r="32" spans="2:6" x14ac:dyDescent="0.2">
      <c r="B32" s="130">
        <v>1</v>
      </c>
      <c r="C32" s="130" t="s">
        <v>318</v>
      </c>
      <c r="D32" s="130">
        <f>D31/1000</f>
        <v>1.18604</v>
      </c>
      <c r="E32" s="130" t="s">
        <v>321</v>
      </c>
      <c r="F32" s="130"/>
    </row>
    <row r="33" spans="2:6" x14ac:dyDescent="0.2">
      <c r="B33" s="130">
        <v>1</v>
      </c>
      <c r="C33" s="130" t="s">
        <v>323</v>
      </c>
      <c r="D33" s="130">
        <f>1/D32</f>
        <v>0.84314188391622547</v>
      </c>
      <c r="E33" s="130" t="s">
        <v>322</v>
      </c>
      <c r="F33" s="130"/>
    </row>
  </sheetData>
  <customSheetViews>
    <customSheetView guid="{A8892CA7-9094-4C03-B23A-DC3610B7C783}">
      <pageMargins left="0.7" right="0.7" top="0.75" bottom="0.75" header="0.3" footer="0.3"/>
    </customSheetView>
  </customSheetViews>
  <mergeCells count="1">
    <mergeCell ref="B3:E3"/>
  </mergeCells>
  <phoneticPr fontId="45" type="noConversion"/>
  <pageMargins left="0.7" right="0.7" top="0.75" bottom="0.75" header="0.3" footer="0.3"/>
  <pageSetup scale="75"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
  <sheetViews>
    <sheetView zoomScaleNormal="100" zoomScaleSheetLayoutView="100" workbookViewId="0">
      <selection activeCell="E43" sqref="E43"/>
    </sheetView>
  </sheetViews>
  <sheetFormatPr defaultRowHeight="12.75" x14ac:dyDescent="0.2"/>
  <cols>
    <col min="1" max="1" width="8.7109375" style="91" customWidth="1"/>
    <col min="2" max="2" width="9.140625" style="91"/>
    <col min="3" max="3" width="13.140625" style="91" bestFit="1" customWidth="1"/>
    <col min="4" max="16384" width="9.140625" style="91"/>
  </cols>
  <sheetData>
    <row r="1" spans="1:38" ht="20.25" x14ac:dyDescent="0.3">
      <c r="A1" s="88"/>
      <c r="B1" s="88"/>
      <c r="C1" s="88"/>
      <c r="D1" s="88"/>
      <c r="E1" s="88"/>
      <c r="F1" s="88"/>
      <c r="G1" s="88"/>
      <c r="H1" s="90" t="s">
        <v>175</v>
      </c>
      <c r="N1" s="88"/>
      <c r="O1" s="88"/>
      <c r="P1" s="88"/>
      <c r="Q1" s="88"/>
      <c r="R1" s="88"/>
      <c r="S1" s="88"/>
      <c r="T1" s="88"/>
      <c r="U1" s="88"/>
      <c r="V1" s="88"/>
      <c r="W1" s="88"/>
      <c r="X1" s="88"/>
      <c r="Y1" s="88"/>
      <c r="Z1" s="88"/>
      <c r="AA1" s="88"/>
      <c r="AB1" s="88"/>
      <c r="AC1" s="88"/>
      <c r="AD1" s="88"/>
      <c r="AE1" s="88"/>
      <c r="AF1" s="88"/>
      <c r="AG1" s="88"/>
      <c r="AH1" s="88"/>
      <c r="AI1" s="88"/>
      <c r="AJ1" s="88"/>
      <c r="AK1" s="88"/>
      <c r="AL1" s="88"/>
    </row>
    <row r="3" spans="1:38" ht="15" x14ac:dyDescent="0.25">
      <c r="A3" s="98"/>
      <c r="C3" s="92" t="s">
        <v>204</v>
      </c>
      <c r="D3" s="92" t="s">
        <v>165</v>
      </c>
    </row>
    <row r="4" spans="1:38" x14ac:dyDescent="0.2">
      <c r="C4" s="181">
        <v>1</v>
      </c>
      <c r="D4" s="374" t="s">
        <v>332</v>
      </c>
      <c r="E4" s="374"/>
      <c r="F4" s="374"/>
      <c r="G4" s="374"/>
      <c r="H4" s="374"/>
      <c r="I4" s="374"/>
      <c r="J4" s="374"/>
      <c r="K4" s="374"/>
      <c r="L4" s="374"/>
      <c r="M4" s="374"/>
      <c r="N4" s="374"/>
      <c r="O4" s="374"/>
      <c r="P4" s="374"/>
      <c r="Q4" s="374"/>
      <c r="R4" s="95"/>
    </row>
    <row r="5" spans="1:38" x14ac:dyDescent="0.2">
      <c r="A5" s="99"/>
      <c r="C5" s="249">
        <v>2</v>
      </c>
      <c r="D5" s="375" t="s">
        <v>456</v>
      </c>
      <c r="E5" s="375"/>
      <c r="F5" s="375"/>
      <c r="G5" s="375"/>
      <c r="H5" s="375"/>
      <c r="I5" s="375"/>
      <c r="J5" s="375"/>
      <c r="K5" s="375"/>
      <c r="L5" s="375"/>
      <c r="M5" s="375"/>
      <c r="N5" s="375"/>
      <c r="O5" s="375"/>
      <c r="P5" s="375"/>
      <c r="Q5" s="375"/>
      <c r="R5" s="183"/>
    </row>
    <row r="6" spans="1:38" x14ac:dyDescent="0.2">
      <c r="A6" s="100"/>
      <c r="C6" s="250">
        <v>3</v>
      </c>
      <c r="D6" s="375" t="s">
        <v>302</v>
      </c>
      <c r="E6" s="375"/>
      <c r="F6" s="375"/>
      <c r="G6" s="375"/>
      <c r="H6" s="375"/>
      <c r="I6" s="375"/>
      <c r="J6" s="375"/>
      <c r="K6" s="375"/>
      <c r="L6" s="375"/>
      <c r="M6" s="375"/>
      <c r="N6" s="375"/>
      <c r="O6" s="375"/>
      <c r="P6" s="375"/>
      <c r="Q6" s="375"/>
      <c r="R6" s="183"/>
    </row>
    <row r="7" spans="1:38" ht="13.5" customHeight="1" x14ac:dyDescent="0.2">
      <c r="A7" s="106"/>
      <c r="C7" s="182">
        <v>4</v>
      </c>
      <c r="D7" s="373" t="s">
        <v>457</v>
      </c>
      <c r="E7" s="373"/>
      <c r="F7" s="373"/>
      <c r="G7" s="373"/>
      <c r="H7" s="373"/>
      <c r="I7" s="373"/>
      <c r="J7" s="373"/>
      <c r="K7" s="373"/>
      <c r="L7" s="373"/>
      <c r="M7" s="373"/>
      <c r="N7" s="373"/>
      <c r="O7" s="373"/>
      <c r="P7" s="373"/>
      <c r="Q7" s="373"/>
      <c r="R7" s="183"/>
    </row>
    <row r="8" spans="1:38" x14ac:dyDescent="0.2">
      <c r="C8" s="182">
        <v>5</v>
      </c>
      <c r="D8" s="373" t="s">
        <v>458</v>
      </c>
      <c r="E8" s="373"/>
      <c r="F8" s="373"/>
      <c r="G8" s="373"/>
      <c r="H8" s="373"/>
      <c r="I8" s="373"/>
      <c r="J8" s="373"/>
      <c r="K8" s="373"/>
      <c r="L8" s="373"/>
      <c r="M8" s="373"/>
      <c r="N8" s="373"/>
      <c r="O8" s="373"/>
      <c r="P8" s="373"/>
      <c r="Q8" s="373"/>
      <c r="R8" s="161"/>
    </row>
    <row r="9" spans="1:38" ht="25.5" customHeight="1" x14ac:dyDescent="0.2">
      <c r="C9" s="182">
        <v>6</v>
      </c>
      <c r="D9" s="376" t="s">
        <v>634</v>
      </c>
      <c r="E9" s="376"/>
      <c r="F9" s="376"/>
      <c r="G9" s="376"/>
      <c r="H9" s="376"/>
      <c r="I9" s="376"/>
      <c r="J9" s="376"/>
      <c r="K9" s="376"/>
      <c r="L9" s="376"/>
      <c r="M9" s="376"/>
      <c r="N9" s="376"/>
      <c r="O9" s="376"/>
      <c r="P9" s="376"/>
      <c r="Q9" s="376"/>
      <c r="R9" s="160"/>
    </row>
    <row r="11" spans="1:38" ht="15" x14ac:dyDescent="0.25">
      <c r="C11" s="261" t="s">
        <v>596</v>
      </c>
      <c r="D11" s="262"/>
      <c r="E11" s="262"/>
      <c r="F11" s="262"/>
      <c r="G11" s="262"/>
      <c r="H11" s="262"/>
      <c r="I11" s="262"/>
      <c r="J11" s="262"/>
      <c r="K11" s="262"/>
      <c r="L11" s="262"/>
      <c r="M11" s="262"/>
      <c r="N11" s="262"/>
      <c r="O11" s="262"/>
      <c r="P11" s="262"/>
      <c r="Q11" s="262"/>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6">
    <mergeCell ref="D8:Q8"/>
    <mergeCell ref="D4:Q4"/>
    <mergeCell ref="D5:Q5"/>
    <mergeCell ref="D6:Q6"/>
    <mergeCell ref="D7:Q7"/>
    <mergeCell ref="D9:Q9"/>
  </mergeCells>
  <phoneticPr fontId="45" type="noConversion"/>
  <pageMargins left="0.75" right="0.75" top="1" bottom="1" header="0.5" footer="0.5"/>
  <pageSetup scale="75" orientation="landscape" r:id="rId2"/>
  <headerFooter alignWithMargins="0"/>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F7F7E8E-FBFB-43F5-83C7-0815B02C9A73}">
  <ds:schemaRefs>
    <ds:schemaRef ds:uri="http://schemas.microsoft.com/sharepoint/v3/contenttype/forms"/>
  </ds:schemaRefs>
</ds:datastoreItem>
</file>

<file path=customXml/itemProps2.xml><?xml version="1.0" encoding="utf-8"?>
<ds:datastoreItem xmlns:ds="http://schemas.openxmlformats.org/officeDocument/2006/customXml" ds:itemID="{860E4BA1-DEC7-4ED7-A7E2-EA1B39D99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B95FA6-F522-445F-AC80-26712159373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Data Summary</vt:lpstr>
      <vt:lpstr>Reference Source Info</vt:lpstr>
      <vt:lpstr>DQI</vt:lpstr>
      <vt:lpstr>Calculations_SRWC</vt:lpstr>
      <vt:lpstr>Yield_SRWC</vt:lpstr>
      <vt:lpstr>Conversions</vt:lpstr>
      <vt:lpstr>Assumptions</vt:lpstr>
      <vt:lpstr>Assumptions!Print_Area</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2010-04-27T14:45:39Z</cp:lastPrinted>
  <dcterms:created xsi:type="dcterms:W3CDTF">2006-08-24T17:49:09Z</dcterms:created>
  <dcterms:modified xsi:type="dcterms:W3CDTF">2017-01-03T20:31:01Z</dcterms:modified>
</cp:coreProperties>
</file>