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5230" windowHeight="12690" activeTab="1"/>
  </bookViews>
  <sheets>
    <sheet name="Info" sheetId="1" r:id="rId1"/>
    <sheet name="Data Summary" sheetId="2" r:id="rId2"/>
    <sheet name="PS" sheetId="3" r:id="rId3"/>
    <sheet name="Reference Source Info" sheetId="4" r:id="rId4"/>
    <sheet name="DQI" sheetId="5" r:id="rId5"/>
    <sheet name="RE input" sheetId="15" r:id="rId6"/>
    <sheet name="materials and output" sheetId="9" r:id="rId7"/>
    <sheet name="Energy" sheetId="6" r:id="rId8"/>
    <sheet name="Conversions" sheetId="7" r:id="rId9"/>
    <sheet name="Assumptions" sheetId="8" r:id="rId10"/>
    <sheet name="Chart" sheetId="16" r:id="rId11"/>
  </sheets>
  <definedNames>
    <definedName name="solver_adj" localSheetId="7" hidden="1">Energy!$B$64</definedName>
    <definedName name="solver_cvg" localSheetId="7" hidden="1">0.0001</definedName>
    <definedName name="solver_drv" localSheetId="7" hidden="1">1</definedName>
    <definedName name="solver_eng" localSheetId="7" hidden="1">1</definedName>
    <definedName name="solver_est" localSheetId="7" hidden="1">1</definedName>
    <definedName name="solver_itr" localSheetId="7" hidden="1">2147483647</definedName>
    <definedName name="solver_mip" localSheetId="7" hidden="1">2147483647</definedName>
    <definedName name="solver_mni" localSheetId="7" hidden="1">30</definedName>
    <definedName name="solver_mrt" localSheetId="7" hidden="1">0.075</definedName>
    <definedName name="solver_msl" localSheetId="7" hidden="1">2</definedName>
    <definedName name="solver_neg" localSheetId="7" hidden="1">1</definedName>
    <definedName name="solver_nod" localSheetId="7" hidden="1">2147483647</definedName>
    <definedName name="solver_num" localSheetId="7" hidden="1">0</definedName>
    <definedName name="solver_nwt" localSheetId="7" hidden="1">1</definedName>
    <definedName name="solver_opt" localSheetId="7" hidden="1">Energy!$B$65</definedName>
    <definedName name="solver_pre" localSheetId="7" hidden="1">0.000001</definedName>
    <definedName name="solver_rbv" localSheetId="7" hidden="1">1</definedName>
    <definedName name="solver_rlx" localSheetId="7" hidden="1">2</definedName>
    <definedName name="solver_rsd" localSheetId="7" hidden="1">0</definedName>
    <definedName name="solver_scl" localSheetId="7" hidden="1">1</definedName>
    <definedName name="solver_sho" localSheetId="7" hidden="1">2</definedName>
    <definedName name="solver_ssz" localSheetId="7" hidden="1">100</definedName>
    <definedName name="solver_tim" localSheetId="7" hidden="1">2147483647</definedName>
    <definedName name="solver_tol" localSheetId="7" hidden="1">0.01</definedName>
    <definedName name="solver_typ" localSheetId="7" hidden="1">3</definedName>
    <definedName name="solver_val" localSheetId="7" hidden="1">1</definedName>
    <definedName name="solver_ver" localSheetId="7" hidden="1">3</definedName>
  </definedNames>
  <calcPr calcId="145621"/>
</workbook>
</file>

<file path=xl/calcChain.xml><?xml version="1.0" encoding="utf-8"?>
<calcChain xmlns="http://schemas.openxmlformats.org/spreadsheetml/2006/main">
  <c r="E96" i="2" l="1"/>
  <c r="E95" i="2" l="1"/>
  <c r="E102" i="2"/>
  <c r="E108" i="2" l="1"/>
  <c r="E97" i="2"/>
  <c r="G37" i="9"/>
  <c r="D68" i="9"/>
  <c r="D69" i="9" s="1"/>
  <c r="D78" i="9"/>
  <c r="D50" i="9"/>
  <c r="G38" i="9"/>
  <c r="G39" i="9"/>
  <c r="G40" i="9"/>
  <c r="D34" i="9"/>
  <c r="D32" i="9"/>
  <c r="D29" i="9"/>
  <c r="D15" i="6"/>
  <c r="B11" i="6"/>
  <c r="B13" i="6"/>
  <c r="D16" i="6"/>
  <c r="B12" i="6"/>
  <c r="D70" i="9" l="1"/>
  <c r="B63" i="9"/>
  <c r="I73" i="9"/>
  <c r="B79" i="9"/>
  <c r="F79" i="9" s="1"/>
  <c r="D75" i="9" s="1"/>
  <c r="E55" i="2"/>
  <c r="E56" i="2"/>
  <c r="E57" i="2"/>
  <c r="E58" i="2"/>
  <c r="E59" i="2"/>
  <c r="E60" i="2"/>
  <c r="E61" i="2"/>
  <c r="E62" i="2"/>
  <c r="E63" i="2"/>
  <c r="E64" i="2"/>
  <c r="E65" i="2"/>
  <c r="E66" i="2"/>
  <c r="E67" i="2"/>
  <c r="E68" i="2"/>
  <c r="E54" i="2"/>
  <c r="F80" i="15"/>
  <c r="D80" i="15"/>
  <c r="B41" i="15"/>
  <c r="B80" i="15"/>
  <c r="F59" i="15"/>
  <c r="D74" i="15"/>
  <c r="D59" i="15"/>
  <c r="B59" i="15"/>
  <c r="F41" i="15"/>
  <c r="D41" i="15"/>
  <c r="D19" i="15"/>
  <c r="H15" i="15"/>
  <c r="H14" i="15"/>
  <c r="H6" i="15"/>
  <c r="H7" i="15"/>
  <c r="H8" i="15"/>
  <c r="H9" i="15"/>
  <c r="H10" i="15"/>
  <c r="H11" i="15"/>
  <c r="H12" i="15"/>
  <c r="H5" i="15"/>
  <c r="D6" i="15"/>
  <c r="D7" i="15"/>
  <c r="D8" i="15"/>
  <c r="D9" i="15"/>
  <c r="D10" i="15"/>
  <c r="D11" i="15"/>
  <c r="D12" i="15"/>
  <c r="D13" i="15"/>
  <c r="D14" i="15"/>
  <c r="D15" i="15"/>
  <c r="D16" i="15"/>
  <c r="D17" i="15"/>
  <c r="D18" i="15"/>
  <c r="D5" i="15"/>
  <c r="F23" i="15"/>
  <c r="D60" i="15"/>
  <c r="D61" i="15"/>
  <c r="D62" i="15"/>
  <c r="D63" i="15"/>
  <c r="D64" i="15"/>
  <c r="D65" i="15"/>
  <c r="D66" i="15"/>
  <c r="D67" i="15"/>
  <c r="D68" i="15"/>
  <c r="D69" i="15"/>
  <c r="D70" i="15"/>
  <c r="D71" i="15"/>
  <c r="D72" i="15"/>
  <c r="D73" i="15"/>
  <c r="D81" i="15"/>
  <c r="D82" i="15"/>
  <c r="D83" i="15"/>
  <c r="D84" i="15"/>
  <c r="D85" i="15"/>
  <c r="D86" i="15"/>
  <c r="D87" i="15"/>
  <c r="D88" i="15"/>
  <c r="D89" i="15"/>
  <c r="D90" i="15"/>
  <c r="D91" i="15"/>
  <c r="D92" i="15"/>
  <c r="D93" i="15"/>
  <c r="D94" i="15"/>
  <c r="B77" i="9" l="1"/>
  <c r="B78" i="9"/>
  <c r="G86" i="2"/>
  <c r="F86" i="2"/>
  <c r="K8" i="5"/>
  <c r="K9" i="5"/>
  <c r="K10" i="5"/>
  <c r="K11" i="5"/>
  <c r="J8" i="5"/>
  <c r="J9" i="5"/>
  <c r="J10" i="5"/>
  <c r="J11" i="5"/>
  <c r="I8" i="5"/>
  <c r="I9" i="5"/>
  <c r="I10" i="5"/>
  <c r="I11" i="5"/>
  <c r="H123" i="2"/>
  <c r="B110" i="2"/>
  <c r="E109" i="2"/>
  <c r="B109" i="2"/>
  <c r="B108" i="2"/>
  <c r="B107" i="2"/>
  <c r="B105" i="2" l="1"/>
  <c r="B104" i="2"/>
  <c r="D51" i="9"/>
  <c r="E103" i="2" s="1"/>
  <c r="B103" i="2"/>
  <c r="E99" i="2"/>
  <c r="E107" i="2" l="1"/>
  <c r="B96" i="2"/>
  <c r="B97" i="2"/>
  <c r="B98" i="2"/>
  <c r="B99" i="2"/>
  <c r="E94" i="2"/>
  <c r="B94" i="2"/>
  <c r="B95" i="2"/>
  <c r="B100" i="2"/>
  <c r="B101" i="2"/>
  <c r="B102" i="2"/>
  <c r="B106" i="2"/>
  <c r="B93" i="2" l="1"/>
  <c r="E86" i="2"/>
  <c r="B92" i="2" l="1"/>
  <c r="B91" i="2"/>
  <c r="B90" i="2"/>
  <c r="B89" i="2"/>
  <c r="F24" i="15"/>
  <c r="F25" i="15"/>
  <c r="F26" i="15"/>
  <c r="F27" i="15"/>
  <c r="F28" i="15"/>
  <c r="F29" i="15"/>
  <c r="F30" i="15"/>
  <c r="F31" i="15"/>
  <c r="F32" i="15"/>
  <c r="F33" i="15"/>
  <c r="F34" i="15"/>
  <c r="F35" i="15"/>
  <c r="F36" i="15"/>
  <c r="F37" i="15"/>
  <c r="H116" i="2"/>
  <c r="H118" i="2"/>
  <c r="H119" i="2"/>
  <c r="H120" i="2"/>
  <c r="H121" i="2"/>
  <c r="H122" i="2"/>
  <c r="F78" i="9" l="1"/>
  <c r="B88" i="2"/>
  <c r="I75" i="9"/>
  <c r="I76" i="9" s="1"/>
  <c r="D63" i="9" s="1"/>
  <c r="B83" i="2"/>
  <c r="B82" i="2"/>
  <c r="B81" i="2"/>
  <c r="B80" i="2"/>
  <c r="B79" i="2"/>
  <c r="B78" i="2"/>
  <c r="B77" i="2"/>
  <c r="B76" i="2"/>
  <c r="B75" i="2"/>
  <c r="B74" i="2"/>
  <c r="B73" i="2"/>
  <c r="B72" i="2"/>
  <c r="B71" i="2"/>
  <c r="B70" i="2"/>
  <c r="B69" i="2"/>
  <c r="E88" i="2" l="1"/>
  <c r="J53" i="2"/>
  <c r="J52" i="2"/>
  <c r="J51" i="2"/>
  <c r="J50" i="2"/>
  <c r="J49" i="2"/>
  <c r="J48" i="2"/>
  <c r="J47" i="2"/>
  <c r="J46" i="2"/>
  <c r="J45" i="2"/>
  <c r="J44" i="2"/>
  <c r="J43" i="2"/>
  <c r="J42" i="2"/>
  <c r="J41" i="2"/>
  <c r="J40" i="2"/>
  <c r="J39" i="2"/>
  <c r="G78" i="9" l="1"/>
  <c r="B75" i="9" s="1"/>
  <c r="F75" i="9" s="1"/>
  <c r="H75" i="9" s="1"/>
  <c r="B84" i="2"/>
  <c r="F38" i="9"/>
  <c r="E98" i="2"/>
  <c r="D10" i="9"/>
  <c r="E106" i="2" s="1"/>
  <c r="G118" i="2" s="1"/>
  <c r="E90" i="2" l="1"/>
  <c r="D31" i="9"/>
  <c r="E87" i="2"/>
  <c r="E104" i="2" s="1"/>
  <c r="G131" i="2"/>
  <c r="B73" i="15" l="1"/>
  <c r="B72" i="15"/>
  <c r="B71" i="15"/>
  <c r="B70" i="15"/>
  <c r="B69" i="15"/>
  <c r="B68" i="15"/>
  <c r="B67" i="15"/>
  <c r="B88" i="15" s="1"/>
  <c r="B66" i="15"/>
  <c r="B87" i="15" s="1"/>
  <c r="B65" i="15"/>
  <c r="B64" i="15"/>
  <c r="B63" i="15"/>
  <c r="B84" i="15" s="1"/>
  <c r="B62" i="15"/>
  <c r="B83" i="15" s="1"/>
  <c r="B61" i="15"/>
  <c r="B60" i="15"/>
  <c r="A94" i="15"/>
  <c r="J68" i="2" s="1"/>
  <c r="A93" i="15"/>
  <c r="J67" i="2" s="1"/>
  <c r="A92" i="15"/>
  <c r="J66" i="2" s="1"/>
  <c r="A91" i="15"/>
  <c r="J65" i="2" s="1"/>
  <c r="A90" i="15"/>
  <c r="J64" i="2" s="1"/>
  <c r="A89" i="15"/>
  <c r="J63" i="2" s="1"/>
  <c r="A88" i="15"/>
  <c r="J62" i="2" s="1"/>
  <c r="A87" i="15"/>
  <c r="J61" i="2" s="1"/>
  <c r="A86" i="15"/>
  <c r="J60" i="2" s="1"/>
  <c r="A85" i="15"/>
  <c r="J59" i="2" s="1"/>
  <c r="A84" i="15"/>
  <c r="J58" i="2" s="1"/>
  <c r="A83" i="15"/>
  <c r="J57" i="2" s="1"/>
  <c r="A82" i="15"/>
  <c r="J56" i="2" s="1"/>
  <c r="A81" i="15"/>
  <c r="J55" i="2" s="1"/>
  <c r="A80" i="15"/>
  <c r="J54" i="2" s="1"/>
  <c r="B93" i="15"/>
  <c r="B89" i="15"/>
  <c r="B85" i="15"/>
  <c r="B81" i="15"/>
  <c r="I87" i="15" l="1"/>
  <c r="K87" i="15"/>
  <c r="M87" i="15" s="1"/>
  <c r="K88" i="15"/>
  <c r="M88" i="15" s="1"/>
  <c r="I88" i="15"/>
  <c r="I81" i="15"/>
  <c r="K81" i="15"/>
  <c r="M81" i="15" s="1"/>
  <c r="I89" i="15"/>
  <c r="K89" i="15"/>
  <c r="M89" i="15" s="1"/>
  <c r="I83" i="15"/>
  <c r="K83" i="15"/>
  <c r="M83" i="15" s="1"/>
  <c r="K93" i="15"/>
  <c r="M93" i="15" s="1"/>
  <c r="I93" i="15"/>
  <c r="K84" i="15"/>
  <c r="M84" i="15" s="1"/>
  <c r="I84" i="15"/>
  <c r="K85" i="15"/>
  <c r="M85" i="15" s="1"/>
  <c r="I85" i="15"/>
  <c r="B92" i="15"/>
  <c r="B91" i="15"/>
  <c r="B82" i="15"/>
  <c r="B86" i="15"/>
  <c r="B90" i="15"/>
  <c r="B94" i="15"/>
  <c r="K82" i="15" l="1"/>
  <c r="M82" i="15" s="1"/>
  <c r="I82" i="15"/>
  <c r="K94" i="15"/>
  <c r="M94" i="15" s="1"/>
  <c r="I94" i="15"/>
  <c r="I91" i="15"/>
  <c r="K91" i="15"/>
  <c r="M91" i="15" s="1"/>
  <c r="I86" i="15"/>
  <c r="K86" i="15"/>
  <c r="M86" i="15" s="1"/>
  <c r="K90" i="15"/>
  <c r="M90" i="15" s="1"/>
  <c r="I90" i="15"/>
  <c r="K92" i="15"/>
  <c r="M92" i="15" s="1"/>
  <c r="I92" i="15"/>
  <c r="G15" i="15"/>
  <c r="G14" i="15"/>
  <c r="G23" i="15" l="1"/>
  <c r="G24" i="15"/>
  <c r="B42" i="15" s="1"/>
  <c r="G25" i="15"/>
  <c r="B43" i="15" s="1"/>
  <c r="G26" i="15"/>
  <c r="B44" i="15" s="1"/>
  <c r="G27" i="15"/>
  <c r="B45" i="15" s="1"/>
  <c r="G28" i="15"/>
  <c r="B46" i="15" s="1"/>
  <c r="G29" i="15"/>
  <c r="B47" i="15" s="1"/>
  <c r="G30" i="15"/>
  <c r="B48" i="15" s="1"/>
  <c r="G31" i="15"/>
  <c r="B49" i="15" s="1"/>
  <c r="G32" i="15"/>
  <c r="B50" i="15" s="1"/>
  <c r="G33" i="15"/>
  <c r="B51" i="15" s="1"/>
  <c r="G34" i="15"/>
  <c r="B52" i="15" s="1"/>
  <c r="G35" i="15"/>
  <c r="B53" i="15" s="1"/>
  <c r="G36" i="15"/>
  <c r="B54" i="15" s="1"/>
  <c r="G37" i="15"/>
  <c r="B55" i="15" s="1"/>
  <c r="B38" i="15"/>
  <c r="B87" i="2"/>
  <c r="D31" i="7"/>
  <c r="D28" i="7"/>
  <c r="D25" i="7"/>
  <c r="D23" i="7"/>
  <c r="D21" i="7"/>
  <c r="D20" i="7"/>
  <c r="D19" i="7"/>
  <c r="D17" i="7"/>
  <c r="D16" i="7"/>
  <c r="D15" i="7"/>
  <c r="D14" i="7"/>
  <c r="D13" i="7"/>
  <c r="D8" i="7"/>
  <c r="D7" i="7"/>
  <c r="K80" i="15" l="1"/>
  <c r="M80" i="15" s="1"/>
  <c r="I80" i="15"/>
  <c r="F51" i="15"/>
  <c r="D51" i="15"/>
  <c r="D53" i="15"/>
  <c r="F53" i="15"/>
  <c r="D50" i="15"/>
  <c r="F50" i="15"/>
  <c r="F47" i="15"/>
  <c r="D47" i="15"/>
  <c r="F43" i="15"/>
  <c r="D43" i="15"/>
  <c r="D54" i="15"/>
  <c r="F54" i="15"/>
  <c r="D52" i="15"/>
  <c r="F52" i="15"/>
  <c r="D49" i="15"/>
  <c r="F49" i="15"/>
  <c r="D46" i="15"/>
  <c r="F46" i="15"/>
  <c r="D42" i="15"/>
  <c r="F42" i="15"/>
  <c r="B56" i="15"/>
  <c r="D44" i="15"/>
  <c r="F44" i="15"/>
  <c r="F55" i="15"/>
  <c r="D55" i="15"/>
  <c r="D48" i="15"/>
  <c r="F48" i="15"/>
  <c r="D45" i="15"/>
  <c r="F45" i="15"/>
  <c r="B78" i="15"/>
  <c r="C78" i="15" s="1"/>
  <c r="F38" i="15"/>
  <c r="F56" i="15" l="1"/>
  <c r="D95" i="15"/>
  <c r="D96" i="15"/>
  <c r="F61" i="15" l="1"/>
  <c r="F83" i="15"/>
  <c r="E42" i="2" s="1"/>
  <c r="E72" i="2" s="1"/>
  <c r="F65" i="15"/>
  <c r="F66" i="15"/>
  <c r="F68" i="15"/>
  <c r="F70" i="15"/>
  <c r="F63" i="15"/>
  <c r="F72" i="15"/>
  <c r="F92" i="15"/>
  <c r="E51" i="2" s="1"/>
  <c r="E81" i="2" s="1"/>
  <c r="F64" i="15"/>
  <c r="F87" i="15"/>
  <c r="E46" i="2" s="1"/>
  <c r="E76" i="2" s="1"/>
  <c r="F71" i="15"/>
  <c r="F73" i="15"/>
  <c r="F62" i="15"/>
  <c r="F81" i="15"/>
  <c r="E40" i="2" s="1"/>
  <c r="E70" i="2" s="1"/>
  <c r="F93" i="15"/>
  <c r="E52" i="2" s="1"/>
  <c r="E82" i="2" s="1"/>
  <c r="F89" i="15"/>
  <c r="E48" i="2" s="1"/>
  <c r="E78" i="2" s="1"/>
  <c r="F94" i="15"/>
  <c r="E53" i="2" s="1"/>
  <c r="E83" i="2" s="1"/>
  <c r="F84" i="15"/>
  <c r="E43" i="2" s="1"/>
  <c r="E73" i="2" s="1"/>
  <c r="F67" i="15"/>
  <c r="F86" i="15"/>
  <c r="E45" i="2" s="1"/>
  <c r="E75" i="2" s="1"/>
  <c r="F91" i="15"/>
  <c r="E50" i="2" s="1"/>
  <c r="E80" i="2" s="1"/>
  <c r="F69" i="15"/>
  <c r="F88" i="15"/>
  <c r="E47" i="2" s="1"/>
  <c r="E77" i="2" s="1"/>
  <c r="F90" i="15"/>
  <c r="E49" i="2" s="1"/>
  <c r="E79" i="2" s="1"/>
  <c r="F85" i="15"/>
  <c r="E44" i="2" s="1"/>
  <c r="E74" i="2" s="1"/>
  <c r="F82" i="15"/>
  <c r="E41" i="2" s="1"/>
  <c r="E71" i="2" s="1"/>
  <c r="F60" i="15"/>
  <c r="E39" i="2" l="1"/>
  <c r="F95" i="15"/>
  <c r="F74" i="15"/>
  <c r="E85" i="2" l="1"/>
  <c r="E89" i="2" s="1"/>
  <c r="E91" i="2" s="1"/>
  <c r="E69" i="2"/>
  <c r="E84" i="2" s="1"/>
  <c r="G116" i="2"/>
  <c r="E92" i="2" l="1"/>
  <c r="E110" i="2"/>
  <c r="E100" i="2"/>
  <c r="G121" i="2" s="1"/>
  <c r="I121" i="2" s="1"/>
  <c r="D6" i="7"/>
  <c r="C20" i="15"/>
  <c r="E93" i="2" l="1"/>
  <c r="E101" i="2"/>
  <c r="G120" i="2" s="1"/>
  <c r="E105" i="2"/>
  <c r="G123" i="2"/>
  <c r="I123" i="2" s="1"/>
  <c r="G122" i="2"/>
  <c r="I122" i="2" s="1"/>
  <c r="G119" i="2"/>
  <c r="I7" i="5"/>
  <c r="J7" i="5"/>
  <c r="K7" i="5"/>
  <c r="B48" i="2" l="1"/>
  <c r="B49" i="2"/>
  <c r="B50" i="2"/>
  <c r="B51" i="2"/>
  <c r="B52" i="2"/>
  <c r="B47" i="2"/>
  <c r="B55" i="2"/>
  <c r="B56" i="2"/>
  <c r="B57" i="2"/>
  <c r="B58" i="2"/>
  <c r="B59" i="2"/>
  <c r="B60" i="2"/>
  <c r="B63" i="2"/>
  <c r="B64" i="2"/>
  <c r="B65" i="2"/>
  <c r="B66" i="2"/>
  <c r="B54" i="2"/>
  <c r="B61" i="2"/>
  <c r="B62" i="2"/>
  <c r="B67" i="2"/>
  <c r="B68" i="2"/>
  <c r="B85" i="2"/>
  <c r="B23" i="2"/>
  <c r="B24" i="2"/>
  <c r="B25" i="2"/>
  <c r="B26" i="2"/>
  <c r="B27" i="2"/>
  <c r="B28" i="2"/>
  <c r="B29" i="2"/>
  <c r="B30" i="2"/>
  <c r="B31" i="2"/>
  <c r="B32" i="2"/>
  <c r="B33" i="2"/>
  <c r="B34" i="2"/>
  <c r="B35" i="2"/>
  <c r="B36" i="2"/>
  <c r="B37" i="2"/>
  <c r="B38" i="2"/>
  <c r="B39" i="2"/>
  <c r="B40" i="2"/>
  <c r="B41" i="2"/>
  <c r="B42" i="2"/>
  <c r="B43" i="2"/>
  <c r="B44" i="2"/>
  <c r="B45" i="2"/>
  <c r="B46" i="2"/>
  <c r="B53" i="2"/>
  <c r="D4" i="7"/>
  <c r="H131" i="2" l="1"/>
  <c r="I131" i="2"/>
  <c r="K5" i="5" l="1"/>
  <c r="J5" i="5"/>
  <c r="I5" i="5"/>
  <c r="I12" i="5" l="1"/>
  <c r="N5" i="2" s="1"/>
  <c r="K6" i="5"/>
  <c r="J6" i="5"/>
  <c r="I6" i="5"/>
  <c r="K4" i="5"/>
  <c r="J4" i="5"/>
  <c r="I4" i="5"/>
  <c r="IM2" i="4"/>
  <c r="IL2" i="4"/>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C13" i="3"/>
  <c r="C12" i="3"/>
  <c r="C11" i="3"/>
  <c r="C10" i="3"/>
  <c r="C9" i="3"/>
  <c r="C8" i="3"/>
  <c r="C7" i="3"/>
  <c r="C6" i="3"/>
  <c r="D5" i="3"/>
  <c r="C5" i="3" s="1"/>
  <c r="H130" i="2"/>
  <c r="G130" i="2"/>
  <c r="I130" i="2" s="1"/>
  <c r="H129" i="2"/>
  <c r="G129" i="2"/>
  <c r="I120" i="2"/>
  <c r="I119" i="2"/>
  <c r="I118" i="2"/>
  <c r="I116" i="2"/>
  <c r="H117" i="2"/>
  <c r="G117" i="2"/>
  <c r="I117" i="2" s="1"/>
  <c r="B86" i="2"/>
  <c r="G11" i="2"/>
  <c r="D4" i="1"/>
  <c r="D3" i="1"/>
  <c r="C26" i="1" s="1"/>
  <c r="I129" i="2" l="1"/>
  <c r="D56" i="15" l="1"/>
</calcChain>
</file>

<file path=xl/sharedStrings.xml><?xml version="1.0" encoding="utf-8"?>
<sst xmlns="http://schemas.openxmlformats.org/spreadsheetml/2006/main" count="1341" uniqueCount="809">
  <si>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</si>
  <si>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</si>
  <si>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</si>
  <si>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</si>
  <si>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</si>
  <si>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</si>
  <si>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</si>
  <si>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</si>
  <si>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</si>
  <si>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</si>
  <si>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</si>
  <si>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</si>
  <si>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</si>
  <si>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</si>
  <si>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</si>
  <si>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</si>
  <si>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</si>
  <si>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</si>
  <si>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</si>
  <si>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</si>
  <si>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</si>
  <si>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</si>
  <si>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</si>
  <si>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</si>
  <si>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</si>
  <si>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</si>
  <si>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</si>
  <si>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</si>
  <si>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</si>
  <si>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</si>
  <si>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</si>
  <si>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</si>
  <si>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</si>
  <si>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</si>
  <si>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</si>
  <si>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</si>
  <si>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</si>
  <si>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</si>
  <si>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</si>
  <si>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</si>
  <si>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</si>
  <si>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</si>
  <si>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</si>
  <si>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</si>
  <si>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</si>
  <si>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</si>
  <si>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</si>
  <si>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</si>
  <si>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</si>
  <si>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</si>
  <si>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</si>
  <si>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</si>
  <si>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</si>
  <si>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</si>
  <si>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</si>
  <si>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</si>
  <si>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</si>
  <si>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</si>
  <si>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</si>
  <si>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</si>
  <si>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</si>
  <si>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</si>
  <si>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</si>
  <si>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</si>
  <si>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</si>
  <si>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</si>
  <si>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</si>
  <si>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</si>
  <si>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</si>
  <si>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</si>
  <si>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</si>
  <si>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</si>
  <si>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</si>
  <si>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</si>
  <si>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</si>
  <si>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</si>
  <si>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</si>
  <si>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</si>
  <si>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</si>
  <si>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</si>
  <si>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</si>
  <si>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</si>
  <si>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</si>
  <si>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</si>
  <si>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</si>
  <si>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</si>
  <si>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</si>
  <si>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</si>
  <si>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</si>
  <si>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</si>
  <si>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</si>
  <si>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</si>
  <si>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</si>
  <si>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</si>
  <si>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</si>
  <si>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</si>
  <si>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</si>
  <si>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</si>
  <si>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</si>
  <si>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</si>
  <si>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</si>
  <si>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</si>
  <si>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</si>
  <si>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</si>
  <si>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</si>
  <si>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</si>
  <si>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</si>
  <si>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</si>
  <si>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</si>
  <si>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</si>
  <si>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</si>
  <si>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</si>
  <si>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</si>
  <si>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</si>
  <si>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</si>
  <si>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</si>
  <si>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</si>
  <si>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</si>
  <si>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</si>
  <si>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</si>
  <si>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</si>
  <si>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</si>
  <si>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</si>
  <si>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</si>
  <si>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</si>
  <si>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</si>
  <si>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</si>
  <si>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</si>
  <si>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</si>
  <si>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</si>
  <si>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</si>
  <si>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</si>
  <si>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</si>
  <si>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</si>
  <si>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</si>
  <si>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</si>
  <si>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</si>
  <si>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</si>
  <si>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</si>
  <si>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</si>
  <si>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</si>
  <si>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</si>
  <si>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</si>
  <si>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</si>
  <si>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</si>
  <si>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</si>
  <si>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</si>
  <si>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</si>
  <si>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</si>
  <si>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</si>
  <si>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</si>
  <si>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</si>
  <si>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</si>
  <si>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</si>
  <si>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</si>
  <si>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</si>
  <si>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</si>
  <si>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</si>
  <si>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</si>
  <si>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</si>
  <si>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</si>
  <si>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</si>
  <si>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</si>
  <si>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</si>
  <si>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</si>
  <si>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</si>
  <si>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</si>
  <si>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</si>
  <si>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</si>
  <si>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</si>
  <si>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</si>
  <si>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</si>
  <si>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</si>
  <si>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</si>
  <si>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</si>
  <si>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</si>
  <si>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</si>
  <si>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</si>
  <si>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</si>
  <si>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</si>
  <si>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</si>
  <si>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</si>
  <si>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</si>
  <si>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</si>
  <si>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</si>
  <si>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</si>
  <si>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</si>
  <si>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</si>
  <si>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</si>
  <si>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</si>
  <si>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</si>
  <si>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</si>
  <si>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</si>
  <si>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</si>
  <si>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</si>
  <si>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</si>
  <si>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</si>
  <si>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</si>
  <si>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</si>
  <si>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</si>
  <si>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</si>
  <si>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</si>
  <si>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</si>
  <si>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</si>
  <si>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</si>
  <si>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</si>
  <si>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</si>
  <si>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</si>
  <si>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</si>
  <si>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</si>
  <si>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</si>
  <si>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</si>
  <si>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</si>
  <si>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</si>
  <si>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</si>
  <si>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</si>
  <si>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</si>
  <si>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</si>
  <si>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</si>
  <si>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</si>
  <si>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</si>
  <si>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</si>
  <si>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</si>
  <si>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</si>
  <si>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</si>
  <si>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</si>
  <si>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</si>
  <si>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</si>
  <si>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</si>
  <si>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Conversion Factors</t>
  </si>
  <si>
    <t>Assumption #</t>
  </si>
  <si>
    <t>kWh</t>
  </si>
  <si>
    <t>GJ</t>
  </si>
  <si>
    <t>tonne</t>
  </si>
  <si>
    <t>Reference [3]</t>
  </si>
  <si>
    <t>Reference [1]</t>
  </si>
  <si>
    <t>Electricity</t>
  </si>
  <si>
    <t>Solid Waste</t>
  </si>
  <si>
    <r>
      <t xml:space="preserve">Note: All inputs and outputs are normalized per the reference flow (e.g., per </t>
    </r>
    <r>
      <rPr>
        <b/>
        <sz val="10"/>
        <color indexed="8"/>
        <rFont val="Arial"/>
        <family val="2"/>
      </rPr>
      <t xml:space="preserve">kg </t>
    </r>
    <r>
      <rPr>
        <sz val="10"/>
        <color indexed="8"/>
        <rFont val="Arial"/>
        <family val="2"/>
      </rPr>
      <t>of rare earth)</t>
    </r>
  </si>
  <si>
    <t>No</t>
  </si>
  <si>
    <t>electrolysis_materials_and_outputs</t>
  </si>
  <si>
    <t>electricity_use</t>
  </si>
  <si>
    <t>Electricity used for electrolysis process.</t>
  </si>
  <si>
    <t>Material inputs for electrolysis process and relevent air and solid waste outputs.</t>
  </si>
  <si>
    <t>kg/kg</t>
  </si>
  <si>
    <t>MWh</t>
  </si>
  <si>
    <t>electricity</t>
  </si>
  <si>
    <t>Pr₆O₁₁</t>
  </si>
  <si>
    <t>Nd₂O₃</t>
  </si>
  <si>
    <t>g/mol</t>
  </si>
  <si>
    <t>Pr</t>
  </si>
  <si>
    <t>Nd</t>
  </si>
  <si>
    <t>mol</t>
  </si>
  <si>
    <t>La</t>
  </si>
  <si>
    <t>Ce</t>
  </si>
  <si>
    <t>Sm</t>
  </si>
  <si>
    <t>Eu</t>
  </si>
  <si>
    <t>Gd</t>
  </si>
  <si>
    <t>Tb</t>
  </si>
  <si>
    <t>Dy</t>
  </si>
  <si>
    <t>Ho</t>
  </si>
  <si>
    <t>Er</t>
  </si>
  <si>
    <t>Tm</t>
  </si>
  <si>
    <t>Yb</t>
  </si>
  <si>
    <t>Lu</t>
  </si>
  <si>
    <t>Y</t>
  </si>
  <si>
    <t>kg/mol</t>
  </si>
  <si>
    <t>Bastnaesite Composition</t>
  </si>
  <si>
    <t>CeO₂</t>
  </si>
  <si>
    <t>La₂O₃</t>
  </si>
  <si>
    <t>Sm₂O₃</t>
  </si>
  <si>
    <t>Eu₂O₃</t>
  </si>
  <si>
    <t>Gd₂O₃</t>
  </si>
  <si>
    <t>Tb₄O₇</t>
  </si>
  <si>
    <t>Dy₂O₃</t>
  </si>
  <si>
    <t>Ho₂O₃</t>
  </si>
  <si>
    <t>Er₂O₃</t>
  </si>
  <si>
    <t>Tm₂O₃</t>
  </si>
  <si>
    <t>Yb₂O₃</t>
  </si>
  <si>
    <t>Lu₂O₃</t>
  </si>
  <si>
    <t>Y₂O₃</t>
  </si>
  <si>
    <t>Ce_MW</t>
  </si>
  <si>
    <t>La_MW</t>
  </si>
  <si>
    <t>Pr_MW</t>
  </si>
  <si>
    <t>Nd_MW</t>
  </si>
  <si>
    <t>Sm_MW</t>
  </si>
  <si>
    <t>Eu_MW</t>
  </si>
  <si>
    <t>Gd_MW</t>
  </si>
  <si>
    <t>Tb_MW</t>
  </si>
  <si>
    <t>Dy_MW</t>
  </si>
  <si>
    <t>Ho_MW</t>
  </si>
  <si>
    <t>Er_MW</t>
  </si>
  <si>
    <t>Tm_MW</t>
  </si>
  <si>
    <t>Yb_MW</t>
  </si>
  <si>
    <t>Lu_MW</t>
  </si>
  <si>
    <t>Y_MW</t>
  </si>
  <si>
    <t>Fraction rare earth oxide per kg of total REO</t>
  </si>
  <si>
    <t>Extractive Metallurgy of Rare Earths</t>
  </si>
  <si>
    <t>Gupta, C.K.</t>
  </si>
  <si>
    <t>N. Krishnamurthy</t>
  </si>
  <si>
    <t>2005</t>
  </si>
  <si>
    <t>Boca Raton, FL.</t>
  </si>
  <si>
    <t>CRC Press</t>
  </si>
  <si>
    <t>1,2,4</t>
  </si>
  <si>
    <t>[Technosphere] Electricity</t>
  </si>
  <si>
    <t>N/A</t>
  </si>
  <si>
    <t>June 3, 2014</t>
  </si>
  <si>
    <t>Washington, DC</t>
  </si>
  <si>
    <t>Cerium</t>
  </si>
  <si>
    <t>Lanthanum</t>
  </si>
  <si>
    <t>Neodymium</t>
  </si>
  <si>
    <t>Samarium</t>
  </si>
  <si>
    <t>Europium</t>
  </si>
  <si>
    <t>Gadolinium</t>
  </si>
  <si>
    <t>Terbium</t>
  </si>
  <si>
    <t>Dysprosium</t>
  </si>
  <si>
    <t>Holmium</t>
  </si>
  <si>
    <t>Erbium</t>
  </si>
  <si>
    <t>Thulium</t>
  </si>
  <si>
    <t>Yttrium</t>
  </si>
  <si>
    <t>Ytterbium</t>
  </si>
  <si>
    <t>Lutetium</t>
  </si>
  <si>
    <t>Praseodymium</t>
  </si>
  <si>
    <t>Element</t>
  </si>
  <si>
    <t>2012</t>
  </si>
  <si>
    <t>Pm is not detected in nature, has a low period of half decay, and its main route of production is artificial synthesis. Therefore it is not considered here.</t>
  </si>
  <si>
    <t>MW (g/mol)</t>
  </si>
  <si>
    <t>REE</t>
  </si>
  <si>
    <t>Light Rare Earth Elements: La, Ce, Pr, Nd, Pm, Sm, Eu</t>
  </si>
  <si>
    <t>Heavy Rare Earth Elements: Gb, Tb, Dy, Ho, Er, Tm, Lu, Yb, Tb, Sc, Y</t>
  </si>
  <si>
    <t>g</t>
  </si>
  <si>
    <t>Separation of rare earth elements using ion exchange</t>
  </si>
  <si>
    <t>Rare Earth Elements</t>
  </si>
  <si>
    <t>Separation of Rare Earth Elements by Ion Exchange</t>
  </si>
  <si>
    <t>Method of Separating Rare Earths</t>
  </si>
  <si>
    <t>Process for Separating Rare-Earth Elements by Ion Exchange</t>
  </si>
  <si>
    <t>Selective Separation of Rare Earth Elements by Ion Exchange in an Iminodiacetic Resin</t>
  </si>
  <si>
    <t>Upgrade of Yttrium in a Mixed Rare Earth Stream using Iminodiacetic Acid Functionalized Resin</t>
  </si>
  <si>
    <t xml:space="preserve">Investigation of Sorption  and Separation of Lanthanides  on the Ion Exchangers of Various Types </t>
  </si>
  <si>
    <t>Generalic, Eni</t>
  </si>
  <si>
    <t>Sparks, J. Oscar Winget</t>
  </si>
  <si>
    <t>Spedding Frank H.</t>
  </si>
  <si>
    <t>Lindstrom, Roald E.</t>
  </si>
  <si>
    <t>Moore, Bruce W.</t>
  </si>
  <si>
    <t>Kronholm, Benjamin V.</t>
  </si>
  <si>
    <t xml:space="preserve">Dorota Kołodyńska and Zbigniew Hubicki </t>
  </si>
  <si>
    <t>Colorado School of Mines</t>
  </si>
  <si>
    <t>J. Wheelwright, and Jack E. Powell</t>
  </si>
  <si>
    <t>J. Oscar Winget</t>
  </si>
  <si>
    <t>2014</t>
  </si>
  <si>
    <t>1971</t>
  </si>
  <si>
    <t>1957</t>
  </si>
  <si>
    <t>1966</t>
  </si>
  <si>
    <t>2000</t>
  </si>
  <si>
    <t>2003</t>
  </si>
  <si>
    <t>2009</t>
  </si>
  <si>
    <t>May</t>
  </si>
  <si>
    <t>October</t>
  </si>
  <si>
    <t>July</t>
  </si>
  <si>
    <t>January</t>
  </si>
  <si>
    <t xml:space="preserve">November 2009 </t>
  </si>
  <si>
    <t>Washington, D.C.</t>
  </si>
  <si>
    <t>Washington DC</t>
  </si>
  <si>
    <t>Colorado</t>
  </si>
  <si>
    <t>U.S. Patent Office</t>
  </si>
  <si>
    <t>Patent No. 3,615,173</t>
  </si>
  <si>
    <t>Patent No. 2,798,789</t>
  </si>
  <si>
    <t>Patent No. 3,228,750</t>
  </si>
  <si>
    <t>Patent No. 6,093,376</t>
  </si>
  <si>
    <t>ISBN 0-415-33340-7</t>
  </si>
  <si>
    <t xml:space="preserve">RPSEA Project 07122-12 </t>
  </si>
  <si>
    <t>http://www.periodni.com/rare_earth_elements.html</t>
  </si>
  <si>
    <t>https://www.google.com/patents/US3615173</t>
  </si>
  <si>
    <t>https://www.google.com/patents/US2798789</t>
  </si>
  <si>
    <t>https://www.google.com/patents/US3228750</t>
  </si>
  <si>
    <t>https://www.google.com/patents/US6093376</t>
  </si>
  <si>
    <t>http://digitool.library.colostate.edu///exlibris/dtl/d3_1/apache_media/L2V4bGlicmlzL2R0bC9kM18xL2FwYWNoZV9tZWRpYS8yMDYwODE=.pdf</t>
  </si>
  <si>
    <t>http://etd.lib.metu.edu.tr/upload/1206655/index.pdf</t>
  </si>
  <si>
    <t>http://dx.doi.org/10.5772/50857</t>
  </si>
  <si>
    <t>June 10, 2014</t>
  </si>
  <si>
    <t>June 19, 2014</t>
  </si>
  <si>
    <t>June 23, 2014</t>
  </si>
  <si>
    <t>June 17, 2014</t>
  </si>
  <si>
    <t>June 20, 2014</t>
  </si>
  <si>
    <t>Electronic</t>
  </si>
  <si>
    <t>Gupta and Krishnamurthy (2005). Extractive Metallurgy of Rare Earths. Boca Raton, FL: CRC Press. Retrieved June 3, 2014 from http://vector.umd.edu/links_files/Extractive%20Metallurgy%20of%20Rare%20Earths%20(Gupta).pdf</t>
  </si>
  <si>
    <t>Generalic, Eni. "Rare Earth Elements (REE)." EniG. Periodic Table of the Elements. KTF-Split, 16 May 2014. Web. Retrieved June 10, 2014 from &lt;http://www.periodni.com/rare_earth_elements.html&gt;.</t>
  </si>
  <si>
    <t>Sparks, J. O, Lindstrom, R. E. (1971) Separation of Rare Earth Elements by Ion Exchange. U.S. Patent 3,615,173. Washington, DC: US.  Retrieved June 19, 2014 from http://www.google.com/patents/US3615173</t>
  </si>
  <si>
    <t>Spedding, F.H., Wheelwright, J., Powell, J.E. (1957) Method of Separating Rare Earths. U.S. Patent 2,798789. Washington, DC: US.  Retrieved June 23, 2014 from http://www.google.com/patents/US2798789</t>
  </si>
  <si>
    <t>Lindstrom, Roald E. (1966) Process for Separating Rare-Earth Elements by Ion Exchange. U.S. Patent 3,228,750. Washington, DC: US.  Retrieved June 19, 2014 from http://www.google.com/patents/US3228750</t>
  </si>
  <si>
    <t>Moore, Bruce W. (2000) Selective Separation of Rare Earth Elements by Ion Exchange in an Iminodiacetic Resin. U.S. Patent 6093376. Washington, DC: US.  Retrieved June 17, 2014 from http://www.google.com/patents/US6093376</t>
  </si>
  <si>
    <t>Kronholm, Benjamin V. (2012). Upgrade of Yttrium in a Mixed Rare Earth Stream using Iminodiacetic Acid Functionalized Resin. Colorado School of Mines, Colorado. Retrieved June 17 from http://digitool.library.colostate.edu///exlibris/dtl/d3_1/apache_media/L2V4bGlicmlzL2R0bC9kM18xL2FwYWNoZV9tZWRpYS8yMDYwODE=.pdf</t>
  </si>
  <si>
    <t>Kołodyńska D., Hubicka, H. (2012) Investigation of Sorption  and Separation of Lanthanides  on the Ion Exchangers of Various Types. Ion Exchange Technologies.  Retrieved June 20, 2014 from http://dx.doi.org/10.5772/50857</t>
  </si>
  <si>
    <t>Information on Ion Exchange process and average RE recovery %</t>
  </si>
  <si>
    <t>Table showing heavy and light rare earth elements</t>
  </si>
  <si>
    <t>Ion exchange reaction formulas using EDTA and HEDTA</t>
  </si>
  <si>
    <t>Input values</t>
  </si>
  <si>
    <t>Details recovery amount of EDTA after Ion Exchange, RE recovery %</t>
  </si>
  <si>
    <t>Ion exchange process, resin type, paramater values, recovery %</t>
  </si>
  <si>
    <t>Parameter values, recovery %, separation values, general information</t>
  </si>
  <si>
    <t xml:space="preserve">3.5.2.1. Effect of Elution Acid Volume on Recovery, 3.5.2.2. Effect of Resin Amount on Recovery </t>
  </si>
  <si>
    <t>energy requirements for Ion exchange</t>
  </si>
  <si>
    <t>Reference [11]</t>
  </si>
  <si>
    <t>gallon</t>
  </si>
  <si>
    <t>L</t>
  </si>
  <si>
    <t>Reference [6]</t>
  </si>
  <si>
    <t>mL</t>
  </si>
  <si>
    <t>Wh</t>
  </si>
  <si>
    <t>use separately.  HREEs would separate first and would, thus use less energy.</t>
  </si>
  <si>
    <t>However, the degree of difference for each element within our system is unknown.</t>
  </si>
  <si>
    <t>*This is a generalization because there is no exact way to know how much energy each element</t>
  </si>
  <si>
    <t>Reference [7]</t>
  </si>
  <si>
    <t>Flow of influent to columns was accomplished using a variable speed Cole-Parmer Masterflex peristaltic pump.</t>
  </si>
  <si>
    <t xml:space="preserve">Flow rates were periodically monitored using a lab timer and graduated cylinder to measure effluent flow; </t>
  </si>
  <si>
    <t xml:space="preserve">pump speed was adjusted as needed to maintain the desired flow rate. Fractions were collected using a Varian Prostar 704 fraction collector. </t>
  </si>
  <si>
    <t xml:space="preserve">The collector was fitted with a 17 mm, 72 position, test tube rack which had been modified using funnels and </t>
  </si>
  <si>
    <t xml:space="preserve">Tygon tubing to direct fractions into 125 ml polypropylene bottles. The collector was programed to collect timed fractions representing </t>
  </si>
  <si>
    <t>approximately 40% of a bed volume for each fraction.</t>
  </si>
  <si>
    <t>Eluent (EDTA and HEDTA) velocities constant at 2ml/min</t>
  </si>
  <si>
    <t>3, 4, 5, 6</t>
  </si>
  <si>
    <t>The columns are maintained at 92 °C</t>
  </si>
  <si>
    <t>pH of 8.3 and ammonium is used to buffer the solution, if necessary</t>
  </si>
  <si>
    <t xml:space="preserve">Assumes that all chloride in solution was originally derived from HCl </t>
  </si>
  <si>
    <t>Reference</t>
  </si>
  <si>
    <t>All reported nonhazardous solid waste is spent ion exchange resin. This likely overestimates the amount of ion exchange resin required, because other nonhazardous solid wastes would be generated on site and resin is reusable. However, based on engineering judgment, ion exchange resin would be the primary nonhazardous solid waste stream.</t>
  </si>
  <si>
    <t>Assumes 5 m pumping head, an 80% efficient pump although this overestimates the size of pumping head and overall energy requirements.</t>
  </si>
  <si>
    <t>lb</t>
  </si>
  <si>
    <t>L H2O</t>
  </si>
  <si>
    <r>
      <t>cm</t>
    </r>
    <r>
      <rPr>
        <vertAlign val="superscript"/>
        <sz val="10"/>
        <rFont val="Arial"/>
        <family val="2"/>
      </rPr>
      <t>3</t>
    </r>
  </si>
  <si>
    <t>gallons/min</t>
  </si>
  <si>
    <t>L/yr</t>
  </si>
  <si>
    <t>mg</t>
  </si>
  <si>
    <t>gigajoule</t>
  </si>
  <si>
    <t>Btu</t>
  </si>
  <si>
    <t>m3</t>
  </si>
  <si>
    <t>cubic feet</t>
  </si>
  <si>
    <t>ton</t>
  </si>
  <si>
    <t>MMBtu</t>
  </si>
  <si>
    <t>cubic centimeter</t>
  </si>
  <si>
    <t>cubic meters</t>
  </si>
  <si>
    <t>lbs</t>
  </si>
  <si>
    <t>cubic meter</t>
  </si>
  <si>
    <t>cubic yards</t>
  </si>
  <si>
    <t>kg water</t>
  </si>
  <si>
    <t>L water</t>
  </si>
  <si>
    <t>year</t>
  </si>
  <si>
    <t>minutes</t>
  </si>
  <si>
    <t xml:space="preserve"> gallons</t>
  </si>
  <si>
    <t>gallons</t>
  </si>
  <si>
    <t>day</t>
  </si>
  <si>
    <t>hours</t>
  </si>
  <si>
    <t>hour</t>
  </si>
  <si>
    <t>Information on flow rate, resins, separation factors</t>
  </si>
  <si>
    <t>3, 4, 5, 6,10</t>
  </si>
  <si>
    <t>ml</t>
  </si>
  <si>
    <t>Wh/kg</t>
  </si>
  <si>
    <t>Ion Exchange Resin</t>
  </si>
  <si>
    <t>[Wh/kg] Wh electricity per kg of rare earth concentrate input</t>
  </si>
  <si>
    <t>Water</t>
  </si>
  <si>
    <t>Hydrochloric Acid</t>
  </si>
  <si>
    <t>Fraction RE oxide per kg of total REO</t>
  </si>
  <si>
    <t>Moles of RE in oxide</t>
  </si>
  <si>
    <t>Moles of oxygen in oxide</t>
  </si>
  <si>
    <t>MW (kg/mol)</t>
  </si>
  <si>
    <t>Carbon</t>
  </si>
  <si>
    <t>Oxygen</t>
  </si>
  <si>
    <t>Fluorine</t>
  </si>
  <si>
    <t>Sodium</t>
  </si>
  <si>
    <t>Hydrogen</t>
  </si>
  <si>
    <t>Chloride</t>
  </si>
  <si>
    <t>Nitrogen</t>
  </si>
  <si>
    <t>Calcium</t>
  </si>
  <si>
    <t>H2O</t>
  </si>
  <si>
    <t>HCl</t>
  </si>
  <si>
    <t>mass RECl₃ per kg total REO</t>
  </si>
  <si>
    <t>CeCl₃</t>
  </si>
  <si>
    <t>kg/kg RECl₃</t>
  </si>
  <si>
    <t>LaCl₃</t>
  </si>
  <si>
    <t>PrCl₃</t>
  </si>
  <si>
    <t>NdCl₃</t>
  </si>
  <si>
    <t>SmCl₃</t>
  </si>
  <si>
    <t>EuCl₃</t>
  </si>
  <si>
    <t>GdCl₃</t>
  </si>
  <si>
    <t>TbCl₃</t>
  </si>
  <si>
    <t>DyCl₃</t>
  </si>
  <si>
    <t>HoCl₃</t>
  </si>
  <si>
    <t>ErCl₃</t>
  </si>
  <si>
    <t>TmCl₃</t>
  </si>
  <si>
    <t>YbCl₃</t>
  </si>
  <si>
    <t>LuCl₃</t>
  </si>
  <si>
    <t>YCl₃</t>
  </si>
  <si>
    <t>Weighted molar wieght</t>
  </si>
  <si>
    <t>Total mass with cerium</t>
  </si>
  <si>
    <t>Total mass without cerium</t>
  </si>
  <si>
    <t>Moles per kg total REO</t>
  </si>
  <si>
    <t>Moles per mol of total RE moles</t>
  </si>
  <si>
    <t>Mass per mol of total RE moles</t>
  </si>
  <si>
    <t>mol/kg</t>
  </si>
  <si>
    <t>mol/mol_mix</t>
  </si>
  <si>
    <t>g/mol_mix</t>
  </si>
  <si>
    <t>Percent of mix with Cerium</t>
  </si>
  <si>
    <t>kg/kg RECl₃∙H₂O</t>
  </si>
  <si>
    <t>Rare Earth Chloride Concentrate</t>
  </si>
  <si>
    <t>Ce_conc</t>
  </si>
  <si>
    <t>La_conc</t>
  </si>
  <si>
    <t>Pr_conc</t>
  </si>
  <si>
    <t>Nd_conc</t>
  </si>
  <si>
    <t>Sm_conc</t>
  </si>
  <si>
    <t>Eu_conc</t>
  </si>
  <si>
    <t>Gd_conc</t>
  </si>
  <si>
    <t>Tb_conc</t>
  </si>
  <si>
    <t>Dy_conc</t>
  </si>
  <si>
    <t>Ho_conc</t>
  </si>
  <si>
    <t>Er_conc</t>
  </si>
  <si>
    <t>Tm_conc</t>
  </si>
  <si>
    <t>Yb_conc</t>
  </si>
  <si>
    <t>Lu_conc</t>
  </si>
  <si>
    <t>Y_conc</t>
  </si>
  <si>
    <t>Rinse</t>
  </si>
  <si>
    <t>Prior to Ion Exchange (IX):</t>
  </si>
  <si>
    <t>6M HCl</t>
  </si>
  <si>
    <r>
      <t>Ion Exchange Resin (-S0</t>
    </r>
    <r>
      <rPr>
        <vertAlign val="subscript"/>
        <sz val="10"/>
        <color theme="1"/>
        <rFont val="Arial"/>
        <family val="2"/>
      </rPr>
      <t>3</t>
    </r>
    <r>
      <rPr>
        <sz val="10"/>
        <color theme="1"/>
        <rFont val="Arial"/>
        <family val="2"/>
      </rPr>
      <t>H)</t>
    </r>
  </si>
  <si>
    <t>(sulfonic resin)</t>
  </si>
  <si>
    <t>Ion Exchange Resin [Waste for disposal]</t>
  </si>
  <si>
    <t>g/L</t>
  </si>
  <si>
    <t>Water (HEDTA solution)</t>
  </si>
  <si>
    <t>Water (Amm-EDTA solution)</t>
  </si>
  <si>
    <t>formula</t>
  </si>
  <si>
    <r>
      <t>C</t>
    </r>
    <r>
      <rPr>
        <vertAlign val="subscript"/>
        <sz val="11"/>
        <color theme="1"/>
        <rFont val="Arial"/>
        <family val="2"/>
      </rPr>
      <t>10</t>
    </r>
    <r>
      <rPr>
        <sz val="11"/>
        <color theme="1"/>
        <rFont val="Arial"/>
        <family val="2"/>
      </rPr>
      <t>H</t>
    </r>
    <r>
      <rPr>
        <vertAlign val="subscript"/>
        <sz val="11"/>
        <color theme="1"/>
        <rFont val="Arial"/>
        <family val="2"/>
      </rPr>
      <t>16</t>
    </r>
    <r>
      <rPr>
        <sz val="11"/>
        <color theme="1"/>
        <rFont val="Arial"/>
        <family val="2"/>
      </rPr>
      <t>N</t>
    </r>
    <r>
      <rPr>
        <vertAlign val="subscript"/>
        <sz val="11"/>
        <color theme="1"/>
        <rFont val="Arial"/>
        <family val="2"/>
      </rPr>
      <t>2</t>
    </r>
    <r>
      <rPr>
        <sz val="11"/>
        <color theme="1"/>
        <rFont val="Arial"/>
        <family val="2"/>
      </rPr>
      <t>O</t>
    </r>
    <r>
      <rPr>
        <vertAlign val="subscript"/>
        <sz val="11"/>
        <color theme="1"/>
        <rFont val="Arial"/>
        <family val="2"/>
      </rPr>
      <t>8</t>
    </r>
  </si>
  <si>
    <t>Ammonium EDTA</t>
  </si>
  <si>
    <t>H(NH4)3EDTA</t>
  </si>
  <si>
    <r>
      <t>C</t>
    </r>
    <r>
      <rPr>
        <vertAlign val="subscript"/>
        <sz val="11"/>
        <color theme="1"/>
        <rFont val="Arial"/>
        <family val="2"/>
      </rPr>
      <t>10</t>
    </r>
    <r>
      <rPr>
        <sz val="11"/>
        <color theme="1"/>
        <rFont val="Arial"/>
        <family val="2"/>
      </rPr>
      <t>H</t>
    </r>
    <r>
      <rPr>
        <vertAlign val="subscript"/>
        <sz val="11"/>
        <color theme="1"/>
        <rFont val="Arial"/>
        <family val="2"/>
      </rPr>
      <t>18</t>
    </r>
    <r>
      <rPr>
        <sz val="11"/>
        <color theme="1"/>
        <rFont val="Arial"/>
        <family val="2"/>
      </rPr>
      <t>N</t>
    </r>
    <r>
      <rPr>
        <vertAlign val="subscript"/>
        <sz val="11"/>
        <color theme="1"/>
        <rFont val="Arial"/>
        <family val="2"/>
      </rPr>
      <t>2</t>
    </r>
    <r>
      <rPr>
        <sz val="11"/>
        <color theme="1"/>
        <rFont val="Arial"/>
        <family val="2"/>
      </rPr>
      <t>O</t>
    </r>
    <r>
      <rPr>
        <vertAlign val="subscript"/>
        <sz val="11"/>
        <color theme="1"/>
        <rFont val="Arial"/>
        <family val="2"/>
      </rPr>
      <t>7</t>
    </r>
  </si>
  <si>
    <t>hydrochloric acid</t>
  </si>
  <si>
    <t xml:space="preserve">ethylenediaminetetraacetic acid (EDTA) </t>
  </si>
  <si>
    <t>2-hydroxy ethylenediamine triacetic acid (HEDTA)</t>
  </si>
  <si>
    <r>
      <t xml:space="preserve">HEDTA </t>
    </r>
    <r>
      <rPr>
        <sz val="10"/>
        <color theme="1"/>
        <rFont val="Arial"/>
        <family val="2"/>
      </rPr>
      <t>(5%, or 5 g per 1L H</t>
    </r>
    <r>
      <rPr>
        <vertAlign val="subscript"/>
        <sz val="10"/>
        <color theme="1"/>
        <rFont val="Arial"/>
        <family val="2"/>
      </rPr>
      <t>2</t>
    </r>
    <r>
      <rPr>
        <sz val="10"/>
        <color theme="1"/>
        <rFont val="Arial"/>
        <family val="2"/>
      </rPr>
      <t xml:space="preserve">O) </t>
    </r>
  </si>
  <si>
    <r>
      <t xml:space="preserve">Ammonium EDTA </t>
    </r>
    <r>
      <rPr>
        <sz val="10"/>
        <color theme="1"/>
        <rFont val="Arial"/>
        <family val="2"/>
      </rPr>
      <t xml:space="preserve">(5%, or 5 g per 1L H2O) </t>
    </r>
  </si>
  <si>
    <r>
      <t>C</t>
    </r>
    <r>
      <rPr>
        <vertAlign val="subscript"/>
        <sz val="10"/>
        <color theme="1"/>
        <rFont val="Arial"/>
        <family val="2"/>
      </rPr>
      <t>10</t>
    </r>
    <r>
      <rPr>
        <sz val="10"/>
        <color theme="1"/>
        <rFont val="Arial"/>
        <family val="2"/>
      </rPr>
      <t>H</t>
    </r>
    <r>
      <rPr>
        <vertAlign val="subscript"/>
        <sz val="10"/>
        <color theme="1"/>
        <rFont val="Arial"/>
        <family val="2"/>
      </rPr>
      <t>16</t>
    </r>
    <r>
      <rPr>
        <sz val="10"/>
        <color theme="1"/>
        <rFont val="Arial"/>
        <family val="2"/>
      </rPr>
      <t>N</t>
    </r>
    <r>
      <rPr>
        <vertAlign val="subscript"/>
        <sz val="10"/>
        <color theme="1"/>
        <rFont val="Arial"/>
        <family val="2"/>
      </rPr>
      <t>2</t>
    </r>
    <r>
      <rPr>
        <sz val="10"/>
        <color theme="1"/>
        <rFont val="Arial"/>
        <family val="2"/>
      </rPr>
      <t>O</t>
    </r>
    <r>
      <rPr>
        <vertAlign val="subscript"/>
        <sz val="10"/>
        <color theme="1"/>
        <rFont val="Arial"/>
        <family val="2"/>
      </rPr>
      <t>8</t>
    </r>
  </si>
  <si>
    <r>
      <t>C</t>
    </r>
    <r>
      <rPr>
        <vertAlign val="subscript"/>
        <sz val="10"/>
        <color theme="1"/>
        <rFont val="Arial"/>
        <family val="2"/>
      </rPr>
      <t>10</t>
    </r>
    <r>
      <rPr>
        <sz val="10"/>
        <color theme="1"/>
        <rFont val="Arial"/>
        <family val="2"/>
      </rPr>
      <t>H</t>
    </r>
    <r>
      <rPr>
        <vertAlign val="subscript"/>
        <sz val="10"/>
        <color theme="1"/>
        <rFont val="Arial"/>
        <family val="2"/>
      </rPr>
      <t>28</t>
    </r>
    <r>
      <rPr>
        <sz val="10"/>
        <color theme="1"/>
        <rFont val="Arial"/>
        <family val="2"/>
      </rPr>
      <t>N</t>
    </r>
    <r>
      <rPr>
        <vertAlign val="subscript"/>
        <sz val="10"/>
        <color theme="1"/>
        <rFont val="Arial"/>
        <family val="2"/>
      </rPr>
      <t>6</t>
    </r>
    <r>
      <rPr>
        <sz val="10"/>
        <color theme="1"/>
        <rFont val="Arial"/>
        <family val="2"/>
      </rPr>
      <t>O</t>
    </r>
    <r>
      <rPr>
        <vertAlign val="subscript"/>
        <sz val="10"/>
        <color theme="1"/>
        <rFont val="Arial"/>
        <family val="2"/>
      </rPr>
      <t>8</t>
    </r>
  </si>
  <si>
    <r>
      <t>C</t>
    </r>
    <r>
      <rPr>
        <vertAlign val="subscript"/>
        <sz val="10"/>
        <color theme="1"/>
        <rFont val="Arial"/>
        <family val="2"/>
      </rPr>
      <t>10</t>
    </r>
    <r>
      <rPr>
        <sz val="10"/>
        <color theme="1"/>
        <rFont val="Arial"/>
        <family val="2"/>
      </rPr>
      <t>H</t>
    </r>
    <r>
      <rPr>
        <vertAlign val="subscript"/>
        <sz val="10"/>
        <color theme="1"/>
        <rFont val="Arial"/>
        <family val="2"/>
      </rPr>
      <t>18</t>
    </r>
    <r>
      <rPr>
        <sz val="10"/>
        <color theme="1"/>
        <rFont val="Arial"/>
        <family val="2"/>
      </rPr>
      <t>N</t>
    </r>
    <r>
      <rPr>
        <vertAlign val="subscript"/>
        <sz val="10"/>
        <color theme="1"/>
        <rFont val="Arial"/>
        <family val="2"/>
      </rPr>
      <t>2</t>
    </r>
    <r>
      <rPr>
        <sz val="10"/>
        <color theme="1"/>
        <rFont val="Arial"/>
        <family val="2"/>
      </rPr>
      <t>O</t>
    </r>
    <r>
      <rPr>
        <vertAlign val="subscript"/>
        <sz val="10"/>
        <color theme="1"/>
        <rFont val="Arial"/>
        <family val="2"/>
      </rPr>
      <t>7</t>
    </r>
  </si>
  <si>
    <t>Reference [3,4,5]</t>
  </si>
  <si>
    <t>Reference [5]</t>
  </si>
  <si>
    <t>EDTA and HEDTA</t>
  </si>
  <si>
    <t>2.5* input_EDTA</t>
  </si>
  <si>
    <t>Assumption [12]</t>
  </si>
  <si>
    <r>
      <t>NH</t>
    </r>
    <r>
      <rPr>
        <vertAlign val="subscript"/>
        <sz val="10"/>
        <color theme="1"/>
        <rFont val="Arial"/>
        <family val="2"/>
      </rPr>
      <t>4</t>
    </r>
    <r>
      <rPr>
        <vertAlign val="superscript"/>
        <sz val="10"/>
        <color theme="1"/>
        <rFont val="Arial"/>
        <family val="2"/>
      </rPr>
      <t>3</t>
    </r>
  </si>
  <si>
    <t>2/3*EDTA_in</t>
  </si>
  <si>
    <t>Use of generic sulfonic resin spheres, most likely 80% cross-linked 30-40 mesh, 0.1 mm (0.004 inch) diameter</t>
  </si>
  <si>
    <t>Sulfonic resin is availble from several companies--the source should not affect process or final concentrations</t>
  </si>
  <si>
    <t>3,4,5</t>
  </si>
  <si>
    <t>Estimating total EDTA_out is 2.5 times EDTA_in</t>
  </si>
  <si>
    <t>Assumption [7,8]</t>
  </si>
  <si>
    <t>Molycorp Bastinite Concetrate contains ~60% Rare Earth (RE) Oxide, which undergo calcination process,</t>
  </si>
  <si>
    <t xml:space="preserve"> then leaching in which they are dissolved in hydrochloric acid solution (HCl) and the solution is then concentrated by evaporation to create RECl3 ·xH2O</t>
  </si>
  <si>
    <t>The columns are heated to maintain the acid form of EDTA in solution</t>
  </si>
  <si>
    <t>When the REs are sorbed on ammonium cycle resin  from a chloride solution:</t>
  </si>
  <si>
    <t>RE: Trivalent Rare Earth Ion</t>
  </si>
  <si>
    <t>When HEDTA is sorbed on hydrogen-cycle resin:</t>
  </si>
  <si>
    <r>
      <t>RSO</t>
    </r>
    <r>
      <rPr>
        <vertAlign val="subscript"/>
        <sz val="11"/>
        <color theme="1"/>
        <rFont val="Arial"/>
        <family val="2"/>
      </rPr>
      <t>3</t>
    </r>
    <r>
      <rPr>
        <sz val="11"/>
        <color theme="1"/>
        <rFont val="Arial"/>
        <family val="2"/>
      </rPr>
      <t>NH</t>
    </r>
    <r>
      <rPr>
        <vertAlign val="subscript"/>
        <sz val="11"/>
        <color theme="1"/>
        <rFont val="Arial"/>
        <family val="2"/>
      </rPr>
      <t>4</t>
    </r>
    <r>
      <rPr>
        <sz val="11"/>
        <color theme="1"/>
        <rFont val="Arial"/>
        <family val="2"/>
      </rPr>
      <t>: exchange sites on the resin</t>
    </r>
  </si>
  <si>
    <t>Z: HEDTA</t>
  </si>
  <si>
    <t>When EDTA (eluant) contacts the RE:</t>
  </si>
  <si>
    <r>
      <t>REY</t>
    </r>
    <r>
      <rPr>
        <vertAlign val="superscript"/>
        <sz val="11"/>
        <color theme="1"/>
        <rFont val="Arial"/>
        <family val="2"/>
      </rPr>
      <t>1</t>
    </r>
    <r>
      <rPr>
        <sz val="11"/>
        <color theme="1"/>
        <rFont val="Arial"/>
        <family val="2"/>
      </rPr>
      <t>: RE chelate</t>
    </r>
  </si>
  <si>
    <t>Y: EDTA ion</t>
  </si>
  <si>
    <t>When the RE EDTA-chelate contacts the hydrogen-cycle resin, the exchange is:</t>
  </si>
  <si>
    <t>or</t>
  </si>
  <si>
    <t>Mountain Pass Bastnaesite Composition</t>
  </si>
  <si>
    <r>
      <t>RE</t>
    </r>
    <r>
      <rPr>
        <b/>
        <i/>
        <vertAlign val="subscript"/>
        <sz val="11"/>
        <color rgb="FF0070C0"/>
        <rFont val="Arial"/>
        <family val="2"/>
      </rPr>
      <t>2</t>
    </r>
    <r>
      <rPr>
        <b/>
        <i/>
        <sz val="11"/>
        <color rgb="FF0070C0"/>
        <rFont val="Arial"/>
        <family val="2"/>
      </rPr>
      <t>O</t>
    </r>
    <r>
      <rPr>
        <b/>
        <i/>
        <vertAlign val="subscript"/>
        <sz val="11"/>
        <color rgb="FF0070C0"/>
        <rFont val="Arial"/>
        <family val="2"/>
      </rPr>
      <t>3</t>
    </r>
    <r>
      <rPr>
        <b/>
        <i/>
        <sz val="11"/>
        <color rgb="FF0070C0"/>
        <rFont val="Arial"/>
        <family val="2"/>
      </rPr>
      <t xml:space="preserve"> + 6HCl (aq) → 2RECl</t>
    </r>
    <r>
      <rPr>
        <b/>
        <i/>
        <vertAlign val="subscript"/>
        <sz val="11"/>
        <color rgb="FF0070C0"/>
        <rFont val="Arial"/>
        <family val="2"/>
      </rPr>
      <t>3</t>
    </r>
    <r>
      <rPr>
        <b/>
        <i/>
        <sz val="11"/>
        <color rgb="FF0070C0"/>
        <rFont val="Arial"/>
        <family val="2"/>
      </rPr>
      <t>·xH</t>
    </r>
    <r>
      <rPr>
        <b/>
        <i/>
        <vertAlign val="subscript"/>
        <sz val="11"/>
        <color rgb="FF0070C0"/>
        <rFont val="Arial"/>
        <family val="2"/>
      </rPr>
      <t>2</t>
    </r>
    <r>
      <rPr>
        <b/>
        <i/>
        <sz val="11"/>
        <color rgb="FF0070C0"/>
        <rFont val="Arial"/>
        <family val="2"/>
      </rPr>
      <t>O</t>
    </r>
  </si>
  <si>
    <r>
      <t>RECl</t>
    </r>
    <r>
      <rPr>
        <b/>
        <i/>
        <vertAlign val="subscript"/>
        <sz val="11"/>
        <color rgb="FF0070C0"/>
        <rFont val="Arial"/>
        <family val="2"/>
      </rPr>
      <t xml:space="preserve">3 </t>
    </r>
    <r>
      <rPr>
        <b/>
        <i/>
        <sz val="11"/>
        <color rgb="FF0070C0"/>
        <rFont val="Arial"/>
        <family val="2"/>
      </rPr>
      <t>+ RSO</t>
    </r>
    <r>
      <rPr>
        <b/>
        <i/>
        <vertAlign val="subscript"/>
        <sz val="11"/>
        <color rgb="FF0070C0"/>
        <rFont val="Arial"/>
        <family val="2"/>
      </rPr>
      <t>3</t>
    </r>
    <r>
      <rPr>
        <b/>
        <i/>
        <sz val="11"/>
        <color rgb="FF0070C0"/>
        <rFont val="Arial"/>
        <family val="2"/>
      </rPr>
      <t>NH</t>
    </r>
    <r>
      <rPr>
        <b/>
        <i/>
        <vertAlign val="subscript"/>
        <sz val="11"/>
        <color rgb="FF0070C0"/>
        <rFont val="Arial"/>
        <family val="2"/>
      </rPr>
      <t>4</t>
    </r>
    <r>
      <rPr>
        <b/>
        <i/>
        <sz val="11"/>
        <color rgb="FF0070C0"/>
        <rFont val="Arial"/>
        <family val="2"/>
      </rPr>
      <t xml:space="preserve"> -&gt; RE(RSO</t>
    </r>
    <r>
      <rPr>
        <b/>
        <i/>
        <vertAlign val="subscript"/>
        <sz val="11"/>
        <color rgb="FF0070C0"/>
        <rFont val="Arial"/>
        <family val="2"/>
      </rPr>
      <t>3</t>
    </r>
    <r>
      <rPr>
        <b/>
        <i/>
        <sz val="11"/>
        <color rgb="FF0070C0"/>
        <rFont val="Arial"/>
        <family val="2"/>
      </rPr>
      <t>)</t>
    </r>
    <r>
      <rPr>
        <b/>
        <i/>
        <vertAlign val="subscript"/>
        <sz val="11"/>
        <color rgb="FF0070C0"/>
        <rFont val="Arial"/>
        <family val="2"/>
      </rPr>
      <t>3</t>
    </r>
    <r>
      <rPr>
        <b/>
        <i/>
        <sz val="11"/>
        <color rgb="FF0070C0"/>
        <rFont val="Arial"/>
        <family val="2"/>
      </rPr>
      <t xml:space="preserve"> + 3NH</t>
    </r>
    <r>
      <rPr>
        <b/>
        <i/>
        <vertAlign val="subscript"/>
        <sz val="11"/>
        <color rgb="FF0070C0"/>
        <rFont val="Arial"/>
        <family val="2"/>
      </rPr>
      <t>4</t>
    </r>
    <r>
      <rPr>
        <b/>
        <i/>
        <sz val="11"/>
        <color rgb="FF0070C0"/>
        <rFont val="Arial"/>
        <family val="2"/>
      </rPr>
      <t>Cl</t>
    </r>
  </si>
  <si>
    <r>
      <t>Z + 2RSO</t>
    </r>
    <r>
      <rPr>
        <b/>
        <i/>
        <vertAlign val="subscript"/>
        <sz val="11"/>
        <color rgb="FF0070C0"/>
        <rFont val="Arial"/>
        <family val="2"/>
      </rPr>
      <t xml:space="preserve">3 </t>
    </r>
    <r>
      <rPr>
        <b/>
        <i/>
        <sz val="11"/>
        <color rgb="FF0070C0"/>
        <rFont val="Arial"/>
        <family val="2"/>
      </rPr>
      <t>-&gt; (RSO</t>
    </r>
    <r>
      <rPr>
        <b/>
        <i/>
        <vertAlign val="subscript"/>
        <sz val="11"/>
        <color rgb="FF0070C0"/>
        <rFont val="Arial"/>
        <family val="2"/>
      </rPr>
      <t>3</t>
    </r>
    <r>
      <rPr>
        <b/>
        <i/>
        <sz val="11"/>
        <color rgb="FF0070C0"/>
        <rFont val="Arial"/>
        <family val="2"/>
      </rPr>
      <t>)</t>
    </r>
    <r>
      <rPr>
        <b/>
        <i/>
        <vertAlign val="subscript"/>
        <sz val="11"/>
        <color rgb="FF0070C0"/>
        <rFont val="Arial"/>
        <family val="2"/>
      </rPr>
      <t>2</t>
    </r>
    <r>
      <rPr>
        <b/>
        <i/>
        <sz val="11"/>
        <color rgb="FF0070C0"/>
        <rFont val="Arial"/>
        <family val="2"/>
      </rPr>
      <t>ZH</t>
    </r>
    <r>
      <rPr>
        <b/>
        <i/>
        <vertAlign val="subscript"/>
        <sz val="11"/>
        <color rgb="FF0070C0"/>
        <rFont val="Arial"/>
        <family val="2"/>
      </rPr>
      <t>2</t>
    </r>
  </si>
  <si>
    <r>
      <t>(NH4+)</t>
    </r>
    <r>
      <rPr>
        <b/>
        <i/>
        <vertAlign val="subscript"/>
        <sz val="11"/>
        <color rgb="FF0070C0"/>
        <rFont val="Arial"/>
        <family val="2"/>
      </rPr>
      <t>3y</t>
    </r>
    <r>
      <rPr>
        <b/>
        <i/>
        <vertAlign val="superscript"/>
        <sz val="11"/>
        <color rgb="FF0070C0"/>
        <rFont val="Arial"/>
        <family val="2"/>
      </rPr>
      <t>1</t>
    </r>
    <r>
      <rPr>
        <b/>
        <i/>
        <vertAlign val="subscript"/>
        <sz val="11"/>
        <color rgb="FF0070C0"/>
        <rFont val="Arial"/>
        <family val="2"/>
      </rPr>
      <t xml:space="preserve"> </t>
    </r>
    <r>
      <rPr>
        <b/>
        <i/>
        <sz val="11"/>
        <color rgb="FF0070C0"/>
        <rFont val="Arial"/>
        <family val="2"/>
      </rPr>
      <t>+ RE(SO3)3 -&gt; REY</t>
    </r>
    <r>
      <rPr>
        <b/>
        <i/>
        <vertAlign val="superscript"/>
        <sz val="11"/>
        <color rgb="FF0070C0"/>
        <rFont val="Arial"/>
        <family val="2"/>
      </rPr>
      <t>1</t>
    </r>
    <r>
      <rPr>
        <b/>
        <i/>
        <sz val="11"/>
        <color rgb="FF0070C0"/>
        <rFont val="Arial"/>
        <family val="2"/>
      </rPr>
      <t xml:space="preserve"> + H</t>
    </r>
    <r>
      <rPr>
        <b/>
        <i/>
        <vertAlign val="superscript"/>
        <sz val="11"/>
        <color rgb="FF0070C0"/>
        <rFont val="Arial"/>
        <family val="2"/>
      </rPr>
      <t>+</t>
    </r>
    <r>
      <rPr>
        <b/>
        <i/>
        <sz val="11"/>
        <color rgb="FF0070C0"/>
        <rFont val="Arial"/>
        <family val="2"/>
      </rPr>
      <t xml:space="preserve"> + 3RSO</t>
    </r>
    <r>
      <rPr>
        <b/>
        <i/>
        <vertAlign val="subscript"/>
        <sz val="11"/>
        <color rgb="FF0070C0"/>
        <rFont val="Arial"/>
        <family val="2"/>
      </rPr>
      <t>3</t>
    </r>
    <r>
      <rPr>
        <b/>
        <i/>
        <sz val="11"/>
        <color rgb="FF0070C0"/>
        <rFont val="Arial"/>
        <family val="2"/>
      </rPr>
      <t>NH</t>
    </r>
    <r>
      <rPr>
        <b/>
        <i/>
        <vertAlign val="subscript"/>
        <sz val="11"/>
        <color rgb="FF0070C0"/>
        <rFont val="Arial"/>
        <family val="2"/>
      </rPr>
      <t>4</t>
    </r>
  </si>
  <si>
    <r>
      <t>2REY</t>
    </r>
    <r>
      <rPr>
        <b/>
        <i/>
        <vertAlign val="superscript"/>
        <sz val="11"/>
        <color rgb="FF0070C0"/>
        <rFont val="Arial"/>
        <family val="2"/>
      </rPr>
      <t>1</t>
    </r>
    <r>
      <rPr>
        <b/>
        <i/>
        <sz val="11"/>
        <color rgb="FF0070C0"/>
        <rFont val="Arial"/>
        <family val="2"/>
      </rPr>
      <t>H</t>
    </r>
    <r>
      <rPr>
        <b/>
        <i/>
        <vertAlign val="superscript"/>
        <sz val="11"/>
        <color rgb="FF0070C0"/>
        <rFont val="Arial"/>
        <family val="2"/>
      </rPr>
      <t>+</t>
    </r>
    <r>
      <rPr>
        <b/>
        <i/>
        <sz val="11"/>
        <color rgb="FF0070C0"/>
        <rFont val="Arial"/>
        <family val="2"/>
      </rPr>
      <t xml:space="preserve"> + 3(RSO</t>
    </r>
    <r>
      <rPr>
        <b/>
        <i/>
        <vertAlign val="subscript"/>
        <sz val="11"/>
        <color rgb="FF0070C0"/>
        <rFont val="Arial"/>
        <family val="2"/>
      </rPr>
      <t>4</t>
    </r>
    <r>
      <rPr>
        <b/>
        <i/>
        <sz val="11"/>
        <color rgb="FF0070C0"/>
        <rFont val="Arial"/>
        <family val="2"/>
      </rPr>
      <t>)</t>
    </r>
    <r>
      <rPr>
        <b/>
        <i/>
        <vertAlign val="subscript"/>
        <sz val="11"/>
        <color rgb="FF0070C0"/>
        <rFont val="Arial"/>
        <family val="2"/>
      </rPr>
      <t>2</t>
    </r>
    <r>
      <rPr>
        <b/>
        <i/>
        <sz val="11"/>
        <color rgb="FF0070C0"/>
        <rFont val="Arial"/>
        <family val="2"/>
      </rPr>
      <t>ZH</t>
    </r>
    <r>
      <rPr>
        <b/>
        <i/>
        <vertAlign val="subscript"/>
        <sz val="11"/>
        <color rgb="FF0070C0"/>
        <rFont val="Arial"/>
        <family val="2"/>
      </rPr>
      <t>2</t>
    </r>
    <r>
      <rPr>
        <b/>
        <i/>
        <sz val="11"/>
        <color rgb="FF0070C0"/>
        <rFont val="Arial"/>
        <family val="2"/>
      </rPr>
      <t xml:space="preserve"> -&gt; 2(RSO</t>
    </r>
    <r>
      <rPr>
        <b/>
        <i/>
        <vertAlign val="subscript"/>
        <sz val="11"/>
        <color rgb="FF0070C0"/>
        <rFont val="Arial"/>
        <family val="2"/>
      </rPr>
      <t>4</t>
    </r>
    <r>
      <rPr>
        <b/>
        <i/>
        <sz val="11"/>
        <color rgb="FF0070C0"/>
        <rFont val="Arial"/>
        <family val="2"/>
      </rPr>
      <t>)</t>
    </r>
    <r>
      <rPr>
        <b/>
        <i/>
        <vertAlign val="subscript"/>
        <sz val="11"/>
        <color rgb="FF0070C0"/>
        <rFont val="Arial"/>
        <family val="2"/>
      </rPr>
      <t>3</t>
    </r>
    <r>
      <rPr>
        <b/>
        <i/>
        <sz val="11"/>
        <color rgb="FF0070C0"/>
        <rFont val="Arial"/>
        <family val="2"/>
      </rPr>
      <t>RE + 3Z + 2H</t>
    </r>
    <r>
      <rPr>
        <b/>
        <i/>
        <vertAlign val="subscript"/>
        <sz val="11"/>
        <color rgb="FF0070C0"/>
        <rFont val="Arial"/>
        <family val="2"/>
      </rPr>
      <t>4</t>
    </r>
    <r>
      <rPr>
        <b/>
        <i/>
        <sz val="11"/>
        <color rgb="FF0070C0"/>
        <rFont val="Arial"/>
        <family val="2"/>
      </rPr>
      <t>Y</t>
    </r>
  </si>
  <si>
    <r>
      <t>2Ln(EDTA ion)H</t>
    </r>
    <r>
      <rPr>
        <b/>
        <i/>
        <vertAlign val="superscript"/>
        <sz val="11"/>
        <color rgb="FF0070C0"/>
        <rFont val="Arial"/>
        <family val="2"/>
      </rPr>
      <t>+</t>
    </r>
    <r>
      <rPr>
        <b/>
        <i/>
        <sz val="11"/>
        <color rgb="FF0070C0"/>
        <rFont val="Arial"/>
        <family val="2"/>
      </rPr>
      <t xml:space="preserve"> + 3(sulfonic resin)</t>
    </r>
    <r>
      <rPr>
        <b/>
        <i/>
        <vertAlign val="subscript"/>
        <sz val="11"/>
        <color rgb="FF0070C0"/>
        <rFont val="Arial"/>
        <family val="2"/>
      </rPr>
      <t xml:space="preserve">2 </t>
    </r>
    <r>
      <rPr>
        <b/>
        <i/>
        <sz val="11"/>
        <color rgb="FF0070C0"/>
        <rFont val="Arial"/>
        <family val="2"/>
      </rPr>
      <t>(HEDTA)H</t>
    </r>
    <r>
      <rPr>
        <b/>
        <i/>
        <vertAlign val="subscript"/>
        <sz val="11"/>
        <color rgb="FF0070C0"/>
        <rFont val="Arial"/>
        <family val="2"/>
      </rPr>
      <t>2</t>
    </r>
    <r>
      <rPr>
        <b/>
        <i/>
        <sz val="11"/>
        <color rgb="FF0070C0"/>
        <rFont val="Arial"/>
        <family val="2"/>
      </rPr>
      <t xml:space="preserve"> -&gt; 2(sulfonic resin)</t>
    </r>
    <r>
      <rPr>
        <b/>
        <i/>
        <vertAlign val="subscript"/>
        <sz val="11"/>
        <color rgb="FF0070C0"/>
        <rFont val="Arial"/>
        <family val="2"/>
      </rPr>
      <t>3</t>
    </r>
    <r>
      <rPr>
        <b/>
        <i/>
        <sz val="11"/>
        <color rgb="FF0070C0"/>
        <rFont val="Arial"/>
        <family val="2"/>
      </rPr>
      <t>Ln + 3(HEDTA) + 2H</t>
    </r>
    <r>
      <rPr>
        <b/>
        <i/>
        <vertAlign val="subscript"/>
        <sz val="11"/>
        <color rgb="FF0070C0"/>
        <rFont val="Arial"/>
        <family val="2"/>
      </rPr>
      <t>4</t>
    </r>
    <r>
      <rPr>
        <b/>
        <i/>
        <sz val="11"/>
        <color rgb="FF0070C0"/>
        <rFont val="Arial"/>
        <family val="2"/>
      </rPr>
      <t>(EDTA ion)</t>
    </r>
  </si>
  <si>
    <t>[binary] Parameter to select yttrium oxalate as the output</t>
  </si>
  <si>
    <t>Ce_yield+La_yield+Pr_yield+Nd_yield+Sm_yield+Eu_yield+Gd_yield+Tb_yield+Dy_yield+Ho_yield+Er_yield+Tm_yield+Yb_yield+Lu_yield+Y_yield</t>
  </si>
  <si>
    <t>Ce_yield</t>
  </si>
  <si>
    <t>La_yield</t>
  </si>
  <si>
    <t>Pr_yield</t>
  </si>
  <si>
    <t>Nd_yield</t>
  </si>
  <si>
    <t>Sm_yield</t>
  </si>
  <si>
    <t>Eu_yield</t>
  </si>
  <si>
    <t>Gd_yield</t>
  </si>
  <si>
    <t>Tb_yield</t>
  </si>
  <si>
    <t>Dy_yield</t>
  </si>
  <si>
    <t>Ho_yield</t>
  </si>
  <si>
    <t>Er_yield</t>
  </si>
  <si>
    <t>Tm_yield</t>
  </si>
  <si>
    <t>Yb_yield</t>
  </si>
  <si>
    <t>Lu_yield</t>
  </si>
  <si>
    <t>Y_yield</t>
  </si>
  <si>
    <t>RE_yield</t>
  </si>
  <si>
    <t>recovery_rate</t>
  </si>
  <si>
    <t>%RE per RECLl3 6H2O</t>
  </si>
  <si>
    <t>RECLl3 6H2O</t>
  </si>
  <si>
    <t>Reference [8]</t>
  </si>
  <si>
    <t>RESIN</t>
  </si>
  <si>
    <t>ELUENTS</t>
  </si>
  <si>
    <t>OUTPUT</t>
  </si>
  <si>
    <t>Reference [6,8]</t>
  </si>
  <si>
    <t>6M HCl is ideal</t>
  </si>
  <si>
    <t>Özturk, Sema</t>
  </si>
  <si>
    <t>Middle East Technical University</t>
  </si>
  <si>
    <t>Use of Solid Phase Extraction for Preconcentration of Rare Earth Elements: Provence Studies in Çatalhoyuk obsidians</t>
  </si>
  <si>
    <t>June 27, 2014</t>
  </si>
  <si>
    <t>Ozturk, Sema. (2003). Use of Solid Phase Extraction for Preconcentration of Rare Earth Elements: Provence Studies in Çatalhoyuk obsidians. Retrieved June 27, 2014 from http://etd.lib.metu.edu.tr/upload/1206655/index.pdf</t>
  </si>
  <si>
    <t>An Integrated Framework for Treatment and Management of Produced Water: Technical Assessment of Produced Water Treatment Technologies</t>
  </si>
  <si>
    <t>http://aqwatec.mines.edu/produced_water/treat/docs/Tech_Assessment_PW_Treatment_Tech.pdf</t>
  </si>
  <si>
    <t>Jörg E. Drewes, Tzahi Y. Cath, Pei Xu</t>
  </si>
  <si>
    <t>Jörg E. Drewes, Tzahi Y. Cath, Pei Xu. (2009). An Integrated Framework for Treatment and Management of Produced Water: Technical Assessment of Produced Water Treatment Technologies. Colorado School of Mines: Colorado. RPSEA Project 07122-12. Retrieved June 27, 2014 from http://aqwatec.mines.edu/produced_water/treat/docs/Tech_Assessment_PW_Treatment_Tech.pdf</t>
  </si>
  <si>
    <t>Separation of rare earth chlorides in solution using ion exchange</t>
  </si>
  <si>
    <t>[Technosphere] Water used for prior to process to rinse columns</t>
  </si>
  <si>
    <t>[Technosphere] Ion exchange resin used for isolation of rare earth elements</t>
  </si>
  <si>
    <t>[Technosphere] Hydrogen chloride used prior to process for elution as a rinse</t>
  </si>
  <si>
    <t>RE_moles</t>
  </si>
  <si>
    <t>[binary] Parameter to select cerium as the output</t>
  </si>
  <si>
    <t>[binary] Parameter to select lanthanum as the output</t>
  </si>
  <si>
    <t>[binary] Parameter to select praseodymium as the output</t>
  </si>
  <si>
    <t>[binary] Parameter to select neodymium as the output</t>
  </si>
  <si>
    <t>[binary] Parameter to select samarium as the output</t>
  </si>
  <si>
    <t>[binary] Parameter to select europium as the output</t>
  </si>
  <si>
    <t>[binary] Parameter to select gadolinium as the output</t>
  </si>
  <si>
    <t>[binary] Parameter to select terbium as the output</t>
  </si>
  <si>
    <t>[binary] Parameter to select dysprosium as the output</t>
  </si>
  <si>
    <t>[binary] Parameter to select holmium as the output</t>
  </si>
  <si>
    <t>[binary] Parameter to select erbium as the output</t>
  </si>
  <si>
    <t>[binary] Parameter to select thulium as the output</t>
  </si>
  <si>
    <t>[binary] Parameter to select ytterbium as the output</t>
  </si>
  <si>
    <t>[binary] Parameter to select lutetium as the output</t>
  </si>
  <si>
    <t>[kg/kg] kg of separated rare earth chloride hexahydrate output per kg of rare earth chloride hexahydrate input</t>
  </si>
  <si>
    <t xml:space="preserve">pH </t>
  </si>
  <si>
    <t>pH 8.3</t>
  </si>
  <si>
    <t>use 6M HCl to decrease pH to 1.0 to form ReCl3</t>
  </si>
  <si>
    <t>starting pH</t>
  </si>
  <si>
    <t>end pH</t>
  </si>
  <si>
    <t>amount  solution</t>
  </si>
  <si>
    <t>amount 6M HCl required</t>
  </si>
  <si>
    <t>6M</t>
  </si>
  <si>
    <t>mol/L</t>
  </si>
  <si>
    <t>moles H+</t>
  </si>
  <si>
    <t>pH=8.3</t>
  </si>
  <si>
    <t>pH=1</t>
  </si>
  <si>
    <t>H+</t>
  </si>
  <si>
    <t>M</t>
  </si>
  <si>
    <t>Concentration H+</t>
  </si>
  <si>
    <t>Moles H+ in 1L of water</t>
  </si>
  <si>
    <t>Moles 6M HCl</t>
  </si>
  <si>
    <t>Total volume</t>
  </si>
  <si>
    <t>/</t>
  </si>
  <si>
    <t>+</t>
  </si>
  <si>
    <t>plus H2O solution</t>
  </si>
  <si>
    <t>g HCL</t>
  </si>
  <si>
    <t>[kg/kg] kg of water per kg of HCl solution input</t>
  </si>
  <si>
    <t>volume</t>
  </si>
  <si>
    <t>total moles H+ (HCl + H2O+ original solution)</t>
  </si>
  <si>
    <t>pH</t>
  </si>
  <si>
    <t>add 6M HCl solution in H2O until pH is 1.0</t>
  </si>
  <si>
    <t>EDTA precipates out and RECl3·6H2O is left as an aqueous solution</t>
  </si>
  <si>
    <t>This unit process provides a summary of relevant input and output flows associated with selectively adsorbing rare earth metals on an ion exchanger and fractionally eluting them with an aqueous solution of a chelating agent (EDTA or HEDTA) by using ion exchange with a sulfonic resin.</t>
  </si>
  <si>
    <t>[Technosphere] Reference flow rare earth chloride solution</t>
  </si>
  <si>
    <t>Intermediate product</t>
  </si>
  <si>
    <t>[Technosphere] Acid solution used to separate HREEs</t>
  </si>
  <si>
    <t>[Technosphere] Acid solution used to separate LREEs</t>
  </si>
  <si>
    <t>MW</t>
  </si>
  <si>
    <t xml:space="preserve"> mass RECl₃∙H₂O per kg total REO</t>
  </si>
  <si>
    <t>moles_edta</t>
  </si>
  <si>
    <t>MW_edta</t>
  </si>
  <si>
    <t>mass_req_edta</t>
  </si>
  <si>
    <t>Pump head</t>
  </si>
  <si>
    <t>m</t>
  </si>
  <si>
    <t>J/m^3</t>
  </si>
  <si>
    <t>Wh/m^3</t>
  </si>
  <si>
    <t>Wh/l or Wh/kg</t>
  </si>
  <si>
    <t>Density</t>
  </si>
  <si>
    <t>kg/m^3</t>
  </si>
  <si>
    <t>Gravitational acceleration</t>
  </si>
  <si>
    <t>m/s^2</t>
  </si>
  <si>
    <t>Pump efficiency</t>
  </si>
  <si>
    <t>Pump work reqd</t>
  </si>
  <si>
    <t>Assume density of solution is density of water: ~1000 kg/m^3</t>
  </si>
  <si>
    <t>Assumption 13</t>
  </si>
  <si>
    <t>electricity_f</t>
  </si>
  <si>
    <t>[Wh/kg] Wh of electricity per kg of rare earth chloride solution input</t>
  </si>
  <si>
    <t>mixed rare earth chloride hexahydrate</t>
  </si>
  <si>
    <t>Recovery rate of EDTA</t>
  </si>
  <si>
    <t>Recovery rate of HEDTA</t>
  </si>
  <si>
    <t>edta_recovery</t>
  </si>
  <si>
    <t>mass_in_edta</t>
  </si>
  <si>
    <t>[kg/kg] kg of EDTA to makeup for process losses</t>
  </si>
  <si>
    <t>[kg/mol] kg of EDTA per mole</t>
  </si>
  <si>
    <t>[kg/kg] kg of EDTA recovered per kg of required EDTA input</t>
  </si>
  <si>
    <t>moles_hedta</t>
  </si>
  <si>
    <t>MW_hedta</t>
  </si>
  <si>
    <t>mass_req_hedta</t>
  </si>
  <si>
    <t>hedta_recovery</t>
  </si>
  <si>
    <t>mass_in_hedta</t>
  </si>
  <si>
    <t>Ammonium MW</t>
  </si>
  <si>
    <t>soln_conc</t>
  </si>
  <si>
    <t>kg/L</t>
  </si>
  <si>
    <t>HCL_conc_in</t>
  </si>
  <si>
    <t>HCl_in</t>
  </si>
  <si>
    <t>[kg/kg] kg or L of water per kg of mixed rare earth chlorides</t>
  </si>
  <si>
    <t>[kg/kg] kg of EDTA required for the reactoin per kg of mixed rare earth chlorides</t>
  </si>
  <si>
    <t>[kg/kg] moles of EDTA required for the reaction per kg of mixed rare earth chlorides</t>
  </si>
  <si>
    <t>[mol/kg] moles of mixed rare earth chlorides per kg</t>
  </si>
  <si>
    <t>[kg/kg] kg of HCl in per kg of mixed rare earth chlorides</t>
  </si>
  <si>
    <t>water_in</t>
  </si>
  <si>
    <t>[kg/kg] kg of HEDTA to makeup for process losses</t>
  </si>
  <si>
    <t>liquid_waste</t>
  </si>
  <si>
    <t>Liquid waste, to treatment</t>
  </si>
  <si>
    <t>ammonium_out</t>
  </si>
  <si>
    <t>ammon_conc_f</t>
  </si>
  <si>
    <t>ammon_conc</t>
  </si>
  <si>
    <t>[kg/kg] kg of liquid waste (water plus unreclaimed edta plus ammonium)</t>
  </si>
  <si>
    <t>[dimensionless] fraction of edta concentration</t>
  </si>
  <si>
    <t>[kg/kg] kg of ammonium per liter of solution</t>
  </si>
  <si>
    <t>[kg/kg] kg of ammonium per L of eluent solution</t>
  </si>
  <si>
    <t>1,2,4,5</t>
  </si>
  <si>
    <t>1,2,4,5,6</t>
  </si>
  <si>
    <t>5,6</t>
  </si>
  <si>
    <t>1,2,3,4,5</t>
  </si>
  <si>
    <t>resin_lost</t>
  </si>
  <si>
    <t>[kg/kg] kg of resin lost per kg of mixed rare earth chloride solution</t>
  </si>
  <si>
    <t>[kg/kg] moles of HEDTA required for the reaction per kg of mixed rare earth chlorides</t>
  </si>
  <si>
    <t>[kg/mol] kg of HEDTA per mole</t>
  </si>
  <si>
    <t>1,2,4,5,11</t>
  </si>
  <si>
    <t>HEDTA</t>
  </si>
  <si>
    <t>[kg/kg] mass of CeCl₃∙6H₂O produced per kg of rare earth oxide concentrate input</t>
  </si>
  <si>
    <t>[kg/kg] mass of LaCl₃∙6H₂O produced per kg of rare earth oxide concentrate input</t>
  </si>
  <si>
    <t>[kg/kg] mass of PrCl₃∙6H₂O produced per kg of rare earth oxide concentrate input</t>
  </si>
  <si>
    <t>[kg/kg] mass of NdCl₃∙6H₂O produced per kg of rare earth oxide concentrate input</t>
  </si>
  <si>
    <t>[kg/kg] mass of SmCl₃∙6H₂O produced per kg of rare earth chloride concentrate input</t>
  </si>
  <si>
    <t>[kg/kg] mass of EuCl₃∙6H₂O produced per kg of rare earth chloride concentrate input</t>
  </si>
  <si>
    <t>[kg/kg] mass of GdCl₃∙6H₂O produced per kg of rare earth chloride concentrate input</t>
  </si>
  <si>
    <t>[kg/kg] mass of TbCl₃∙6H₂O produced per kg of rare earth chloride concentrate input</t>
  </si>
  <si>
    <t>[kg/kg] mass of DyCl₃∙6H₂O produced per kg of rare earth chloride concentrate input</t>
  </si>
  <si>
    <t>[kg/kg] mass of HoCl₃∙6H₂O produced per kg of rare earth chloride concentrate input</t>
  </si>
  <si>
    <t>[kg/kg] mass of ErCl₃∙6H₂O produced per kg of rare earth chloride concentrate input</t>
  </si>
  <si>
    <t>[kg/kg] mass of TmCl₃∙6H₂O produced per kg of rare earth chloride concentrate input</t>
  </si>
  <si>
    <t>[kg/kg] mass of YbCl₃∙6H₂O produced per kg of rare earth chloride concentrate input</t>
  </si>
  <si>
    <t>[kg/kg] mass of LuCl₃∙6H₂O produced per kg of rare earth chloride concentrate input</t>
  </si>
  <si>
    <t>[kg/kg] mass of YCl₃∙6H₂O produced per kg of rare earth chloride concentrate input</t>
  </si>
  <si>
    <t>Specific heat of water</t>
  </si>
  <si>
    <t>Thermophysical Properties of Fluid Systems. National Institute of Standards and Technology</t>
  </si>
  <si>
    <t>Lemmon, E. W., Linden, M. O., &amp; Friend, D. G.</t>
  </si>
  <si>
    <t>n.d.</t>
  </si>
  <si>
    <t xml:space="preserve"> </t>
  </si>
  <si>
    <t>September 18, 2012</t>
  </si>
  <si>
    <t>Lemmon, E. W., Linden, M. O., &amp; Friend, D. G. (n. d.). Thermophysical Properties of Fluid Systems. National Institute of Standards and Technology Retrieved September 18, 2012, from http://webbook.nist.gov</t>
  </si>
  <si>
    <t>Assume starting temperature</t>
  </si>
  <si>
    <t>C</t>
  </si>
  <si>
    <t>Final temperature</t>
  </si>
  <si>
    <t>(average of 85-95 C)</t>
  </si>
  <si>
    <t>kJ/kg-K @ 20C and 1 atm</t>
  </si>
  <si>
    <t>cp_water</t>
  </si>
  <si>
    <t>starting_temp</t>
  </si>
  <si>
    <t>[deg C] starting temperature of water</t>
  </si>
  <si>
    <t>Reference [12], Assumption [14]</t>
  </si>
  <si>
    <t>Assume water specific heat is dominant for heat energy input. We're also neglecting heat losses. Given the relatively low temperatures, vessels could be designed to make these losses negligble</t>
  </si>
  <si>
    <t>ending_temp</t>
  </si>
  <si>
    <t>heat_input</t>
  </si>
  <si>
    <t>kJ</t>
  </si>
  <si>
    <t>[kJ/kg] kJ of heat required to increase temperature of solution per kg of mixed rare earth chlorides</t>
  </si>
  <si>
    <t>[deg C] final temperature of water</t>
  </si>
  <si>
    <t>kJ/kg-ΔC</t>
  </si>
  <si>
    <t>Heat</t>
  </si>
  <si>
    <t>[Technosphere] Heat energy</t>
  </si>
  <si>
    <t>HEDTA, EDTA</t>
  </si>
  <si>
    <t>Hydrochloric Acid, liquid waste</t>
  </si>
  <si>
    <t>[kJ/kg-ΔC] specific heat of water</t>
  </si>
  <si>
    <t>separated rare earth chloride hexahydrate</t>
  </si>
  <si>
    <t>Reference [3,4,5,6], Assumption [5]</t>
  </si>
  <si>
    <t>3,4,5,6</t>
  </si>
  <si>
    <t>3,4,5,6,12</t>
  </si>
  <si>
    <t>Ammonium-EDTA</t>
  </si>
  <si>
    <t>This unit process is composed of this document and the file, DF_Stage1_O_Rare_Earth_Ion_Exchange_2014.01.docx, which provides additional details regarding calculations, data quality, and references as relevant.</t>
  </si>
  <si>
    <t>[kg/kg] kg of of HEDTA per kg of mixed rare earth chlorides</t>
  </si>
  <si>
    <t>[kg/kg] kg of HEDA that is recoverable</t>
  </si>
  <si>
    <t>Liquid waste - water, ammonium, EDTA</t>
  </si>
  <si>
    <t>Uncertainty</t>
  </si>
  <si>
    <t>Ce_conc*Ce*recovery_rate</t>
  </si>
  <si>
    <t>La_conc*La*recovery_rate</t>
  </si>
  <si>
    <t>Pr_conc*Pr*recovery_rate</t>
  </si>
  <si>
    <t>Nd_conc*Nd*recovery_rate</t>
  </si>
  <si>
    <t>Sm_conc*Sm*recovery_rate</t>
  </si>
  <si>
    <t>Eu_conc*Eu*recovery_rate</t>
  </si>
  <si>
    <t>Gd_conc*Gd*recovery_rate</t>
  </si>
  <si>
    <t>Tb_conc*Tb*recovery_rate</t>
  </si>
  <si>
    <t>Dy_conc*Dy*recovery_rate</t>
  </si>
  <si>
    <t>Ho_conc*Ho*recovery_rate</t>
  </si>
  <si>
    <t>Er_conc*Er*recovery_rate</t>
  </si>
  <si>
    <t>Tm_conc*Tm*recovery_rate</t>
  </si>
  <si>
    <t>Yb_conc*Yb*recovery_rate</t>
  </si>
  <si>
    <t>Lu_conc*Lu*recovery_rate</t>
  </si>
  <si>
    <t>Y_conc*Y*recovery_rate</t>
  </si>
  <si>
    <t>(Ce_conc/Ce_MW+La_conc/La_MW+Pr_conc/Pr_MW+Nd_conc/Nd_MW+Sm_conc/Sm_MW+Eu_conc/Eu_MW+Gd_conc/Gd_MW+Tb_conc/Tb_MW+Dy_conc/Dy_MW+Ho_conc/Ho_MW+Er_conc/Er_MW+Tm_conc/Tm_MW+Yb_conc/Yb_MW+Lu_conc/Lu_MW+Y_conc/Y_MW)/recovery_rate</t>
  </si>
  <si>
    <t>moles_edta*MW_edta</t>
  </si>
  <si>
    <t>mass_req_edta/soln_conc</t>
  </si>
  <si>
    <t>water_in*electricity_f</t>
  </si>
  <si>
    <t>mass_req_edta*(1-edta_recovery)</t>
  </si>
  <si>
    <t>moles_hedta*MW_hedta</t>
  </si>
  <si>
    <t>mass_req_hedta*(1-hedta_recovery)</t>
  </si>
  <si>
    <t>HCL_conc_in*water_in</t>
  </si>
  <si>
    <t>water_in+mass_in_edta+ammonium_out</t>
  </si>
  <si>
    <t>ammon_conc_f*soln_conc</t>
  </si>
  <si>
    <t>ammon_conc*water_in</t>
  </si>
  <si>
    <t>cp_water*water_in*(ending_temp-starting_temp)</t>
  </si>
  <si>
    <t>binary</t>
  </si>
  <si>
    <t>[kg/L] kg of HEDTA/EDTA/Rare earth per kg of rare earth chloride concentrate</t>
  </si>
  <si>
    <t>4.1841</t>
  </si>
  <si>
    <t>Solve for volume here to achieve pH of 1 in H75.</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</si>
</sst>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8" formatCode="&quot;$&quot;#,##0.00_);[Red]\(&quot;$&quot;#,##0.00\)"/>
    <numFmt numFmtId="41" formatCode="_(* #,##0_);_(* \(#,##0\);_(* &quot;-&quot;_);_(@_)"/>
    <numFmt numFmtId="43" formatCode="_(* #,##0.00_);_(* \(#,##0.00\);_(* &quot;-&quot;??_);_(@_)"/>
    <numFmt numFmtId="164" formatCode="0.0000"/>
    <numFmt numFmtId="165" formatCode="0.000"/>
    <numFmt numFmtId="166" formatCode="m/d/yy\ h:mm"/>
    <numFmt numFmtId="167" formatCode="_ [$€-2]\ * #,##0.00_ ;_ [$€-2]\ * \-#,##0.00_ ;_ [$€-2]\ * &quot;-&quot;??_ "/>
    <numFmt numFmtId="168" formatCode="mmm\ dd\,\ yyyy"/>
    <numFmt numFmtId="169" formatCode="mmm\-yyyy"/>
    <numFmt numFmtId="170" formatCode="yyyy"/>
    <numFmt numFmtId="171" formatCode="[=0]&quot;&quot;;General"/>
    <numFmt numFmtId="172" formatCode="0.00E+0;[=0]&quot;-&quot;;0.00E+0"/>
    <numFmt numFmtId="173" formatCode="0.0"/>
    <numFmt numFmtId="174" formatCode="0.00000"/>
    <numFmt numFmtId="175" formatCode="0.000E+00"/>
    <numFmt numFmtId="176" formatCode="0.0E+00"/>
    <numFmt numFmtId="177" formatCode="0.0000000"/>
  </numFmts>
  <fonts count="70"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8"/>
      <name val="Times"/>
      <family val="1"/>
    </font>
    <font>
      <sz val="10"/>
      <name val="Arial"/>
      <family val="2"/>
    </font>
    <font>
      <vertAlign val="superscript"/>
      <sz val="10"/>
      <name val="Arial"/>
      <family val="2"/>
    </font>
    <font>
      <sz val="11"/>
      <color theme="1"/>
      <name val="Arial"/>
      <family val="2"/>
    </font>
    <font>
      <b/>
      <sz val="11"/>
      <color theme="1"/>
      <name val="Arial"/>
      <family val="2"/>
    </font>
    <font>
      <vertAlign val="subscript"/>
      <sz val="11"/>
      <color theme="1"/>
      <name val="Arial"/>
      <family val="2"/>
    </font>
    <font>
      <i/>
      <sz val="11"/>
      <color theme="1"/>
      <name val="Arial"/>
      <family val="2"/>
    </font>
    <font>
      <u/>
      <sz val="10"/>
      <name val="Arial"/>
      <family val="2"/>
    </font>
    <font>
      <vertAlign val="subscript"/>
      <sz val="10"/>
      <color theme="1"/>
      <name val="Arial"/>
      <family val="2"/>
    </font>
    <font>
      <vertAlign val="superscript"/>
      <sz val="10"/>
      <color theme="1"/>
      <name val="Arial"/>
      <family val="2"/>
    </font>
    <font>
      <b/>
      <sz val="10"/>
      <color theme="3"/>
      <name val="Arial"/>
      <family val="2"/>
    </font>
    <font>
      <vertAlign val="superscript"/>
      <sz val="11"/>
      <color theme="1"/>
      <name val="Arial"/>
      <family val="2"/>
    </font>
    <font>
      <b/>
      <i/>
      <sz val="11"/>
      <color rgb="FF0070C0"/>
      <name val="Arial"/>
      <family val="2"/>
    </font>
    <font>
      <b/>
      <i/>
      <vertAlign val="subscript"/>
      <sz val="11"/>
      <color rgb="FF0070C0"/>
      <name val="Arial"/>
      <family val="2"/>
    </font>
    <font>
      <b/>
      <i/>
      <vertAlign val="superscript"/>
      <sz val="11"/>
      <color rgb="FF0070C0"/>
      <name val="Arial"/>
      <family val="2"/>
    </font>
    <font>
      <b/>
      <sz val="12"/>
      <color rgb="FF0070C0"/>
      <name val="Arial"/>
      <family val="2"/>
    </font>
    <font>
      <sz val="10"/>
      <color rgb="FF000000"/>
      <name val="Helvetica"/>
      <family val="2"/>
    </font>
    <font>
      <i/>
      <sz val="10"/>
      <color theme="1"/>
      <name val="Arial"/>
      <family val="2"/>
    </font>
    <font>
      <b/>
      <i/>
      <sz val="10"/>
      <color rgb="FF0070C0"/>
      <name val="Arial"/>
      <family val="2"/>
    </font>
  </fonts>
  <fills count="4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theme="6" tint="0.79998168889431442"/>
        <bgColor indexed="64"/>
      </patternFill>
    </fill>
  </fills>
  <borders count="5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106">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2" fillId="26"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33" borderId="0" applyNumberFormat="0" applyBorder="0" applyAlignment="0" applyProtection="0"/>
    <xf numFmtId="0" fontId="33" fillId="17" borderId="0" applyNumberFormat="0" applyBorder="0" applyAlignment="0" applyProtection="0"/>
    <xf numFmtId="0" fontId="34" fillId="34" borderId="44" applyNumberFormat="0" applyAlignment="0" applyProtection="0"/>
    <xf numFmtId="0" fontId="35" fillId="35" borderId="45" applyNumberFormat="0" applyAlignment="0" applyProtection="0"/>
    <xf numFmtId="43" fontId="4" fillId="0" borderId="0" applyFont="0" applyFill="0" applyBorder="0" applyAlignment="0" applyProtection="0"/>
    <xf numFmtId="166" fontId="4" fillId="0" borderId="0" applyFont="0" applyFill="0" applyBorder="0" applyAlignment="0" applyProtection="0">
      <alignment wrapText="1"/>
    </xf>
    <xf numFmtId="166" fontId="4" fillId="0" borderId="0" applyFont="0" applyFill="0" applyBorder="0" applyAlignment="0" applyProtection="0">
      <alignment wrapText="1"/>
    </xf>
    <xf numFmtId="167" fontId="25" fillId="0" borderId="0" applyFont="0" applyFill="0" applyBorder="0" applyAlignment="0" applyProtection="0">
      <alignment vertical="center"/>
    </xf>
    <xf numFmtId="0" fontId="36" fillId="0" borderId="0" applyNumberFormat="0" applyFill="0" applyBorder="0" applyAlignment="0" applyProtection="0"/>
    <xf numFmtId="0" fontId="37" fillId="18" borderId="0" applyNumberFormat="0" applyBorder="0" applyAlignment="0" applyProtection="0"/>
    <xf numFmtId="0" fontId="38" fillId="0" borderId="46"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21" borderId="44" applyNumberFormat="0" applyAlignment="0" applyProtection="0"/>
    <xf numFmtId="0" fontId="43" fillId="0" borderId="49" applyNumberFormat="0" applyFill="0" applyAlignment="0" applyProtection="0"/>
    <xf numFmtId="0" fontId="44" fillId="36" borderId="0" applyNumberFormat="0" applyBorder="0" applyAlignment="0" applyProtection="0"/>
    <xf numFmtId="0" fontId="4" fillId="0" borderId="0"/>
    <xf numFmtId="0" fontId="4" fillId="37" borderId="50" applyNumberFormat="0" applyFont="0" applyAlignment="0" applyProtection="0"/>
    <xf numFmtId="0" fontId="4" fillId="37" borderId="50" applyNumberFormat="0" applyFont="0" applyAlignment="0" applyProtection="0"/>
    <xf numFmtId="0" fontId="45" fillId="34"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52" applyNumberFormat="0" applyProtection="0">
      <alignment horizontal="center" wrapText="1"/>
    </xf>
    <xf numFmtId="0" fontId="6" fillId="38" borderId="53"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4" applyNumberFormat="0">
      <alignment wrapText="1"/>
    </xf>
    <xf numFmtId="0" fontId="4" fillId="40" borderId="54"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8" fontId="4" fillId="0" borderId="0" applyFill="0" applyBorder="0" applyAlignment="0" applyProtection="0">
      <alignment wrapText="1"/>
    </xf>
    <xf numFmtId="168" fontId="4" fillId="0" borderId="0" applyFill="0" applyBorder="0" applyAlignment="0" applyProtection="0">
      <alignmen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6"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1" fontId="47" fillId="0" borderId="0">
      <alignment horizontal="center" vertical="center"/>
    </xf>
    <xf numFmtId="0" fontId="48" fillId="0" borderId="0" applyNumberFormat="0" applyFill="0" applyBorder="0" applyAlignment="0" applyProtection="0"/>
    <xf numFmtId="0" fontId="49" fillId="0" borderId="55" applyNumberFormat="0" applyFill="0" applyAlignment="0" applyProtection="0"/>
    <xf numFmtId="0" fontId="50" fillId="0" borderId="0" applyNumberFormat="0" applyFill="0" applyBorder="0" applyAlignment="0" applyProtection="0"/>
    <xf numFmtId="172" fontId="4" fillId="0" borderId="0">
      <alignment horizontal="center" vertical="center"/>
    </xf>
    <xf numFmtId="172" fontId="4" fillId="0" borderId="0">
      <alignment horizontal="center" vertical="center"/>
    </xf>
    <xf numFmtId="0" fontId="51" fillId="0" borderId="0"/>
    <xf numFmtId="41" fontId="4" fillId="0" borderId="0" applyFont="0" applyFill="0" applyBorder="0" applyAlignment="0" applyProtection="0"/>
    <xf numFmtId="41" fontId="52" fillId="0" borderId="0" applyFont="0" applyFill="0" applyBorder="0" applyAlignment="0" applyProtection="0"/>
    <xf numFmtId="43" fontId="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0" fontId="52" fillId="0" borderId="0"/>
    <xf numFmtId="9" fontId="1" fillId="0" borderId="0" applyFont="0" applyFill="0" applyBorder="0" applyAlignment="0" applyProtection="0"/>
  </cellStyleXfs>
  <cellXfs count="529">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6" fillId="0" borderId="18" xfId="2" applyFont="1" applyBorder="1" applyProtection="1">
      <protection locked="0"/>
    </xf>
    <xf numFmtId="0" fontId="6" fillId="7" borderId="0" xfId="2" applyFont="1" applyFill="1" applyBorder="1" applyAlignment="1" applyProtection="1">
      <alignment horizontal="left"/>
      <protection locked="0"/>
    </xf>
    <xf numFmtId="0" fontId="9" fillId="2" borderId="0" xfId="2" applyFont="1" applyFill="1"/>
    <xf numFmtId="0" fontId="11" fillId="8" borderId="19" xfId="2" applyFont="1" applyFill="1" applyBorder="1"/>
    <xf numFmtId="0" fontId="12" fillId="8" borderId="24" xfId="0" applyFont="1" applyFill="1" applyBorder="1"/>
    <xf numFmtId="0" fontId="8" fillId="2" borderId="0" xfId="2" applyFont="1" applyFill="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15" fillId="0" borderId="16" xfId="0" applyFont="1" applyBorder="1" applyAlignment="1">
      <alignment vertical="top"/>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10" fillId="2" borderId="0" xfId="2" applyFont="1" applyFill="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19"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42" xfId="2" applyFont="1" applyFill="1" applyBorder="1" applyAlignment="1">
      <alignment horizontal="center"/>
    </xf>
    <xf numFmtId="0" fontId="25" fillId="0" borderId="42" xfId="2" applyFont="1" applyBorder="1" applyAlignment="1">
      <alignment wrapText="1"/>
    </xf>
    <xf numFmtId="0" fontId="26"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15" fillId="0" borderId="9" xfId="2" applyFont="1" applyFill="1" applyBorder="1"/>
    <xf numFmtId="0" fontId="15" fillId="0" borderId="22" xfId="0" applyFont="1" applyBorder="1"/>
    <xf numFmtId="0" fontId="30" fillId="0" borderId="0" xfId="0" applyFont="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15" fillId="0" borderId="0" xfId="0" applyFont="1" applyBorder="1"/>
    <xf numFmtId="0" fontId="17" fillId="0" borderId="23" xfId="2" applyFont="1" applyFill="1" applyBorder="1" applyAlignment="1">
      <alignment horizontal="center"/>
    </xf>
    <xf numFmtId="0" fontId="15" fillId="0" borderId="23" xfId="0" applyFont="1" applyBorder="1"/>
    <xf numFmtId="0" fontId="29" fillId="0" borderId="9" xfId="2" applyFont="1" applyFill="1" applyBorder="1"/>
    <xf numFmtId="0" fontId="30" fillId="0" borderId="9" xfId="2" applyFont="1" applyFill="1" applyBorder="1"/>
    <xf numFmtId="0" fontId="30" fillId="0" borderId="25" xfId="2" applyFont="1" applyFill="1" applyBorder="1"/>
    <xf numFmtId="0" fontId="29" fillId="0" borderId="24" xfId="2" applyFont="1" applyFill="1" applyBorder="1"/>
    <xf numFmtId="0" fontId="11" fillId="0" borderId="0" xfId="2" applyFont="1" applyAlignment="1"/>
    <xf numFmtId="0" fontId="15" fillId="6" borderId="9" xfId="2" applyFont="1" applyFill="1" applyBorder="1" applyAlignment="1"/>
    <xf numFmtId="0" fontId="15" fillId="0" borderId="0" xfId="0" applyFont="1" applyFill="1" applyBorder="1" applyAlignment="1">
      <alignment horizontal="center"/>
    </xf>
    <xf numFmtId="0" fontId="15" fillId="0" borderId="9" xfId="2" applyFont="1" applyFill="1" applyBorder="1" applyAlignment="1"/>
    <xf numFmtId="0" fontId="30" fillId="0" borderId="0" xfId="0" applyFont="1" applyFill="1" applyBorder="1"/>
    <xf numFmtId="0" fontId="4" fillId="5" borderId="9" xfId="2" applyFont="1" applyFill="1" applyBorder="1" applyAlignment="1">
      <alignment horizontal="left" vertical="center" wrapText="1"/>
    </xf>
    <xf numFmtId="0" fontId="4" fillId="0" borderId="16" xfId="2" applyFont="1" applyBorder="1" applyAlignment="1">
      <alignment horizontal="center"/>
    </xf>
    <xf numFmtId="0" fontId="4" fillId="0" borderId="16" xfId="2" applyBorder="1" applyAlignment="1">
      <alignment horizontal="center"/>
    </xf>
    <xf numFmtId="11" fontId="15" fillId="10" borderId="16" xfId="0" applyNumberFormat="1" applyFont="1" applyFill="1" applyBorder="1" applyAlignment="1" applyProtection="1">
      <alignment vertical="top"/>
      <protection hidden="1"/>
    </xf>
    <xf numFmtId="0" fontId="15" fillId="0" borderId="0" xfId="2" applyFont="1" applyFill="1" applyBorder="1"/>
    <xf numFmtId="0" fontId="15" fillId="6" borderId="20" xfId="2" applyFont="1" applyFill="1" applyBorder="1" applyAlignment="1"/>
    <xf numFmtId="0" fontId="30" fillId="0" borderId="20" xfId="2" applyFont="1" applyFill="1" applyBorder="1"/>
    <xf numFmtId="0" fontId="0" fillId="0" borderId="10" xfId="0" applyBorder="1" applyAlignment="1">
      <alignment horizontal="left" vertical="center" wrapText="1"/>
    </xf>
    <xf numFmtId="0" fontId="4" fillId="0" borderId="0" xfId="98" applyFont="1" applyBorder="1" applyAlignment="1" applyProtection="1">
      <alignment vertical="center"/>
      <protection locked="0"/>
    </xf>
    <xf numFmtId="0" fontId="22" fillId="0" borderId="0" xfId="3" applyFill="1" applyAlignment="1" applyProtection="1">
      <alignment horizontal="left" vertical="top" wrapText="1"/>
      <protection locked="0"/>
    </xf>
    <xf numFmtId="0" fontId="15" fillId="0" borderId="0" xfId="0" applyFont="1" applyFill="1" applyBorder="1"/>
    <xf numFmtId="0" fontId="0" fillId="0" borderId="0" xfId="0" applyFill="1"/>
    <xf numFmtId="0" fontId="15" fillId="0" borderId="0" xfId="0" applyFont="1" applyFill="1"/>
    <xf numFmtId="0" fontId="4" fillId="0" borderId="0" xfId="98" applyFont="1" applyFill="1" applyBorder="1" applyAlignment="1" applyProtection="1">
      <alignment vertical="center"/>
      <protection locked="0"/>
    </xf>
    <xf numFmtId="0" fontId="15" fillId="6" borderId="0" xfId="2" applyFont="1" applyFill="1" applyBorder="1" applyAlignment="1"/>
    <xf numFmtId="0" fontId="30" fillId="0" borderId="0" xfId="2" applyFont="1" applyFill="1" applyBorder="1"/>
    <xf numFmtId="49" fontId="15" fillId="0" borderId="0" xfId="0" applyNumberFormat="1" applyFon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22" fillId="13" borderId="0" xfId="3" applyNumberFormat="1" applyFill="1" applyAlignment="1" applyProtection="1">
      <alignment vertical="top" wrapText="1"/>
      <protection locked="0"/>
    </xf>
    <xf numFmtId="49" fontId="22" fillId="0" borderId="0" xfId="3" applyNumberFormat="1" applyFill="1" applyAlignment="1" applyProtection="1">
      <alignment vertical="top" wrapText="1"/>
      <protection locked="0"/>
    </xf>
    <xf numFmtId="0" fontId="4" fillId="0" borderId="0" xfId="2" applyFont="1" applyAlignment="1">
      <alignment horizontal="left" vertical="top" wrapText="1"/>
    </xf>
    <xf numFmtId="0" fontId="22" fillId="0" borderId="0" xfId="3" applyFill="1" applyAlignment="1" applyProtection="1">
      <alignment horizontal="left" vertical="top"/>
      <protection locked="0"/>
    </xf>
    <xf numFmtId="49" fontId="4" fillId="0" borderId="0" xfId="0"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54" fillId="0" borderId="0" xfId="0" applyFont="1" applyFill="1" applyBorder="1"/>
    <xf numFmtId="0" fontId="54" fillId="0" borderId="0" xfId="0" applyFont="1"/>
    <xf numFmtId="0" fontId="15" fillId="0" borderId="0" xfId="0" applyFont="1" applyFill="1" applyBorder="1" applyAlignment="1"/>
    <xf numFmtId="0" fontId="4" fillId="0" borderId="0" xfId="0" applyFont="1" applyFill="1"/>
    <xf numFmtId="0" fontId="55" fillId="0" borderId="0" xfId="0" applyFont="1"/>
    <xf numFmtId="0" fontId="15" fillId="0" borderId="22" xfId="0" applyFont="1" applyFill="1" applyBorder="1" applyAlignment="1"/>
    <xf numFmtId="0" fontId="15" fillId="0" borderId="22" xfId="0" applyFont="1" applyFill="1" applyBorder="1"/>
    <xf numFmtId="0" fontId="30" fillId="0" borderId="22" xfId="0" applyFont="1" applyBorder="1" applyAlignment="1">
      <alignment horizontal="right"/>
    </xf>
    <xf numFmtId="0" fontId="54" fillId="0" borderId="0" xfId="0" applyFont="1" applyFill="1" applyBorder="1" applyAlignment="1">
      <alignment horizontal="left"/>
    </xf>
    <xf numFmtId="0" fontId="15" fillId="0" borderId="0" xfId="2" applyFont="1" applyFill="1" applyAlignment="1">
      <alignment horizontal="left"/>
    </xf>
    <xf numFmtId="0" fontId="15" fillId="0" borderId="0" xfId="2" applyFont="1" applyFill="1"/>
    <xf numFmtId="0" fontId="15" fillId="0" borderId="22" xfId="2" applyFont="1" applyFill="1" applyBorder="1"/>
    <xf numFmtId="0" fontId="4" fillId="0" borderId="9" xfId="2" applyBorder="1"/>
    <xf numFmtId="0" fontId="4" fillId="0" borderId="10" xfId="2" applyBorder="1"/>
    <xf numFmtId="0" fontId="4" fillId="0" borderId="10" xfId="2" applyBorder="1" applyAlignment="1">
      <alignment horizontal="right"/>
    </xf>
    <xf numFmtId="0" fontId="58" fillId="0" borderId="10" xfId="2" applyFont="1" applyBorder="1"/>
    <xf numFmtId="0" fontId="4" fillId="0" borderId="10" xfId="2" applyFont="1" applyBorder="1"/>
    <xf numFmtId="173" fontId="15" fillId="0" borderId="0" xfId="0" applyNumberFormat="1" applyFont="1"/>
    <xf numFmtId="0" fontId="15" fillId="0" borderId="0" xfId="0" applyFont="1" applyAlignment="1">
      <alignment wrapText="1"/>
    </xf>
    <xf numFmtId="11" fontId="15" fillId="0" borderId="0" xfId="0" applyNumberFormat="1" applyFont="1"/>
    <xf numFmtId="173" fontId="15" fillId="0" borderId="0" xfId="0" applyNumberFormat="1" applyFont="1" applyFill="1" applyBorder="1"/>
    <xf numFmtId="173" fontId="4" fillId="0" borderId="0" xfId="2" applyNumberFormat="1" applyFont="1"/>
    <xf numFmtId="0" fontId="4" fillId="0" borderId="0" xfId="2" applyFont="1" applyAlignment="1">
      <alignment wrapText="1"/>
    </xf>
    <xf numFmtId="11" fontId="4" fillId="0" borderId="0" xfId="2" applyNumberFormat="1" applyFont="1"/>
    <xf numFmtId="173" fontId="4" fillId="0" borderId="0" xfId="2" applyNumberFormat="1" applyFont="1" applyFill="1"/>
    <xf numFmtId="0" fontId="4" fillId="0" borderId="0" xfId="2" applyFont="1" applyFill="1" applyAlignment="1">
      <alignment wrapText="1"/>
    </xf>
    <xf numFmtId="11" fontId="4" fillId="0" borderId="0" xfId="2" applyNumberFormat="1" applyFont="1" applyFill="1"/>
    <xf numFmtId="173" fontId="15" fillId="0" borderId="0" xfId="0" applyNumberFormat="1" applyFont="1" applyFill="1"/>
    <xf numFmtId="0" fontId="15" fillId="0" borderId="0" xfId="0" applyFont="1" applyFill="1" applyAlignment="1">
      <alignment wrapText="1"/>
    </xf>
    <xf numFmtId="11" fontId="15" fillId="0" borderId="0" xfId="0" applyNumberFormat="1" applyFont="1" applyFill="1"/>
    <xf numFmtId="173" fontId="14" fillId="0" borderId="0" xfId="0" applyNumberFormat="1" applyFont="1" applyFill="1" applyBorder="1" applyAlignment="1">
      <alignment horizontal="right" vertical="center"/>
    </xf>
    <xf numFmtId="1" fontId="15" fillId="0" borderId="0" xfId="0" applyNumberFormat="1" applyFont="1" applyFill="1"/>
    <xf numFmtId="1" fontId="4" fillId="0" borderId="0" xfId="2" applyNumberFormat="1" applyFont="1" applyFill="1"/>
    <xf numFmtId="165" fontId="15" fillId="0" borderId="0" xfId="0" applyNumberFormat="1" applyFont="1" applyFill="1"/>
    <xf numFmtId="173" fontId="4" fillId="0" borderId="0" xfId="0" applyNumberFormat="1" applyFont="1" applyFill="1"/>
    <xf numFmtId="0" fontId="4" fillId="0" borderId="0" xfId="0" applyFont="1" applyFill="1" applyBorder="1" applyAlignment="1">
      <alignment wrapText="1"/>
    </xf>
    <xf numFmtId="2" fontId="4" fillId="0" borderId="0" xfId="0" applyNumberFormat="1" applyFont="1" applyFill="1"/>
    <xf numFmtId="1" fontId="4" fillId="0" borderId="0" xfId="0" applyNumberFormat="1" applyFont="1" applyFill="1"/>
    <xf numFmtId="2" fontId="4" fillId="0" borderId="0" xfId="2" applyNumberFormat="1" applyFont="1"/>
    <xf numFmtId="0" fontId="3" fillId="0" borderId="0" xfId="0" applyFont="1" applyAlignment="1">
      <alignment horizontal="center" vertical="center" wrapText="1"/>
    </xf>
    <xf numFmtId="0" fontId="1" fillId="0" borderId="0" xfId="0" applyFont="1"/>
    <xf numFmtId="11" fontId="1" fillId="0" borderId="0" xfId="0" applyNumberFormat="1" applyFont="1"/>
    <xf numFmtId="0" fontId="1" fillId="0" borderId="0" xfId="0" applyFont="1" applyFill="1"/>
    <xf numFmtId="0" fontId="0" fillId="0" borderId="0" xfId="0" applyFont="1"/>
    <xf numFmtId="0" fontId="0" fillId="0" borderId="0" xfId="0" applyFont="1" applyFill="1"/>
    <xf numFmtId="0" fontId="3" fillId="0" borderId="0" xfId="0" applyFont="1" applyAlignment="1">
      <alignment horizontal="center"/>
    </xf>
    <xf numFmtId="0" fontId="0" fillId="0" borderId="0" xfId="0" applyFont="1" applyFill="1" applyBorder="1"/>
    <xf numFmtId="164" fontId="15" fillId="0" borderId="0" xfId="0" applyNumberFormat="1" applyFont="1" applyFill="1" applyBorder="1" applyAlignment="1">
      <alignment horizontal="center"/>
    </xf>
    <xf numFmtId="164" fontId="15" fillId="0" borderId="0" xfId="0" applyNumberFormat="1" applyFont="1" applyFill="1" applyBorder="1" applyAlignment="1">
      <alignment horizontal="center" wrapText="1"/>
    </xf>
    <xf numFmtId="165" fontId="15" fillId="0" borderId="0" xfId="0" applyNumberFormat="1" applyFont="1" applyBorder="1"/>
    <xf numFmtId="165" fontId="0" fillId="0" borderId="0" xfId="0" applyNumberFormat="1"/>
    <xf numFmtId="0" fontId="3" fillId="0" borderId="0" xfId="0" applyFont="1" applyBorder="1" applyAlignment="1">
      <alignment horizontal="center" vertical="center" wrapText="1"/>
    </xf>
    <xf numFmtId="0" fontId="0" fillId="0" borderId="0" xfId="0" applyBorder="1"/>
    <xf numFmtId="0" fontId="0" fillId="0" borderId="0" xfId="0" applyFont="1" applyBorder="1" applyAlignment="1">
      <alignment wrapText="1"/>
    </xf>
    <xf numFmtId="0" fontId="1" fillId="0" borderId="0" xfId="0" applyFont="1" applyBorder="1"/>
    <xf numFmtId="0" fontId="3" fillId="0" borderId="0" xfId="0" applyFont="1" applyFill="1" applyAlignment="1">
      <alignment horizontal="center" vertical="center" wrapText="1"/>
    </xf>
    <xf numFmtId="0" fontId="30" fillId="0" borderId="0" xfId="0" applyFont="1" applyFill="1" applyAlignment="1">
      <alignment horizontal="center" wrapText="1"/>
    </xf>
    <xf numFmtId="0" fontId="30" fillId="0" borderId="0" xfId="0" applyFont="1" applyFill="1" applyAlignment="1">
      <alignment horizontal="center" vertical="center" wrapText="1"/>
    </xf>
    <xf numFmtId="0" fontId="30" fillId="0" borderId="0" xfId="0" applyFont="1" applyFill="1"/>
    <xf numFmtId="0" fontId="15" fillId="6" borderId="0" xfId="0" applyFont="1" applyFill="1"/>
    <xf numFmtId="164" fontId="15" fillId="0" borderId="0" xfId="0" applyNumberFormat="1" applyFont="1"/>
    <xf numFmtId="0" fontId="30" fillId="0" borderId="0" xfId="0" applyFont="1" applyAlignment="1">
      <alignment horizontal="center" vertical="center" wrapText="1"/>
    </xf>
    <xf numFmtId="0" fontId="3" fillId="0" borderId="0" xfId="0" applyFont="1" applyBorder="1"/>
    <xf numFmtId="165" fontId="1" fillId="0" borderId="0" xfId="0" applyNumberFormat="1" applyFont="1"/>
    <xf numFmtId="11" fontId="1" fillId="0" borderId="0" xfId="0" applyNumberFormat="1" applyFont="1" applyFill="1"/>
    <xf numFmtId="164" fontId="1" fillId="0" borderId="0" xfId="0" applyNumberFormat="1" applyFont="1" applyFill="1"/>
    <xf numFmtId="0" fontId="15" fillId="0" borderId="0" xfId="0" applyFont="1" applyAlignment="1">
      <alignment horizontal="right"/>
    </xf>
    <xf numFmtId="11" fontId="1" fillId="6" borderId="0" xfId="0" applyNumberFormat="1" applyFont="1" applyFill="1"/>
    <xf numFmtId="164" fontId="1" fillId="0" borderId="0" xfId="0" applyNumberFormat="1" applyFont="1"/>
    <xf numFmtId="176" fontId="1" fillId="0" borderId="0" xfId="0" applyNumberFormat="1" applyFont="1"/>
    <xf numFmtId="0" fontId="0" fillId="0" borderId="0" xfId="0" applyFont="1" applyAlignment="1">
      <alignment wrapText="1"/>
    </xf>
    <xf numFmtId="175" fontId="15" fillId="0" borderId="16" xfId="0" applyNumberFormat="1" applyFont="1" applyFill="1" applyBorder="1"/>
    <xf numFmtId="0" fontId="55" fillId="0" borderId="0" xfId="0" applyFont="1" applyFill="1" applyBorder="1"/>
    <xf numFmtId="0" fontId="30" fillId="0" borderId="0" xfId="0" applyFont="1" applyFill="1" applyBorder="1" applyAlignment="1">
      <alignment wrapText="1"/>
    </xf>
    <xf numFmtId="0" fontId="15" fillId="0" borderId="0" xfId="0" applyFont="1" applyFill="1" applyBorder="1" applyAlignment="1">
      <alignment horizontal="left"/>
    </xf>
    <xf numFmtId="0" fontId="15" fillId="0" borderId="0" xfId="0" applyFont="1" applyAlignment="1"/>
    <xf numFmtId="0" fontId="15" fillId="0" borderId="0" xfId="0" applyFont="1" applyFill="1" applyBorder="1" applyAlignment="1">
      <alignment horizontal="right"/>
    </xf>
    <xf numFmtId="0" fontId="4" fillId="0" borderId="0" xfId="98" applyFont="1" applyFill="1" applyBorder="1" applyAlignment="1" applyProtection="1">
      <alignment horizontal="right" vertical="center"/>
      <protection locked="0"/>
    </xf>
    <xf numFmtId="0" fontId="15" fillId="6" borderId="0" xfId="0" applyFont="1" applyFill="1" applyBorder="1" applyAlignment="1">
      <alignment horizontal="right"/>
    </xf>
    <xf numFmtId="0" fontId="30" fillId="0" borderId="0" xfId="0" applyFont="1" applyAlignment="1">
      <alignment wrapText="1"/>
    </xf>
    <xf numFmtId="0" fontId="30" fillId="0" borderId="0" xfId="0" applyFont="1" applyAlignment="1">
      <alignment horizontal="left"/>
    </xf>
    <xf numFmtId="174" fontId="15" fillId="0" borderId="0" xfId="0" applyNumberFormat="1" applyFont="1"/>
    <xf numFmtId="0" fontId="15" fillId="0" borderId="0" xfId="0" applyFont="1" applyFill="1" applyBorder="1" applyAlignment="1">
      <alignment wrapText="1"/>
    </xf>
    <xf numFmtId="164" fontId="15" fillId="6" borderId="0" xfId="0" applyNumberFormat="1" applyFont="1" applyFill="1"/>
    <xf numFmtId="0" fontId="4" fillId="0" borderId="0" xfId="2" applyFont="1" applyFill="1" applyBorder="1"/>
    <xf numFmtId="0" fontId="61" fillId="0" borderId="23" xfId="2" applyFont="1" applyFill="1" applyBorder="1" applyAlignment="1">
      <alignment horizontal="center"/>
    </xf>
    <xf numFmtId="0" fontId="30" fillId="0" borderId="9" xfId="0" applyFont="1" applyBorder="1"/>
    <xf numFmtId="0" fontId="15" fillId="0" borderId="9" xfId="0" applyFont="1" applyBorder="1"/>
    <xf numFmtId="3" fontId="15" fillId="0" borderId="0" xfId="0" applyNumberFormat="1" applyFont="1"/>
    <xf numFmtId="4" fontId="15" fillId="0" borderId="0" xfId="0" applyNumberFormat="1" applyFont="1"/>
    <xf numFmtId="0" fontId="57" fillId="0" borderId="0" xfId="0" applyFont="1"/>
    <xf numFmtId="0" fontId="63" fillId="0" borderId="0" xfId="0" applyFont="1"/>
    <xf numFmtId="0" fontId="54" fillId="0" borderId="0" xfId="2" applyFont="1" applyFill="1" applyAlignment="1">
      <alignment horizontal="left"/>
    </xf>
    <xf numFmtId="0" fontId="54" fillId="0" borderId="0" xfId="2" applyFont="1" applyFill="1"/>
    <xf numFmtId="0" fontId="54" fillId="0" borderId="0" xfId="2" applyFont="1" applyFill="1" applyBorder="1"/>
    <xf numFmtId="0" fontId="63" fillId="0" borderId="0" xfId="2" applyFont="1" applyFill="1"/>
    <xf numFmtId="0" fontId="55" fillId="0" borderId="0" xfId="2" applyFont="1" applyFill="1"/>
    <xf numFmtId="0" fontId="4" fillId="0" borderId="0" xfId="2" applyFont="1" applyFill="1" applyBorder="1" applyAlignment="1">
      <alignment horizontal="center" vertical="center" wrapText="1"/>
    </xf>
    <xf numFmtId="0" fontId="4" fillId="0" borderId="0" xfId="2" applyBorder="1"/>
    <xf numFmtId="11" fontId="15" fillId="0" borderId="16" xfId="1" applyNumberFormat="1" applyFont="1" applyFill="1" applyBorder="1" applyAlignment="1" applyProtection="1">
      <alignment vertical="top"/>
      <protection hidden="1"/>
    </xf>
    <xf numFmtId="9" fontId="0" fillId="0" borderId="0" xfId="105" applyFont="1"/>
    <xf numFmtId="2" fontId="1" fillId="0" borderId="0" xfId="0" applyNumberFormat="1" applyFont="1"/>
    <xf numFmtId="0" fontId="6" fillId="3" borderId="16" xfId="2" applyFont="1" applyFill="1" applyBorder="1" applyAlignment="1">
      <alignment horizontal="center"/>
    </xf>
    <xf numFmtId="0" fontId="17" fillId="0" borderId="0" xfId="2" applyFont="1" applyFill="1" applyAlignment="1">
      <alignment horizontal="center"/>
    </xf>
    <xf numFmtId="0" fontId="66" fillId="0" borderId="0" xfId="0" applyFont="1"/>
    <xf numFmtId="0" fontId="66" fillId="0" borderId="0" xfId="0" applyFont="1" applyFill="1" applyBorder="1"/>
    <xf numFmtId="0" fontId="22" fillId="0" borderId="0" xfId="3" applyAlignment="1" applyProtection="1">
      <alignment horizontal="left" vertical="top" wrapText="1"/>
    </xf>
    <xf numFmtId="0" fontId="15" fillId="0" borderId="16" xfId="0" applyFont="1" applyBorder="1" applyAlignment="1" applyProtection="1">
      <alignment horizontal="right"/>
      <protection locked="0"/>
    </xf>
    <xf numFmtId="11" fontId="15" fillId="0" borderId="0" xfId="0" applyNumberFormat="1" applyFont="1" applyFill="1" applyBorder="1"/>
    <xf numFmtId="11" fontId="15" fillId="0" borderId="0" xfId="0" applyNumberFormat="1" applyFont="1" applyBorder="1"/>
    <xf numFmtId="164" fontId="15" fillId="0" borderId="0" xfId="0" applyNumberFormat="1" applyFont="1" applyFill="1" applyBorder="1"/>
    <xf numFmtId="177" fontId="15" fillId="0" borderId="0" xfId="0" applyNumberFormat="1" applyFont="1" applyFill="1" applyBorder="1"/>
    <xf numFmtId="11" fontId="15" fillId="6" borderId="0" xfId="0" applyNumberFormat="1" applyFont="1" applyFill="1" applyBorder="1"/>
    <xf numFmtId="11" fontId="15" fillId="6" borderId="0" xfId="0" applyNumberFormat="1" applyFont="1" applyFill="1"/>
    <xf numFmtId="0" fontId="67" fillId="0" borderId="22" xfId="0" applyFont="1" applyBorder="1" applyAlignment="1">
      <alignment horizontal="left" vertical="center" indent="7"/>
    </xf>
    <xf numFmtId="0" fontId="67" fillId="0" borderId="22" xfId="0" applyFont="1" applyBorder="1"/>
    <xf numFmtId="2" fontId="15" fillId="0" borderId="22" xfId="0" applyNumberFormat="1" applyFont="1" applyBorder="1"/>
    <xf numFmtId="11" fontId="15" fillId="41" borderId="0" xfId="0" applyNumberFormat="1" applyFont="1" applyFill="1" applyBorder="1"/>
    <xf numFmtId="0" fontId="30" fillId="41" borderId="0" xfId="0" applyFont="1" applyFill="1" applyBorder="1" applyAlignment="1">
      <alignment horizontal="left"/>
    </xf>
    <xf numFmtId="2" fontId="30" fillId="41" borderId="0" xfId="0" applyNumberFormat="1" applyFont="1" applyFill="1" applyBorder="1" applyAlignment="1">
      <alignment horizontal="left"/>
    </xf>
    <xf numFmtId="164" fontId="15" fillId="41" borderId="0" xfId="0" applyNumberFormat="1" applyFont="1" applyFill="1" applyBorder="1"/>
    <xf numFmtId="0" fontId="15" fillId="41" borderId="0" xfId="0" applyFont="1" applyFill="1" applyBorder="1"/>
    <xf numFmtId="0" fontId="15" fillId="0" borderId="0" xfId="0" applyFont="1" applyBorder="1" applyAlignment="1">
      <alignment horizontal="center"/>
    </xf>
    <xf numFmtId="11" fontId="15" fillId="41" borderId="0" xfId="0" applyNumberFormat="1" applyFont="1" applyFill="1"/>
    <xf numFmtId="0" fontId="15" fillId="41" borderId="0" xfId="0" applyFont="1" applyFill="1"/>
    <xf numFmtId="165" fontId="15" fillId="0" borderId="0" xfId="0" applyNumberFormat="1" applyFont="1" applyFill="1" applyBorder="1"/>
    <xf numFmtId="165" fontId="15" fillId="6" borderId="0" xfId="0" applyNumberFormat="1" applyFont="1" applyFill="1" applyBorder="1" applyAlignment="1">
      <alignment horizontal="right"/>
    </xf>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4" fillId="2" borderId="0" xfId="2" applyFont="1" applyFill="1" applyBorder="1" applyAlignment="1">
      <alignment vertical="top" wrapText="1"/>
    </xf>
    <xf numFmtId="0" fontId="4" fillId="8" borderId="20" xfId="2" applyFont="1" applyFill="1" applyBorder="1"/>
    <xf numFmtId="0" fontId="4" fillId="8" borderId="21" xfId="2" applyFont="1" applyFill="1" applyBorder="1"/>
    <xf numFmtId="0" fontId="4" fillId="8" borderId="22" xfId="2" applyFont="1" applyFill="1" applyBorder="1"/>
    <xf numFmtId="0" fontId="4" fillId="8" borderId="0" xfId="2" applyFont="1" applyFill="1" applyBorder="1"/>
    <xf numFmtId="0" fontId="4" fillId="8" borderId="23" xfId="2" applyFont="1" applyFill="1" applyBorder="1"/>
    <xf numFmtId="0" fontId="4" fillId="8" borderId="9" xfId="2" applyFont="1" applyFill="1" applyBorder="1"/>
    <xf numFmtId="0" fontId="4" fillId="8" borderId="25" xfId="2" applyFont="1" applyFill="1" applyBorder="1"/>
    <xf numFmtId="0" fontId="4" fillId="9" borderId="16" xfId="2" applyFont="1" applyFill="1" applyBorder="1"/>
    <xf numFmtId="0" fontId="4" fillId="9" borderId="16" xfId="2" applyFont="1" applyFill="1" applyBorder="1" applyAlignment="1">
      <alignment horizontal="left"/>
    </xf>
    <xf numFmtId="0" fontId="4" fillId="9" borderId="16" xfId="2" applyFont="1" applyFill="1" applyBorder="1" applyAlignment="1"/>
    <xf numFmtId="0" fontId="4" fillId="9" borderId="10" xfId="2" applyFont="1" applyFill="1" applyBorder="1" applyAlignment="1"/>
    <xf numFmtId="0" fontId="4" fillId="9" borderId="17" xfId="2" applyFont="1" applyFill="1" applyBorder="1" applyAlignment="1"/>
    <xf numFmtId="1" fontId="4" fillId="0" borderId="16" xfId="2" applyNumberFormat="1" applyFont="1" applyBorder="1" applyAlignment="1" applyProtection="1">
      <alignment vertical="top"/>
      <protection locked="0"/>
    </xf>
    <xf numFmtId="0" fontId="4" fillId="0" borderId="16" xfId="2" applyFont="1" applyBorder="1" applyAlignment="1" applyProtection="1">
      <alignment horizontal="center" vertical="top"/>
      <protection locked="0"/>
    </xf>
    <xf numFmtId="0" fontId="4" fillId="0" borderId="16" xfId="2" applyFont="1" applyBorder="1" applyAlignment="1" applyProtection="1">
      <alignment vertical="top" wrapText="1"/>
      <protection locked="0"/>
    </xf>
    <xf numFmtId="0" fontId="4" fillId="0" borderId="16" xfId="2" applyFont="1" applyBorder="1" applyAlignment="1" applyProtection="1">
      <alignment horizontal="right" vertical="top" wrapText="1"/>
      <protection locked="0"/>
    </xf>
    <xf numFmtId="0" fontId="4" fillId="9" borderId="16" xfId="2" applyFont="1" applyFill="1" applyBorder="1" applyAlignment="1">
      <alignment horizontal="center" vertical="top"/>
    </xf>
    <xf numFmtId="0" fontId="4" fillId="9" borderId="16" xfId="2" applyFont="1" applyFill="1" applyBorder="1" applyAlignment="1">
      <alignment vertical="top" wrapText="1"/>
    </xf>
    <xf numFmtId="0" fontId="4" fillId="0" borderId="16" xfId="2" applyFont="1" applyFill="1" applyBorder="1" applyAlignment="1" applyProtection="1">
      <alignment horizontal="right" vertical="top" wrapText="1"/>
      <protection locked="0"/>
    </xf>
    <xf numFmtId="0" fontId="4" fillId="9" borderId="16" xfId="2" applyFont="1" applyFill="1" applyBorder="1" applyAlignment="1" applyProtection="1">
      <alignment vertical="top"/>
      <protection hidden="1"/>
    </xf>
    <xf numFmtId="9" fontId="15" fillId="0" borderId="0" xfId="0" applyNumberFormat="1" applyFont="1" applyFill="1" applyBorder="1"/>
    <xf numFmtId="0" fontId="30" fillId="0" borderId="22" xfId="0" applyFont="1" applyBorder="1"/>
    <xf numFmtId="0" fontId="30" fillId="0" borderId="22" xfId="0" applyFont="1" applyFill="1" applyBorder="1"/>
    <xf numFmtId="0" fontId="60" fillId="0" borderId="0" xfId="0" applyFont="1"/>
    <xf numFmtId="0" fontId="68" fillId="0" borderId="0" xfId="0" applyFont="1" applyFill="1" applyBorder="1" applyAlignment="1">
      <alignment horizontal="center"/>
    </xf>
    <xf numFmtId="0" fontId="30" fillId="0" borderId="22" xfId="0" applyFont="1" applyFill="1" applyBorder="1" applyAlignment="1"/>
    <xf numFmtId="0" fontId="69" fillId="0" borderId="0" xfId="0" applyFont="1" applyFill="1" applyBorder="1" applyAlignment="1"/>
    <xf numFmtId="9" fontId="15" fillId="6" borderId="0" xfId="0" applyNumberFormat="1" applyFont="1" applyFill="1"/>
    <xf numFmtId="2" fontId="15" fillId="0" borderId="16" xfId="1" applyNumberFormat="1" applyFont="1" applyFill="1" applyBorder="1" applyAlignment="1" applyProtection="1">
      <alignment vertical="top"/>
      <protection hidden="1"/>
    </xf>
    <xf numFmtId="11" fontId="4" fillId="0" borderId="16" xfId="1" applyNumberFormat="1" applyFont="1" applyFill="1" applyBorder="1" applyAlignment="1" applyProtection="1">
      <alignment vertical="top"/>
      <protection hidden="1"/>
    </xf>
    <xf numFmtId="11" fontId="15" fillId="0" borderId="16" xfId="0" applyNumberFormat="1" applyFont="1" applyBorder="1" applyProtection="1">
      <protection locked="0"/>
    </xf>
    <xf numFmtId="11" fontId="15" fillId="0" borderId="16" xfId="0" applyNumberFormat="1" applyFont="1" applyFill="1" applyBorder="1" applyProtection="1">
      <protection locked="0"/>
    </xf>
    <xf numFmtId="0" fontId="15" fillId="6" borderId="0" xfId="0" applyFont="1" applyFill="1" applyBorder="1"/>
    <xf numFmtId="11" fontId="15" fillId="6" borderId="0" xfId="0" applyNumberFormat="1" applyFont="1" applyFill="1" applyBorder="1" applyAlignment="1">
      <alignment horizontal="right"/>
    </xf>
    <xf numFmtId="11" fontId="15" fillId="41" borderId="22" xfId="0" applyNumberFormat="1" applyFont="1" applyFill="1" applyBorder="1"/>
    <xf numFmtId="11" fontId="15" fillId="0" borderId="22" xfId="0" applyNumberFormat="1" applyFont="1" applyFill="1" applyBorder="1"/>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6" xfId="0" applyFont="1" applyBorder="1" applyAlignment="1" applyProtection="1">
      <alignment horizontal="left" vertical="top" wrapText="1"/>
      <protection locked="0"/>
    </xf>
    <xf numFmtId="0" fontId="6" fillId="3" borderId="16" xfId="2" applyFont="1" applyFill="1" applyBorder="1" applyAlignment="1">
      <alignment horizontal="center"/>
    </xf>
    <xf numFmtId="0" fontId="4" fillId="0" borderId="1"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6" fillId="3" borderId="16" xfId="2" applyFont="1" applyFill="1" applyBorder="1" applyAlignment="1">
      <alignment horizontal="left"/>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6" xfId="2" applyFont="1"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4" fillId="9" borderId="16" xfId="2" applyFont="1" applyFill="1" applyBorder="1" applyAlignment="1">
      <alignment horizontal="center" vertical="top" wrapText="1"/>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Font="1"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6" xfId="2" applyFont="1" applyFill="1" applyBorder="1" applyAlignment="1" applyProtection="1">
      <alignment horizontal="left" vertical="top" wrapText="1"/>
      <protection locked="0"/>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8" fillId="0" borderId="35"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0" fillId="0" borderId="0" xfId="0" applyFont="1" applyAlignment="1">
      <alignment horizontal="center" wrapText="1"/>
    </xf>
    <xf numFmtId="0" fontId="0" fillId="0" borderId="0" xfId="0" applyFont="1" applyFill="1" applyAlignment="1">
      <alignment horizontal="center" wrapText="1"/>
    </xf>
    <xf numFmtId="0" fontId="15" fillId="0" borderId="0" xfId="0" applyFont="1" applyAlignment="1">
      <alignment horizontal="center" wrapText="1"/>
    </xf>
    <xf numFmtId="0" fontId="6" fillId="0" borderId="9" xfId="2" applyFont="1" applyBorder="1" applyAlignment="1">
      <alignment horizont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0" xfId="0" applyFont="1" applyBorder="1" applyAlignment="1">
      <alignment horizontal="left" vertical="center" wrapText="1"/>
    </xf>
    <xf numFmtId="0" fontId="0" fillId="0" borderId="10" xfId="0" applyFont="1" applyBorder="1" applyAlignment="1">
      <alignment horizontal="left" vertical="center" wrapText="1"/>
    </xf>
  </cellXfs>
  <cellStyles count="106">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0] 2" xfId="99"/>
    <cellStyle name="Comma [0] 3" xfId="100"/>
    <cellStyle name="Comma 2" xfId="43"/>
    <cellStyle name="Comma 3" xfId="101"/>
    <cellStyle name="Comma 4" xfId="102"/>
    <cellStyle name="Comma 5" xfId="10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rmal 3 2" xfId="104"/>
    <cellStyle name="Normal 4" xfId="98"/>
    <cellStyle name="Note 2" xfId="58"/>
    <cellStyle name="Note 2 2" xfId="59"/>
    <cellStyle name="Output 2" xfId="60"/>
    <cellStyle name="Percent" xfId="105" builtinId="5"/>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4">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447674</xdr:colOff>
      <xdr:row>1</xdr:row>
      <xdr:rowOff>68035</xdr:rowOff>
    </xdr:from>
    <xdr:to>
      <xdr:col>11</xdr:col>
      <xdr:colOff>510785</xdr:colOff>
      <xdr:row>23</xdr:row>
      <xdr:rowOff>152889</xdr:rowOff>
    </xdr:to>
    <xdr:grpSp>
      <xdr:nvGrpSpPr>
        <xdr:cNvPr id="45" name="Group 44"/>
        <xdr:cNvGrpSpPr/>
      </xdr:nvGrpSpPr>
      <xdr:grpSpPr>
        <a:xfrm>
          <a:off x="1057274" y="258535"/>
          <a:ext cx="6159111" cy="4275854"/>
          <a:chOff x="1057274" y="258535"/>
          <a:chExt cx="6159111" cy="4275854"/>
        </a:xfrm>
      </xdr:grpSpPr>
      <xdr:grpSp>
        <xdr:nvGrpSpPr>
          <xdr:cNvPr id="2" name="Legend"/>
          <xdr:cNvGrpSpPr/>
        </xdr:nvGrpSpPr>
        <xdr:grpSpPr>
          <a:xfrm>
            <a:off x="2128157" y="3705225"/>
            <a:ext cx="1945747"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8" name="Boundary Box"/>
          <xdr:cNvSpPr/>
        </xdr:nvSpPr>
        <xdr:spPr>
          <a:xfrm>
            <a:off x="3556000" y="304799"/>
            <a:ext cx="3660385" cy="3305175"/>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Separation of rare earth elements using ion exchange: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Separation of rare earth chlorides in solution using ion exchange</a:t>
            </a:r>
          </a:p>
        </xdr:txBody>
      </xdr:sp>
      <xdr:sp macro="" textlink="">
        <xdr:nvSpPr>
          <xdr:cNvPr id="10" name="Reference Flow"/>
          <xdr:cNvSpPr/>
        </xdr:nvSpPr>
        <xdr:spPr>
          <a:xfrm>
            <a:off x="4318000" y="375285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aseline="0">
                <a:solidFill>
                  <a:schemeClr val="tx1"/>
                </a:solidFill>
                <a:latin typeface="Arial" pitchFamily="34" charset="0"/>
                <a:cs typeface="Arial" pitchFamily="34" charset="0"/>
              </a:rPr>
              <a:t>Separated rare earth chloride hexahydrate</a:t>
            </a:r>
          </a:p>
        </xdr:txBody>
      </xdr:sp>
      <xdr:cxnSp macro="">
        <xdr:nvCxnSpPr>
          <xdr:cNvPr id="11" name="Straight Arrow Connector Process"/>
          <xdr:cNvCxnSpPr>
            <a:stCxn id="9" idx="2"/>
            <a:endCxn id="10" idx="0"/>
          </xdr:cNvCxnSpPr>
        </xdr:nvCxnSpPr>
        <xdr:spPr>
          <a:xfrm>
            <a:off x="5462601" y="2748094"/>
            <a:ext cx="3461" cy="100475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2" name="Parallelogram 11"/>
          <xdr:cNvSpPr/>
        </xdr:nvSpPr>
        <xdr:spPr>
          <a:xfrm>
            <a:off x="1069180" y="344260"/>
            <a:ext cx="1401536" cy="600075"/>
          </a:xfrm>
          <a:prstGeom prst="parallelogram">
            <a:avLst>
              <a:gd name="adj" fmla="val 50397"/>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00">
                <a:solidFill>
                  <a:sysClr val="windowText" lastClr="000000"/>
                </a:solidFill>
                <a:latin typeface="Arial" panose="020B0604020202020204" pitchFamily="34" charset="0"/>
                <a:cs typeface="Arial" panose="020B0604020202020204" pitchFamily="34" charset="0"/>
              </a:rPr>
              <a:t>Rare earth chloride</a:t>
            </a:r>
            <a:r>
              <a:rPr lang="en-US" sz="1000" baseline="0">
                <a:solidFill>
                  <a:sysClr val="windowText" lastClr="000000"/>
                </a:solidFill>
                <a:latin typeface="Arial" panose="020B0604020202020204" pitchFamily="34" charset="0"/>
                <a:cs typeface="Arial" panose="020B0604020202020204" pitchFamily="34" charset="0"/>
              </a:rPr>
              <a:t> concentrate</a:t>
            </a:r>
            <a:endParaRPr lang="en-US" sz="1000">
              <a:solidFill>
                <a:sysClr val="windowText" lastClr="000000"/>
              </a:solidFill>
              <a:latin typeface="Arial" panose="020B0604020202020204" pitchFamily="34" charset="0"/>
              <a:cs typeface="Arial" panose="020B0604020202020204" pitchFamily="34" charset="0"/>
            </a:endParaRPr>
          </a:p>
        </xdr:txBody>
      </xdr:sp>
      <xdr:sp macro="" textlink="">
        <xdr:nvSpPr>
          <xdr:cNvPr id="13" name="Parallelogram 12"/>
          <xdr:cNvSpPr/>
        </xdr:nvSpPr>
        <xdr:spPr>
          <a:xfrm>
            <a:off x="2047874" y="725260"/>
            <a:ext cx="1401536" cy="600075"/>
          </a:xfrm>
          <a:prstGeom prst="parallelogram">
            <a:avLst>
              <a:gd name="adj" fmla="val 50397"/>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00">
                <a:solidFill>
                  <a:sysClr val="windowText" lastClr="000000"/>
                </a:solidFill>
                <a:latin typeface="Arial" panose="020B0604020202020204" pitchFamily="34" charset="0"/>
                <a:cs typeface="Arial" panose="020B0604020202020204" pitchFamily="34" charset="0"/>
              </a:rPr>
              <a:t>Electricity</a:t>
            </a:r>
          </a:p>
        </xdr:txBody>
      </xdr:sp>
      <xdr:sp macro="" textlink="">
        <xdr:nvSpPr>
          <xdr:cNvPr id="14" name="Parallelogram 13"/>
          <xdr:cNvSpPr/>
        </xdr:nvSpPr>
        <xdr:spPr>
          <a:xfrm>
            <a:off x="1069180" y="1372960"/>
            <a:ext cx="1401536" cy="600075"/>
          </a:xfrm>
          <a:prstGeom prst="parallelogram">
            <a:avLst>
              <a:gd name="adj" fmla="val 50397"/>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00">
                <a:solidFill>
                  <a:sysClr val="windowText" lastClr="000000"/>
                </a:solidFill>
                <a:latin typeface="Arial" panose="020B0604020202020204" pitchFamily="34" charset="0"/>
                <a:cs typeface="Arial" panose="020B0604020202020204" pitchFamily="34" charset="0"/>
              </a:rPr>
              <a:t>Ion exchange resin</a:t>
            </a:r>
          </a:p>
        </xdr:txBody>
      </xdr:sp>
      <xdr:sp macro="" textlink="">
        <xdr:nvSpPr>
          <xdr:cNvPr id="15" name="Parallelogram 14"/>
          <xdr:cNvSpPr/>
        </xdr:nvSpPr>
        <xdr:spPr>
          <a:xfrm>
            <a:off x="2047874" y="1753960"/>
            <a:ext cx="1401536" cy="600075"/>
          </a:xfrm>
          <a:prstGeom prst="parallelogram">
            <a:avLst>
              <a:gd name="adj" fmla="val 50397"/>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00">
                <a:solidFill>
                  <a:sysClr val="windowText" lastClr="000000"/>
                </a:solidFill>
                <a:latin typeface="Arial" panose="020B0604020202020204" pitchFamily="34" charset="0"/>
                <a:cs typeface="Arial" panose="020B0604020202020204" pitchFamily="34" charset="0"/>
              </a:rPr>
              <a:t>Hydrochloric</a:t>
            </a:r>
            <a:r>
              <a:rPr lang="en-US" sz="1000" baseline="0">
                <a:solidFill>
                  <a:sysClr val="windowText" lastClr="000000"/>
                </a:solidFill>
                <a:latin typeface="Arial" panose="020B0604020202020204" pitchFamily="34" charset="0"/>
                <a:cs typeface="Arial" panose="020B0604020202020204" pitchFamily="34" charset="0"/>
              </a:rPr>
              <a:t> acid</a:t>
            </a:r>
            <a:endParaRPr lang="en-US" sz="1000">
              <a:solidFill>
                <a:sysClr val="windowText" lastClr="000000"/>
              </a:solidFill>
              <a:latin typeface="Arial" panose="020B0604020202020204" pitchFamily="34" charset="0"/>
              <a:cs typeface="Arial" panose="020B0604020202020204" pitchFamily="34" charset="0"/>
            </a:endParaRPr>
          </a:p>
        </xdr:txBody>
      </xdr:sp>
      <xdr:sp macro="" textlink="">
        <xdr:nvSpPr>
          <xdr:cNvPr id="16" name="Rectangle 15"/>
          <xdr:cNvSpPr/>
        </xdr:nvSpPr>
        <xdr:spPr>
          <a:xfrm>
            <a:off x="3550102" y="258535"/>
            <a:ext cx="9144"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Rectangle 16"/>
          <xdr:cNvSpPr/>
        </xdr:nvSpPr>
        <xdr:spPr>
          <a:xfrm>
            <a:off x="3550102" y="639535"/>
            <a:ext cx="9144"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Rectangle 17"/>
          <xdr:cNvSpPr/>
        </xdr:nvSpPr>
        <xdr:spPr>
          <a:xfrm>
            <a:off x="3550102" y="1287235"/>
            <a:ext cx="9144"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Rectangle 18"/>
          <xdr:cNvSpPr/>
        </xdr:nvSpPr>
        <xdr:spPr>
          <a:xfrm>
            <a:off x="3550102" y="1668235"/>
            <a:ext cx="9144"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xdr:cNvCxnSpPr>
            <a:stCxn id="12" idx="2"/>
            <a:endCxn id="16" idx="1"/>
          </xdr:cNvCxnSpPr>
        </xdr:nvCxnSpPr>
        <xdr:spPr>
          <a:xfrm>
            <a:off x="2319506" y="644298"/>
            <a:ext cx="1230596"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a:stCxn id="13" idx="2"/>
            <a:endCxn id="17" idx="1"/>
          </xdr:cNvCxnSpPr>
        </xdr:nvCxnSpPr>
        <xdr:spPr>
          <a:xfrm>
            <a:off x="3298200" y="1025298"/>
            <a:ext cx="251902"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a:stCxn id="14" idx="2"/>
            <a:endCxn id="18" idx="1"/>
          </xdr:cNvCxnSpPr>
        </xdr:nvCxnSpPr>
        <xdr:spPr>
          <a:xfrm>
            <a:off x="2319506" y="1672998"/>
            <a:ext cx="1230596"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a:stCxn id="15" idx="2"/>
            <a:endCxn id="19" idx="1"/>
          </xdr:cNvCxnSpPr>
        </xdr:nvCxnSpPr>
        <xdr:spPr>
          <a:xfrm>
            <a:off x="3298200" y="2053998"/>
            <a:ext cx="251902"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7" name="Parallelogram 26"/>
          <xdr:cNvSpPr/>
        </xdr:nvSpPr>
        <xdr:spPr>
          <a:xfrm>
            <a:off x="1069180" y="2390775"/>
            <a:ext cx="1401536" cy="600075"/>
          </a:xfrm>
          <a:prstGeom prst="parallelogram">
            <a:avLst>
              <a:gd name="adj" fmla="val 50397"/>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00">
                <a:solidFill>
                  <a:sysClr val="windowText" lastClr="000000"/>
                </a:solidFill>
                <a:latin typeface="Arial" panose="020B0604020202020204" pitchFamily="34" charset="0"/>
                <a:cs typeface="Arial" panose="020B0604020202020204" pitchFamily="34" charset="0"/>
              </a:rPr>
              <a:t>HEDTA</a:t>
            </a:r>
          </a:p>
        </xdr:txBody>
      </xdr:sp>
      <xdr:sp macro="" textlink="">
        <xdr:nvSpPr>
          <xdr:cNvPr id="28" name="Rectangle 27"/>
          <xdr:cNvSpPr/>
        </xdr:nvSpPr>
        <xdr:spPr>
          <a:xfrm>
            <a:off x="3540578" y="2305050"/>
            <a:ext cx="9144"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9" name="Straight Connector 28"/>
          <xdr:cNvCxnSpPr>
            <a:stCxn id="27" idx="2"/>
            <a:endCxn id="28" idx="1"/>
          </xdr:cNvCxnSpPr>
        </xdr:nvCxnSpPr>
        <xdr:spPr>
          <a:xfrm>
            <a:off x="2319506" y="2690813"/>
            <a:ext cx="1221072"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0" name="Parallelogram 29"/>
          <xdr:cNvSpPr/>
        </xdr:nvSpPr>
        <xdr:spPr>
          <a:xfrm>
            <a:off x="2047874" y="2762250"/>
            <a:ext cx="1401536" cy="600075"/>
          </a:xfrm>
          <a:prstGeom prst="parallelogram">
            <a:avLst>
              <a:gd name="adj" fmla="val 50397"/>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00">
                <a:solidFill>
                  <a:sysClr val="windowText" lastClr="000000"/>
                </a:solidFill>
                <a:latin typeface="Arial" panose="020B0604020202020204" pitchFamily="34" charset="0"/>
                <a:cs typeface="Arial" panose="020B0604020202020204" pitchFamily="34" charset="0"/>
              </a:rPr>
              <a:t>Ammonium-EDTA</a:t>
            </a:r>
          </a:p>
        </xdr:txBody>
      </xdr:sp>
      <xdr:sp macro="" textlink="">
        <xdr:nvSpPr>
          <xdr:cNvPr id="31" name="Rectangle 30"/>
          <xdr:cNvSpPr/>
        </xdr:nvSpPr>
        <xdr:spPr>
          <a:xfrm>
            <a:off x="3550103" y="2676525"/>
            <a:ext cx="9144"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2" name="Straight Connector 31"/>
          <xdr:cNvCxnSpPr>
            <a:stCxn id="30" idx="2"/>
            <a:endCxn id="31" idx="1"/>
          </xdr:cNvCxnSpPr>
        </xdr:nvCxnSpPr>
        <xdr:spPr>
          <a:xfrm>
            <a:off x="3298200" y="3062288"/>
            <a:ext cx="251903"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3" name="Reference Flow"/>
          <xdr:cNvSpPr/>
        </xdr:nvSpPr>
        <xdr:spPr>
          <a:xfrm>
            <a:off x="1057274" y="3182139"/>
            <a:ext cx="951357" cy="60350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baseline="0">
                <a:solidFill>
                  <a:schemeClr val="tx1"/>
                </a:solidFill>
                <a:latin typeface="Arial" pitchFamily="34" charset="0"/>
                <a:cs typeface="Arial" pitchFamily="34" charset="0"/>
              </a:rPr>
              <a:t>Water</a:t>
            </a:r>
          </a:p>
        </xdr:txBody>
      </xdr:sp>
      <xdr:sp macro="" textlink="">
        <xdr:nvSpPr>
          <xdr:cNvPr id="34" name="Rectangle 33"/>
          <xdr:cNvSpPr/>
        </xdr:nvSpPr>
        <xdr:spPr>
          <a:xfrm>
            <a:off x="3566602" y="3098129"/>
            <a:ext cx="9144"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xdr:cNvCxnSpPr>
            <a:stCxn id="33" idx="3"/>
            <a:endCxn id="34" idx="1"/>
          </xdr:cNvCxnSpPr>
        </xdr:nvCxnSpPr>
        <xdr:spPr>
          <a:xfrm>
            <a:off x="2008631" y="3483891"/>
            <a:ext cx="1557971" cy="1"/>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etd.lib.metu.edu.tr/upload/1206655/index.pdf" TargetMode="External"/><Relationship Id="rId7" Type="http://schemas.openxmlformats.org/officeDocument/2006/relationships/printerSettings" Target="../printerSettings/printerSettings4.bin"/><Relationship Id="rId2" Type="http://schemas.openxmlformats.org/officeDocument/2006/relationships/hyperlink" Target="http://dx.doi.org/10.5772/50857" TargetMode="External"/><Relationship Id="rId1" Type="http://schemas.openxmlformats.org/officeDocument/2006/relationships/hyperlink" Target="https://www.google.com/patents/US6093376" TargetMode="External"/><Relationship Id="rId6" Type="http://schemas.openxmlformats.org/officeDocument/2006/relationships/hyperlink" Target="https://www.google.com/patents/US3615173" TargetMode="External"/><Relationship Id="rId5" Type="http://schemas.openxmlformats.org/officeDocument/2006/relationships/hyperlink" Target="https://www.google.com/patents/US3228750" TargetMode="External"/><Relationship Id="rId4" Type="http://schemas.openxmlformats.org/officeDocument/2006/relationships/hyperlink" Target="http://aqwatec.mines.edu/produced_water/treat/docs/Tech_Assessment_PW_Treatment_Tech.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topLeftCell="A16" zoomScaleNormal="100" workbookViewId="0">
      <selection activeCell="C26" sqref="C26:M26"/>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419" t="s">
        <v>0</v>
      </c>
      <c r="B1" s="419"/>
      <c r="C1" s="419"/>
      <c r="D1" s="419"/>
      <c r="E1" s="419"/>
      <c r="F1" s="419"/>
      <c r="G1" s="419"/>
      <c r="H1" s="419"/>
      <c r="I1" s="419"/>
      <c r="J1" s="419"/>
      <c r="K1" s="419"/>
      <c r="L1" s="419"/>
      <c r="M1" s="419"/>
      <c r="N1" s="419"/>
      <c r="O1" s="1"/>
    </row>
    <row r="2" spans="1:27" ht="21" thickBot="1" x14ac:dyDescent="0.35">
      <c r="A2" s="419" t="s">
        <v>1</v>
      </c>
      <c r="B2" s="419"/>
      <c r="C2" s="419"/>
      <c r="D2" s="419"/>
      <c r="E2" s="419"/>
      <c r="F2" s="419"/>
      <c r="G2" s="419"/>
      <c r="H2" s="419"/>
      <c r="I2" s="419"/>
      <c r="J2" s="419"/>
      <c r="K2" s="419"/>
      <c r="L2" s="419"/>
      <c r="M2" s="419"/>
      <c r="N2" s="419"/>
      <c r="O2" s="1"/>
    </row>
    <row r="3" spans="1:27" ht="12.75" customHeight="1" thickBot="1" x14ac:dyDescent="0.25">
      <c r="B3" s="2"/>
      <c r="C3" s="4" t="s">
        <v>2</v>
      </c>
      <c r="D3" s="5" t="str">
        <f>'Data Summary'!D4</f>
        <v>Separation of rare earth elements using ion exchange</v>
      </c>
      <c r="E3" s="6"/>
      <c r="F3" s="6"/>
      <c r="G3" s="6"/>
      <c r="H3" s="6"/>
      <c r="I3" s="6"/>
      <c r="J3" s="6"/>
      <c r="K3" s="6"/>
      <c r="L3" s="6"/>
      <c r="M3" s="7"/>
      <c r="N3" s="2"/>
      <c r="O3" s="2"/>
    </row>
    <row r="4" spans="1:27" ht="42.75" customHeight="1" thickBot="1" x14ac:dyDescent="0.25">
      <c r="B4" s="2"/>
      <c r="C4" s="4" t="s">
        <v>3</v>
      </c>
      <c r="D4" s="420" t="str">
        <f>'Data Summary'!D6</f>
        <v>Separation of rare earth chlorides in solution using ion exchange</v>
      </c>
      <c r="E4" s="421"/>
      <c r="F4" s="421"/>
      <c r="G4" s="421"/>
      <c r="H4" s="421"/>
      <c r="I4" s="421"/>
      <c r="J4" s="421"/>
      <c r="K4" s="421"/>
      <c r="L4" s="421"/>
      <c r="M4" s="422"/>
      <c r="N4" s="2"/>
      <c r="O4" s="2"/>
    </row>
    <row r="5" spans="1:27" ht="39" customHeight="1" thickBot="1" x14ac:dyDescent="0.25">
      <c r="B5" s="2"/>
      <c r="C5" s="4" t="s">
        <v>4</v>
      </c>
      <c r="D5" s="423" t="s">
        <v>773</v>
      </c>
      <c r="E5" s="424"/>
      <c r="F5" s="424"/>
      <c r="G5" s="424"/>
      <c r="H5" s="424"/>
      <c r="I5" s="424"/>
      <c r="J5" s="424"/>
      <c r="K5" s="424"/>
      <c r="L5" s="424"/>
      <c r="M5" s="425"/>
      <c r="N5" s="2"/>
      <c r="O5" s="2"/>
    </row>
    <row r="6" spans="1:27" ht="56.25" customHeight="1" thickBot="1" x14ac:dyDescent="0.25">
      <c r="B6" s="2"/>
      <c r="C6" s="8" t="s">
        <v>5</v>
      </c>
      <c r="D6" s="423" t="s">
        <v>6</v>
      </c>
      <c r="E6" s="424"/>
      <c r="F6" s="424"/>
      <c r="G6" s="424"/>
      <c r="H6" s="424"/>
      <c r="I6" s="424"/>
      <c r="J6" s="424"/>
      <c r="K6" s="424"/>
      <c r="L6" s="424"/>
      <c r="M6" s="425"/>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413" t="s">
        <v>10</v>
      </c>
      <c r="C9" s="10" t="s">
        <v>11</v>
      </c>
      <c r="D9" s="415" t="s">
        <v>12</v>
      </c>
      <c r="E9" s="415"/>
      <c r="F9" s="415"/>
      <c r="G9" s="415"/>
      <c r="H9" s="415"/>
      <c r="I9" s="415"/>
      <c r="J9" s="415"/>
      <c r="K9" s="415"/>
      <c r="L9" s="415"/>
      <c r="M9" s="416"/>
      <c r="N9" s="2"/>
      <c r="O9" s="2"/>
      <c r="P9" s="2"/>
      <c r="Q9" s="2"/>
      <c r="R9" s="2"/>
      <c r="S9" s="2"/>
      <c r="T9" s="2"/>
      <c r="U9" s="2"/>
      <c r="V9" s="2"/>
      <c r="W9" s="2"/>
      <c r="X9" s="2"/>
      <c r="Y9" s="2"/>
      <c r="Z9" s="2"/>
      <c r="AA9" s="2"/>
    </row>
    <row r="10" spans="1:27" s="11" customFormat="1" ht="15" customHeight="1" x14ac:dyDescent="0.2">
      <c r="A10" s="2"/>
      <c r="B10" s="414"/>
      <c r="C10" s="12" t="s">
        <v>13</v>
      </c>
      <c r="D10" s="417" t="s">
        <v>14</v>
      </c>
      <c r="E10" s="417"/>
      <c r="F10" s="417"/>
      <c r="G10" s="417"/>
      <c r="H10" s="417"/>
      <c r="I10" s="417"/>
      <c r="J10" s="417"/>
      <c r="K10" s="417"/>
      <c r="L10" s="417"/>
      <c r="M10" s="418"/>
      <c r="N10" s="2"/>
      <c r="O10" s="2"/>
      <c r="P10" s="2"/>
      <c r="Q10" s="2"/>
      <c r="R10" s="2"/>
      <c r="S10" s="2"/>
      <c r="T10" s="2"/>
      <c r="U10" s="2"/>
      <c r="V10" s="2"/>
      <c r="W10" s="2"/>
      <c r="X10" s="2"/>
      <c r="Y10" s="2"/>
      <c r="Z10" s="2"/>
      <c r="AA10" s="2"/>
    </row>
    <row r="11" spans="1:27" s="11" customFormat="1" ht="15" customHeight="1" x14ac:dyDescent="0.2">
      <c r="A11" s="2"/>
      <c r="B11" s="414"/>
      <c r="C11" s="12" t="s">
        <v>15</v>
      </c>
      <c r="D11" s="417" t="s">
        <v>16</v>
      </c>
      <c r="E11" s="417"/>
      <c r="F11" s="417"/>
      <c r="G11" s="417"/>
      <c r="H11" s="417"/>
      <c r="I11" s="417"/>
      <c r="J11" s="417"/>
      <c r="K11" s="417"/>
      <c r="L11" s="417"/>
      <c r="M11" s="418"/>
      <c r="N11" s="2"/>
      <c r="O11" s="2"/>
      <c r="P11" s="2"/>
      <c r="Q11" s="2"/>
      <c r="R11" s="2"/>
      <c r="S11" s="2"/>
      <c r="T11" s="2"/>
      <c r="U11" s="2"/>
      <c r="V11" s="2"/>
      <c r="W11" s="2"/>
      <c r="X11" s="2"/>
      <c r="Y11" s="2"/>
      <c r="Z11" s="2"/>
      <c r="AA11" s="2"/>
    </row>
    <row r="12" spans="1:27" s="11" customFormat="1" ht="15" customHeight="1" x14ac:dyDescent="0.2">
      <c r="A12" s="2"/>
      <c r="B12" s="414"/>
      <c r="C12" s="12" t="s">
        <v>17</v>
      </c>
      <c r="D12" s="417" t="s">
        <v>18</v>
      </c>
      <c r="E12" s="417"/>
      <c r="F12" s="417"/>
      <c r="G12" s="417"/>
      <c r="H12" s="417"/>
      <c r="I12" s="417"/>
      <c r="J12" s="417"/>
      <c r="K12" s="417"/>
      <c r="L12" s="417"/>
      <c r="M12" s="418"/>
      <c r="N12" s="2"/>
      <c r="O12" s="2"/>
      <c r="P12" s="2"/>
      <c r="Q12" s="2"/>
      <c r="R12" s="2"/>
      <c r="S12" s="2"/>
      <c r="T12" s="2"/>
      <c r="U12" s="2"/>
      <c r="V12" s="2"/>
      <c r="W12" s="2"/>
      <c r="X12" s="2"/>
      <c r="Y12" s="2"/>
      <c r="Z12" s="2"/>
      <c r="AA12" s="2"/>
    </row>
    <row r="13" spans="1:27" ht="26.25" customHeight="1" x14ac:dyDescent="0.2">
      <c r="B13" s="428" t="s">
        <v>19</v>
      </c>
      <c r="C13" s="219" t="s">
        <v>240</v>
      </c>
      <c r="D13" s="430" t="s">
        <v>243</v>
      </c>
      <c r="E13" s="430"/>
      <c r="F13" s="430"/>
      <c r="G13" s="430"/>
      <c r="H13" s="430"/>
      <c r="I13" s="430"/>
      <c r="J13" s="430"/>
      <c r="K13" s="430"/>
      <c r="L13" s="430"/>
      <c r="M13" s="431"/>
      <c r="N13" s="2"/>
      <c r="O13" s="2"/>
    </row>
    <row r="14" spans="1:27" ht="15" customHeight="1" x14ac:dyDescent="0.2">
      <c r="B14" s="428"/>
      <c r="C14" s="13" t="s">
        <v>241</v>
      </c>
      <c r="D14" s="430" t="s">
        <v>242</v>
      </c>
      <c r="E14" s="430"/>
      <c r="F14" s="430"/>
      <c r="G14" s="430"/>
      <c r="H14" s="430"/>
      <c r="I14" s="430"/>
      <c r="J14" s="430"/>
      <c r="K14" s="430"/>
      <c r="L14" s="430"/>
      <c r="M14" s="431"/>
      <c r="N14" s="2"/>
      <c r="O14" s="2"/>
    </row>
    <row r="15" spans="1:27" ht="15" customHeight="1" x14ac:dyDescent="0.2">
      <c r="B15" s="428"/>
      <c r="C15" s="13" t="s">
        <v>20</v>
      </c>
      <c r="D15" s="430" t="s">
        <v>21</v>
      </c>
      <c r="E15" s="430"/>
      <c r="F15" s="430"/>
      <c r="G15" s="430"/>
      <c r="H15" s="430"/>
      <c r="I15" s="430"/>
      <c r="J15" s="430"/>
      <c r="K15" s="430"/>
      <c r="L15" s="430"/>
      <c r="M15" s="431"/>
      <c r="N15" s="2"/>
      <c r="O15" s="2"/>
    </row>
    <row r="16" spans="1:27" ht="15" customHeight="1" x14ac:dyDescent="0.2">
      <c r="B16" s="428"/>
      <c r="C16" s="14" t="s">
        <v>22</v>
      </c>
      <c r="D16" s="430" t="s">
        <v>22</v>
      </c>
      <c r="E16" s="430"/>
      <c r="F16" s="430"/>
      <c r="G16" s="430"/>
      <c r="H16" s="430"/>
      <c r="I16" s="430"/>
      <c r="J16" s="430"/>
      <c r="K16" s="430"/>
      <c r="L16" s="430"/>
      <c r="M16" s="431"/>
      <c r="N16" s="2"/>
      <c r="O16" s="2"/>
    </row>
    <row r="17" spans="2:16" ht="15" customHeight="1" thickBot="1" x14ac:dyDescent="0.25">
      <c r="B17" s="429"/>
      <c r="C17" s="15"/>
      <c r="D17" s="432"/>
      <c r="E17" s="432"/>
      <c r="F17" s="432"/>
      <c r="G17" s="432"/>
      <c r="H17" s="432"/>
      <c r="I17" s="432"/>
      <c r="J17" s="432"/>
      <c r="K17" s="432"/>
      <c r="L17" s="432"/>
      <c r="M17" s="433"/>
      <c r="N17" s="2"/>
      <c r="O17" s="2"/>
    </row>
    <row r="18" spans="2:16" x14ac:dyDescent="0.2">
      <c r="B18" s="9"/>
      <c r="C18" s="9"/>
      <c r="D18" s="9"/>
      <c r="E18" s="9"/>
      <c r="F18" s="9"/>
      <c r="G18" s="9"/>
      <c r="H18" s="9"/>
      <c r="I18" s="9"/>
      <c r="J18" s="9"/>
      <c r="K18" s="9"/>
      <c r="L18" s="9"/>
      <c r="M18" s="9"/>
      <c r="N18" s="2"/>
      <c r="O18" s="2"/>
    </row>
    <row r="19" spans="2:16" x14ac:dyDescent="0.2">
      <c r="B19" s="9" t="s">
        <v>23</v>
      </c>
      <c r="C19" s="9"/>
      <c r="D19" s="9"/>
      <c r="E19" s="9"/>
      <c r="F19" s="9"/>
      <c r="G19" s="9"/>
      <c r="H19" s="9"/>
      <c r="I19" s="9"/>
      <c r="J19" s="9"/>
      <c r="K19" s="9"/>
      <c r="L19" s="9"/>
      <c r="M19" s="9"/>
      <c r="N19" s="2"/>
      <c r="O19" s="2"/>
    </row>
    <row r="20" spans="2:16" x14ac:dyDescent="0.2">
      <c r="B20" s="9"/>
      <c r="C20" s="16">
        <v>41789</v>
      </c>
      <c r="D20" s="9"/>
      <c r="E20" s="9"/>
      <c r="F20" s="9"/>
      <c r="G20" s="9"/>
      <c r="H20" s="9"/>
      <c r="I20" s="9"/>
      <c r="J20" s="9"/>
      <c r="K20" s="9"/>
      <c r="L20" s="9"/>
      <c r="M20" s="9"/>
      <c r="N20" s="2"/>
      <c r="O20" s="2"/>
    </row>
    <row r="21" spans="2:16" x14ac:dyDescent="0.2">
      <c r="B21" s="9" t="s">
        <v>24</v>
      </c>
      <c r="C21" s="9"/>
      <c r="D21" s="9"/>
      <c r="E21" s="9"/>
      <c r="F21" s="9"/>
      <c r="G21" s="9"/>
      <c r="H21" s="9"/>
      <c r="I21" s="9"/>
      <c r="J21" s="9"/>
      <c r="K21" s="9"/>
      <c r="L21" s="9"/>
      <c r="M21" s="9"/>
      <c r="N21" s="2"/>
      <c r="O21" s="2"/>
    </row>
    <row r="22" spans="2:16" x14ac:dyDescent="0.2">
      <c r="B22" s="9"/>
      <c r="C22" s="17" t="s">
        <v>25</v>
      </c>
      <c r="D22" s="9"/>
      <c r="E22" s="9"/>
      <c r="F22" s="9"/>
      <c r="G22" s="9"/>
      <c r="H22" s="9"/>
      <c r="I22" s="9"/>
      <c r="J22" s="9"/>
      <c r="K22" s="9"/>
      <c r="L22" s="9"/>
      <c r="M22" s="9"/>
      <c r="N22" s="2"/>
      <c r="O22" s="2"/>
    </row>
    <row r="23" spans="2:16" x14ac:dyDescent="0.2">
      <c r="B23" s="9" t="s">
        <v>26</v>
      </c>
      <c r="C23" s="17"/>
      <c r="D23" s="9"/>
      <c r="E23" s="9"/>
      <c r="F23" s="9"/>
      <c r="G23" s="9"/>
      <c r="H23" s="9"/>
      <c r="I23" s="9"/>
      <c r="J23" s="9"/>
      <c r="K23" s="9"/>
      <c r="L23" s="9"/>
      <c r="M23" s="9"/>
      <c r="N23" s="2"/>
      <c r="O23" s="2"/>
    </row>
    <row r="24" spans="2:16" x14ac:dyDescent="0.2">
      <c r="B24" s="9"/>
      <c r="C24" s="17" t="s">
        <v>27</v>
      </c>
      <c r="D24" s="9"/>
      <c r="E24" s="9"/>
      <c r="F24" s="9"/>
      <c r="G24" s="9"/>
      <c r="H24" s="9"/>
      <c r="I24" s="9"/>
      <c r="J24" s="9"/>
      <c r="K24" s="9"/>
      <c r="L24" s="9"/>
      <c r="M24" s="9"/>
      <c r="N24" s="2"/>
      <c r="O24" s="2"/>
    </row>
    <row r="25" spans="2:16" x14ac:dyDescent="0.2">
      <c r="B25" s="9" t="s">
        <v>28</v>
      </c>
      <c r="C25" s="9"/>
      <c r="D25" s="9"/>
      <c r="E25" s="9"/>
      <c r="F25" s="9"/>
      <c r="G25" s="9"/>
      <c r="H25" s="9"/>
      <c r="I25" s="9"/>
      <c r="J25" s="9"/>
      <c r="K25" s="9"/>
      <c r="L25" s="9"/>
      <c r="M25" s="9"/>
      <c r="N25" s="2"/>
      <c r="O25" s="2"/>
    </row>
    <row r="26" spans="2:16" ht="38.25" customHeight="1" x14ac:dyDescent="0.2">
      <c r="B26" s="9"/>
      <c r="C26" s="426" t="str">
        <f>"This document should be cited as: NETL (2014). NETL Life Cycle Inventory Data – Unit Process: "&amp;D3&amp;". U.S. Department of Energy, National Energy Technology Laboratory. Last Updated: April 2014 (version 01). www.netl.doe.gov/LCA (http://www.netl.doe.gov/LCA)"</f>
        <v>This document should be cited as: NETL (2014). NETL Life Cycle Inventory Data – Unit Process: Separation of rare earth elements using ion exchange. U.S. Department of Energy, National Energy Technology Laboratory. Last Updated: April 2014 (version 01). www.netl.doe.gov/LCA (http://www.netl.doe.gov/LCA)</v>
      </c>
      <c r="D26" s="426"/>
      <c r="E26" s="426"/>
      <c r="F26" s="426"/>
      <c r="G26" s="426"/>
      <c r="H26" s="426"/>
      <c r="I26" s="426"/>
      <c r="J26" s="426"/>
      <c r="K26" s="426"/>
      <c r="L26" s="426"/>
      <c r="M26" s="426"/>
      <c r="N26" s="2"/>
      <c r="O26" s="2"/>
    </row>
    <row r="27" spans="2:16" x14ac:dyDescent="0.2">
      <c r="B27" s="9" t="s">
        <v>29</v>
      </c>
      <c r="C27" s="9"/>
      <c r="D27" s="9"/>
      <c r="E27" s="9"/>
      <c r="F27" s="9"/>
      <c r="G27" s="17"/>
      <c r="H27" s="17"/>
      <c r="I27" s="17"/>
      <c r="J27" s="17"/>
      <c r="K27" s="17"/>
      <c r="L27" s="17"/>
      <c r="M27" s="17"/>
      <c r="N27" s="2"/>
      <c r="O27" s="2"/>
    </row>
    <row r="28" spans="2:16" x14ac:dyDescent="0.2">
      <c r="B28" s="17"/>
      <c r="C28" s="17" t="s">
        <v>30</v>
      </c>
      <c r="D28" s="17"/>
      <c r="E28" s="18" t="s">
        <v>31</v>
      </c>
      <c r="F28" s="19"/>
      <c r="G28" s="17" t="s">
        <v>32</v>
      </c>
      <c r="H28" s="17"/>
      <c r="I28" s="17"/>
      <c r="J28" s="17"/>
      <c r="K28" s="17"/>
      <c r="L28" s="17"/>
      <c r="M28" s="17"/>
      <c r="N28" s="2"/>
      <c r="O28" s="2"/>
      <c r="P28" s="17"/>
    </row>
    <row r="29" spans="2:16" x14ac:dyDescent="0.2">
      <c r="B29" s="17"/>
      <c r="C29" s="17" t="s">
        <v>33</v>
      </c>
      <c r="D29" s="17"/>
      <c r="E29" s="17"/>
      <c r="F29" s="17"/>
      <c r="G29" s="17"/>
      <c r="H29" s="17"/>
      <c r="I29" s="17"/>
      <c r="J29" s="17"/>
      <c r="K29" s="17"/>
      <c r="L29" s="17"/>
      <c r="M29" s="17"/>
      <c r="N29" s="2"/>
      <c r="O29" s="2"/>
      <c r="P29" s="17"/>
    </row>
    <row r="30" spans="2:16" x14ac:dyDescent="0.2">
      <c r="B30" s="17"/>
      <c r="C30" s="17" t="s">
        <v>34</v>
      </c>
      <c r="D30" s="17"/>
      <c r="E30" s="17"/>
      <c r="F30" s="17"/>
      <c r="G30" s="17"/>
      <c r="H30" s="17"/>
      <c r="I30" s="17"/>
      <c r="J30" s="17"/>
      <c r="K30" s="17"/>
      <c r="L30" s="17"/>
      <c r="M30" s="17"/>
      <c r="N30" s="17"/>
      <c r="O30" s="17"/>
      <c r="P30" s="17"/>
    </row>
    <row r="31" spans="2:16" x14ac:dyDescent="0.2">
      <c r="B31" s="17"/>
      <c r="C31" s="427" t="s">
        <v>35</v>
      </c>
      <c r="D31" s="427"/>
      <c r="E31" s="427"/>
      <c r="F31" s="427"/>
      <c r="G31" s="427"/>
      <c r="H31" s="427"/>
      <c r="I31" s="427"/>
      <c r="J31" s="427"/>
      <c r="K31" s="427"/>
      <c r="L31" s="427"/>
      <c r="M31" s="427"/>
      <c r="N31" s="17"/>
      <c r="O31" s="17"/>
      <c r="P31" s="17"/>
    </row>
    <row r="32" spans="2:16" x14ac:dyDescent="0.2">
      <c r="B32" s="17"/>
      <c r="C32" s="17"/>
      <c r="D32" s="17"/>
      <c r="E32" s="17"/>
      <c r="F32" s="17"/>
      <c r="G32" s="17"/>
      <c r="H32" s="17"/>
      <c r="I32" s="17"/>
      <c r="J32" s="17"/>
      <c r="K32" s="17"/>
      <c r="L32" s="17"/>
      <c r="M32" s="17"/>
      <c r="N32" s="17"/>
      <c r="O32" s="17"/>
    </row>
    <row r="33" spans="2:15" x14ac:dyDescent="0.2">
      <c r="B33" s="9" t="s">
        <v>36</v>
      </c>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17"/>
      <c r="C48" s="17"/>
      <c r="D48" s="17"/>
      <c r="E48" s="17"/>
      <c r="F48" s="17"/>
      <c r="G48" s="17"/>
      <c r="H48" s="17"/>
      <c r="I48" s="17"/>
      <c r="J48" s="17"/>
      <c r="K48" s="17"/>
      <c r="L48" s="17"/>
      <c r="M48" s="17"/>
      <c r="N48" s="17"/>
      <c r="O48" s="17"/>
    </row>
    <row r="49" spans="2:15" x14ac:dyDescent="0.2">
      <c r="B49" s="9" t="s">
        <v>37</v>
      </c>
      <c r="C49" s="17"/>
      <c r="D49" s="17"/>
      <c r="E49" s="17"/>
      <c r="F49" s="17"/>
      <c r="G49" s="17"/>
      <c r="H49" s="17"/>
      <c r="I49" s="17"/>
      <c r="J49" s="17"/>
      <c r="K49" s="17"/>
      <c r="L49" s="17"/>
      <c r="M49" s="17"/>
      <c r="N49" s="17"/>
      <c r="O49" s="17"/>
    </row>
    <row r="50" spans="2:15" x14ac:dyDescent="0.2">
      <c r="B50" s="17"/>
      <c r="C50" s="20" t="s">
        <v>38</v>
      </c>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row r="506" spans="2:15" x14ac:dyDescent="0.2">
      <c r="B506" s="17"/>
      <c r="C506" s="17"/>
      <c r="D506" s="17"/>
      <c r="E506" s="17"/>
      <c r="F506" s="17"/>
      <c r="G506" s="17"/>
      <c r="H506" s="17"/>
      <c r="I506" s="17"/>
      <c r="J506" s="17"/>
      <c r="K506" s="17"/>
      <c r="L506" s="17"/>
      <c r="M506" s="17"/>
      <c r="N506" s="17"/>
      <c r="O506" s="17"/>
    </row>
  </sheetData>
  <mergeCells count="18">
    <mergeCell ref="C26:M26"/>
    <mergeCell ref="C31:M31"/>
    <mergeCell ref="B13:B17"/>
    <mergeCell ref="D13:M13"/>
    <mergeCell ref="D14:M14"/>
    <mergeCell ref="D15:M15"/>
    <mergeCell ref="D16:M16"/>
    <mergeCell ref="D17:M17"/>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26"/>
  <sheetViews>
    <sheetView topLeftCell="C1" zoomScaleNormal="100" workbookViewId="0">
      <selection activeCell="D8" sqref="D8:N8"/>
    </sheetView>
  </sheetViews>
  <sheetFormatPr defaultColWidth="9.140625" defaultRowHeight="12.75" x14ac:dyDescent="0.2"/>
  <cols>
    <col min="1" max="2" width="9.140625" style="3"/>
    <col min="3" max="3" width="13.140625" style="3" bestFit="1" customWidth="1"/>
    <col min="4" max="4" width="11.140625" style="3" bestFit="1" customWidth="1"/>
    <col min="5" max="11" width="9.140625" style="3"/>
    <col min="12" max="12" width="17.7109375" style="3" customWidth="1"/>
    <col min="13" max="15" width="9.140625" style="3"/>
    <col min="16" max="16" width="13.5703125" style="3" customWidth="1"/>
    <col min="17"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51"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00" t="s">
        <v>230</v>
      </c>
      <c r="D3" s="200" t="s">
        <v>9</v>
      </c>
      <c r="P3" s="200" t="s">
        <v>423</v>
      </c>
    </row>
    <row r="4" spans="1:38" ht="27.75" customHeight="1" x14ac:dyDescent="0.2">
      <c r="C4" s="206">
        <v>1</v>
      </c>
      <c r="D4" s="524" t="s">
        <v>325</v>
      </c>
      <c r="E4" s="524"/>
      <c r="F4" s="524"/>
      <c r="G4" s="524"/>
      <c r="H4" s="524"/>
      <c r="I4" s="524"/>
      <c r="J4" s="524"/>
      <c r="K4" s="524"/>
      <c r="L4" s="524"/>
      <c r="M4" s="524"/>
      <c r="N4" s="524"/>
      <c r="O4" s="255"/>
      <c r="P4" s="255"/>
    </row>
    <row r="5" spans="1:38" ht="15" x14ac:dyDescent="0.2">
      <c r="C5" s="206">
        <v>2</v>
      </c>
      <c r="D5" s="525" t="s">
        <v>328</v>
      </c>
      <c r="E5" s="525"/>
      <c r="F5" s="525"/>
      <c r="G5" s="525"/>
      <c r="H5" s="525"/>
      <c r="I5" s="525"/>
      <c r="J5" s="525"/>
      <c r="K5" s="525"/>
      <c r="L5" s="525"/>
      <c r="M5" s="525"/>
      <c r="N5" s="525"/>
      <c r="O5" s="256"/>
      <c r="P5" s="256">
        <v>2</v>
      </c>
    </row>
    <row r="6" spans="1:38" ht="15" x14ac:dyDescent="0.2">
      <c r="C6" s="206">
        <v>3</v>
      </c>
      <c r="D6" s="525" t="s">
        <v>329</v>
      </c>
      <c r="E6" s="525"/>
      <c r="F6" s="525"/>
      <c r="G6" s="525"/>
      <c r="H6" s="525"/>
      <c r="I6" s="525"/>
      <c r="J6" s="525"/>
      <c r="K6" s="525"/>
      <c r="L6" s="525"/>
      <c r="M6" s="525"/>
      <c r="N6" s="525"/>
      <c r="O6" s="256"/>
      <c r="P6" s="256">
        <v>2</v>
      </c>
    </row>
    <row r="7" spans="1:38" ht="15" customHeight="1" x14ac:dyDescent="0.2">
      <c r="C7" s="206">
        <v>4</v>
      </c>
      <c r="D7" s="524" t="s">
        <v>418</v>
      </c>
      <c r="E7" s="524"/>
      <c r="F7" s="524"/>
      <c r="G7" s="524"/>
      <c r="H7" s="524"/>
      <c r="I7" s="524"/>
      <c r="J7" s="524"/>
      <c r="K7" s="524"/>
      <c r="L7" s="524"/>
      <c r="M7" s="524"/>
      <c r="N7" s="524"/>
      <c r="O7" s="256"/>
      <c r="P7" s="257" t="s">
        <v>453</v>
      </c>
    </row>
    <row r="8" spans="1:38" ht="15" customHeight="1" x14ac:dyDescent="0.2">
      <c r="C8" s="206">
        <v>5</v>
      </c>
      <c r="D8" s="525" t="s">
        <v>420</v>
      </c>
      <c r="E8" s="525"/>
      <c r="F8" s="525"/>
      <c r="G8" s="525"/>
      <c r="H8" s="525"/>
      <c r="I8" s="525"/>
      <c r="J8" s="525"/>
      <c r="K8" s="525"/>
      <c r="L8" s="525"/>
      <c r="M8" s="525"/>
      <c r="N8" s="525"/>
      <c r="O8" s="256"/>
      <c r="P8" s="257" t="s">
        <v>419</v>
      </c>
    </row>
    <row r="9" spans="1:38" ht="15" customHeight="1" x14ac:dyDescent="0.2">
      <c r="C9" s="206">
        <v>6</v>
      </c>
      <c r="D9" s="525" t="s">
        <v>421</v>
      </c>
      <c r="E9" s="525"/>
      <c r="F9" s="525"/>
      <c r="G9" s="525"/>
      <c r="H9" s="525"/>
      <c r="I9" s="525"/>
      <c r="J9" s="525"/>
      <c r="K9" s="525"/>
      <c r="L9" s="525"/>
      <c r="M9" s="525"/>
      <c r="N9" s="525"/>
      <c r="O9" s="256"/>
      <c r="P9" s="257" t="s">
        <v>419</v>
      </c>
    </row>
    <row r="10" spans="1:38" ht="15" customHeight="1" x14ac:dyDescent="0.2">
      <c r="C10" s="206">
        <v>7</v>
      </c>
      <c r="D10" s="525" t="s">
        <v>547</v>
      </c>
      <c r="E10" s="525"/>
      <c r="F10" s="525"/>
      <c r="G10" s="525"/>
      <c r="H10" s="525"/>
      <c r="I10" s="525"/>
      <c r="J10" s="525"/>
      <c r="K10" s="525"/>
      <c r="L10" s="525"/>
      <c r="M10" s="525"/>
      <c r="N10" s="525"/>
      <c r="O10" s="256"/>
      <c r="P10" s="257" t="s">
        <v>549</v>
      </c>
    </row>
    <row r="11" spans="1:38" ht="15" customHeight="1" x14ac:dyDescent="0.2">
      <c r="C11" s="206">
        <v>8</v>
      </c>
      <c r="D11" s="525" t="s">
        <v>548</v>
      </c>
      <c r="E11" s="525"/>
      <c r="F11" s="525"/>
      <c r="G11" s="525"/>
      <c r="H11" s="525"/>
      <c r="I11" s="525"/>
      <c r="J11" s="525"/>
      <c r="K11" s="525"/>
      <c r="L11" s="525"/>
      <c r="M11" s="525"/>
      <c r="N11" s="525"/>
      <c r="O11" s="256"/>
      <c r="P11" s="256"/>
    </row>
    <row r="12" spans="1:38" ht="50.25" customHeight="1" x14ac:dyDescent="0.2">
      <c r="C12" s="206">
        <v>9</v>
      </c>
      <c r="D12" s="525" t="s">
        <v>424</v>
      </c>
      <c r="E12" s="525"/>
      <c r="F12" s="525"/>
      <c r="G12" s="525"/>
      <c r="H12" s="525"/>
      <c r="I12" s="525"/>
      <c r="J12" s="525"/>
      <c r="K12" s="525"/>
      <c r="L12" s="525"/>
      <c r="M12" s="525"/>
      <c r="N12" s="525"/>
      <c r="O12" s="256"/>
      <c r="P12" s="256"/>
    </row>
    <row r="13" spans="1:38" ht="15" customHeight="1" x14ac:dyDescent="0.2">
      <c r="C13" s="206">
        <v>10</v>
      </c>
      <c r="D13" s="525" t="s">
        <v>422</v>
      </c>
      <c r="E13" s="528"/>
      <c r="F13" s="528"/>
      <c r="G13" s="528"/>
      <c r="H13" s="528"/>
      <c r="I13" s="528"/>
      <c r="J13" s="528"/>
      <c r="K13" s="528"/>
      <c r="L13" s="528"/>
      <c r="M13" s="226"/>
      <c r="N13" s="226"/>
      <c r="O13" s="256"/>
      <c r="P13" s="256"/>
    </row>
    <row r="14" spans="1:38" ht="37.5" customHeight="1" x14ac:dyDescent="0.2">
      <c r="C14" s="206">
        <v>11</v>
      </c>
      <c r="D14" s="525" t="s">
        <v>425</v>
      </c>
      <c r="E14" s="525"/>
      <c r="F14" s="525"/>
      <c r="G14" s="525"/>
      <c r="H14" s="525"/>
      <c r="I14" s="525"/>
      <c r="J14" s="525"/>
      <c r="K14" s="525"/>
      <c r="L14" s="525"/>
      <c r="M14" s="525"/>
      <c r="N14" s="525"/>
      <c r="O14" s="259"/>
      <c r="P14" s="259">
        <v>11</v>
      </c>
    </row>
    <row r="15" spans="1:38" ht="15" x14ac:dyDescent="0.2">
      <c r="C15" s="206">
        <v>12</v>
      </c>
      <c r="D15" s="525" t="s">
        <v>550</v>
      </c>
      <c r="E15" s="525"/>
      <c r="F15" s="525"/>
      <c r="G15" s="525"/>
      <c r="H15" s="525"/>
      <c r="I15" s="525"/>
      <c r="J15" s="525"/>
      <c r="K15" s="525"/>
      <c r="L15" s="525"/>
      <c r="M15" s="525"/>
      <c r="N15" s="525"/>
      <c r="O15" s="258"/>
      <c r="P15" s="258">
        <v>5</v>
      </c>
    </row>
    <row r="16" spans="1:38" ht="15" x14ac:dyDescent="0.2">
      <c r="C16" s="206">
        <v>13</v>
      </c>
      <c r="D16" s="525" t="s">
        <v>677</v>
      </c>
      <c r="E16" s="525"/>
      <c r="F16" s="525"/>
      <c r="G16" s="525"/>
      <c r="H16" s="525"/>
      <c r="I16" s="525"/>
      <c r="J16" s="525"/>
      <c r="K16" s="525"/>
      <c r="L16" s="525"/>
      <c r="M16" s="525"/>
      <c r="N16" s="525"/>
      <c r="O16" s="256"/>
      <c r="P16" s="256"/>
    </row>
    <row r="17" spans="3:16" ht="30.75" customHeight="1" x14ac:dyDescent="0.2">
      <c r="C17" s="206">
        <v>14</v>
      </c>
      <c r="D17" s="525" t="s">
        <v>756</v>
      </c>
      <c r="E17" s="525"/>
      <c r="F17" s="525"/>
      <c r="G17" s="525"/>
      <c r="H17" s="525"/>
      <c r="I17" s="525"/>
      <c r="J17" s="525"/>
      <c r="K17" s="525"/>
      <c r="L17" s="525"/>
      <c r="M17" s="525"/>
      <c r="N17" s="525"/>
      <c r="O17" s="256"/>
      <c r="P17" s="256"/>
    </row>
    <row r="18" spans="3:16" x14ac:dyDescent="0.2">
      <c r="C18" s="340"/>
      <c r="D18" s="341"/>
      <c r="E18" s="341"/>
      <c r="F18" s="341"/>
      <c r="G18" s="341"/>
      <c r="H18" s="341"/>
      <c r="I18" s="341"/>
      <c r="J18" s="341"/>
      <c r="K18" s="341"/>
      <c r="L18" s="341"/>
    </row>
    <row r="19" spans="3:16" ht="14.25" x14ac:dyDescent="0.2">
      <c r="C19" s="340"/>
      <c r="D19" s="251"/>
      <c r="E19" s="341"/>
      <c r="F19" s="341"/>
      <c r="G19" s="341"/>
      <c r="H19" s="341"/>
      <c r="I19" s="341"/>
      <c r="J19" s="341"/>
      <c r="K19" s="341"/>
      <c r="L19" s="341"/>
    </row>
    <row r="20" spans="3:16" ht="15" x14ac:dyDescent="0.2">
      <c r="C20" s="340"/>
      <c r="D20" s="526"/>
      <c r="E20" s="527"/>
      <c r="F20" s="527"/>
      <c r="G20" s="527"/>
      <c r="H20" s="527"/>
      <c r="I20" s="527"/>
      <c r="J20" s="527"/>
      <c r="K20" s="527"/>
      <c r="L20" s="527"/>
    </row>
    <row r="21" spans="3:16" ht="15" x14ac:dyDescent="0.2">
      <c r="C21" s="340"/>
      <c r="D21" s="526"/>
      <c r="E21" s="527"/>
      <c r="F21" s="527"/>
      <c r="G21" s="527"/>
      <c r="H21" s="527"/>
      <c r="I21" s="527"/>
      <c r="J21" s="527"/>
      <c r="K21" s="527"/>
      <c r="L21" s="527"/>
    </row>
    <row r="22" spans="3:16" ht="15" x14ac:dyDescent="0.2">
      <c r="C22" s="340"/>
      <c r="D22" s="526"/>
      <c r="E22" s="527"/>
      <c r="F22" s="527"/>
      <c r="G22" s="527"/>
      <c r="H22" s="527"/>
      <c r="I22" s="527"/>
      <c r="J22" s="527"/>
      <c r="K22" s="527"/>
      <c r="L22" s="527"/>
    </row>
    <row r="23" spans="3:16" ht="15" x14ac:dyDescent="0.2">
      <c r="C23" s="340"/>
      <c r="D23" s="526"/>
      <c r="E23" s="527"/>
      <c r="F23" s="527"/>
      <c r="G23" s="527"/>
      <c r="H23" s="527"/>
      <c r="I23" s="527"/>
      <c r="J23" s="527"/>
      <c r="K23" s="527"/>
      <c r="L23" s="527"/>
    </row>
    <row r="24" spans="3:16" x14ac:dyDescent="0.2">
      <c r="C24" s="341"/>
      <c r="D24" s="341"/>
      <c r="E24" s="341"/>
      <c r="F24" s="341"/>
      <c r="G24" s="341"/>
      <c r="H24" s="341"/>
      <c r="I24" s="341"/>
      <c r="J24" s="341"/>
      <c r="K24" s="341"/>
      <c r="L24" s="341"/>
    </row>
    <row r="25" spans="3:16" x14ac:dyDescent="0.2">
      <c r="C25" s="341"/>
      <c r="D25" s="341"/>
      <c r="E25" s="341"/>
      <c r="F25" s="341"/>
      <c r="G25" s="341"/>
      <c r="H25" s="341"/>
      <c r="I25" s="341"/>
      <c r="J25" s="341"/>
      <c r="K25" s="341"/>
      <c r="L25" s="341"/>
    </row>
    <row r="26" spans="3:16" x14ac:dyDescent="0.2">
      <c r="C26" s="341"/>
      <c r="D26" s="341"/>
      <c r="E26" s="341"/>
      <c r="F26" s="341"/>
      <c r="G26" s="341"/>
      <c r="H26" s="341"/>
      <c r="I26" s="341"/>
      <c r="J26" s="341"/>
      <c r="K26" s="341"/>
      <c r="L26" s="341"/>
    </row>
  </sheetData>
  <mergeCells count="18">
    <mergeCell ref="D20:L20"/>
    <mergeCell ref="D21:L21"/>
    <mergeCell ref="D22:L22"/>
    <mergeCell ref="D23:L23"/>
    <mergeCell ref="D11:N11"/>
    <mergeCell ref="D12:N12"/>
    <mergeCell ref="D13:L13"/>
    <mergeCell ref="D14:N14"/>
    <mergeCell ref="D15:N15"/>
    <mergeCell ref="D17:N17"/>
    <mergeCell ref="D16:N16"/>
    <mergeCell ref="D4:N4"/>
    <mergeCell ref="D5:N5"/>
    <mergeCell ref="D6:N6"/>
    <mergeCell ref="D10:N10"/>
    <mergeCell ref="D7:N7"/>
    <mergeCell ref="D8:N8"/>
    <mergeCell ref="D9:N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Q13" sqref="Q13"/>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99"/>
  <sheetViews>
    <sheetView showGridLines="0" tabSelected="1" zoomScale="90" zoomScaleNormal="90" zoomScalePageLayoutView="40" workbookViewId="0">
      <selection activeCell="B1" sqref="B1:Q1"/>
    </sheetView>
  </sheetViews>
  <sheetFormatPr defaultColWidth="9.140625" defaultRowHeight="14.25" x14ac:dyDescent="0.2"/>
  <cols>
    <col min="1" max="1" width="1.85546875" style="244" customWidth="1"/>
    <col min="2" max="2" width="3.5703125" style="244" customWidth="1"/>
    <col min="3" max="3" width="29.5703125" style="244" customWidth="1"/>
    <col min="4" max="4" width="55.85546875" style="244" customWidth="1"/>
    <col min="5" max="6" width="12.42578125" style="244" customWidth="1"/>
    <col min="7" max="7" width="12.85546875" style="244" customWidth="1"/>
    <col min="8" max="8" width="13.5703125" style="244" customWidth="1"/>
    <col min="9" max="9" width="12.5703125" style="244" customWidth="1"/>
    <col min="10" max="10" width="14.42578125" style="244" customWidth="1"/>
    <col min="11" max="11" width="12" style="244" customWidth="1"/>
    <col min="12" max="12" width="11.42578125" style="244" customWidth="1"/>
    <col min="13" max="13" width="11.5703125" style="244" bestFit="1" customWidth="1"/>
    <col min="14" max="14" width="14.5703125" style="244" customWidth="1"/>
    <col min="15" max="15" width="13" style="244" customWidth="1"/>
    <col min="16" max="16" width="49" style="244" customWidth="1"/>
    <col min="17" max="17" width="2.140625" style="244" customWidth="1"/>
    <col min="18" max="16384" width="9.140625" style="244"/>
  </cols>
  <sheetData>
    <row r="1" spans="1:25" ht="20.25" x14ac:dyDescent="0.3">
      <c r="A1" s="17"/>
      <c r="B1" s="419" t="s">
        <v>0</v>
      </c>
      <c r="C1" s="419"/>
      <c r="D1" s="419"/>
      <c r="E1" s="419"/>
      <c r="F1" s="419"/>
      <c r="G1" s="419"/>
      <c r="H1" s="419"/>
      <c r="I1" s="419"/>
      <c r="J1" s="419"/>
      <c r="K1" s="419"/>
      <c r="L1" s="419"/>
      <c r="M1" s="419"/>
      <c r="N1" s="419"/>
      <c r="O1" s="419"/>
      <c r="P1" s="419"/>
      <c r="Q1" s="419"/>
      <c r="R1" s="17"/>
      <c r="S1" s="17"/>
      <c r="T1" s="17"/>
      <c r="U1" s="17"/>
      <c r="V1" s="17"/>
      <c r="W1" s="17"/>
      <c r="X1" s="17"/>
      <c r="Y1" s="17"/>
    </row>
    <row r="2" spans="1:25" ht="20.25" x14ac:dyDescent="0.3">
      <c r="A2" s="17"/>
      <c r="B2" s="419" t="s">
        <v>39</v>
      </c>
      <c r="C2" s="419"/>
      <c r="D2" s="419"/>
      <c r="E2" s="419"/>
      <c r="F2" s="419"/>
      <c r="G2" s="419"/>
      <c r="H2" s="419"/>
      <c r="I2" s="419"/>
      <c r="J2" s="419"/>
      <c r="K2" s="419"/>
      <c r="L2" s="419"/>
      <c r="M2" s="419"/>
      <c r="N2" s="419"/>
      <c r="O2" s="419"/>
      <c r="P2" s="419"/>
      <c r="Q2" s="419"/>
      <c r="R2" s="17"/>
      <c r="S2" s="17"/>
      <c r="T2" s="17"/>
      <c r="U2" s="17"/>
      <c r="V2" s="17"/>
      <c r="W2" s="17"/>
      <c r="X2" s="17"/>
      <c r="Y2" s="17"/>
    </row>
    <row r="3" spans="1:25" ht="5.25" customHeight="1" x14ac:dyDescent="0.2">
      <c r="A3" s="17"/>
      <c r="B3" s="9"/>
      <c r="C3" s="17"/>
      <c r="D3" s="17"/>
      <c r="E3" s="17"/>
      <c r="F3" s="17"/>
      <c r="G3" s="17"/>
      <c r="H3" s="17"/>
      <c r="I3" s="17"/>
      <c r="J3" s="17"/>
      <c r="K3" s="17"/>
      <c r="L3" s="17"/>
      <c r="M3" s="17"/>
      <c r="N3" s="17"/>
      <c r="O3" s="17"/>
      <c r="P3" s="17"/>
      <c r="Q3" s="17"/>
      <c r="R3" s="17"/>
      <c r="S3" s="17"/>
      <c r="T3" s="17"/>
      <c r="U3" s="17"/>
      <c r="V3" s="17"/>
      <c r="W3" s="17"/>
      <c r="X3" s="17"/>
      <c r="Y3" s="17"/>
    </row>
    <row r="4" spans="1:25" ht="15" thickBot="1" x14ac:dyDescent="0.25">
      <c r="A4" s="17"/>
      <c r="B4" s="442" t="s">
        <v>40</v>
      </c>
      <c r="C4" s="442"/>
      <c r="D4" s="21" t="s">
        <v>331</v>
      </c>
      <c r="E4" s="370"/>
      <c r="F4" s="17"/>
      <c r="G4" s="17"/>
      <c r="H4" s="17"/>
      <c r="I4" s="17"/>
      <c r="J4" s="17"/>
      <c r="K4" s="17"/>
      <c r="L4" s="17"/>
      <c r="M4" s="17"/>
      <c r="N4" s="17"/>
      <c r="O4" s="17"/>
      <c r="P4" s="17"/>
      <c r="Q4" s="17"/>
      <c r="R4" s="17"/>
      <c r="S4" s="17"/>
      <c r="T4" s="17"/>
      <c r="U4" s="17"/>
      <c r="V4" s="17"/>
      <c r="W4" s="17"/>
      <c r="X4" s="17"/>
      <c r="Y4" s="17"/>
    </row>
    <row r="5" spans="1:25" ht="15" thickBot="1" x14ac:dyDescent="0.25">
      <c r="A5" s="17"/>
      <c r="B5" s="442" t="s">
        <v>41</v>
      </c>
      <c r="C5" s="442"/>
      <c r="D5" s="371">
        <v>1</v>
      </c>
      <c r="E5" s="22" t="s">
        <v>42</v>
      </c>
      <c r="F5" s="372" t="s">
        <v>43</v>
      </c>
      <c r="G5" s="443" t="s">
        <v>681</v>
      </c>
      <c r="H5" s="443"/>
      <c r="I5" s="443"/>
      <c r="J5" s="443"/>
      <c r="K5" s="23"/>
      <c r="L5" s="23"/>
      <c r="M5" s="373" t="s">
        <v>17</v>
      </c>
      <c r="N5" s="374" t="str">
        <f>DQI!I12</f>
        <v>2,4,5,1,1</v>
      </c>
      <c r="O5" s="375"/>
      <c r="P5" s="17" t="s">
        <v>44</v>
      </c>
      <c r="Q5" s="17"/>
      <c r="R5" s="17"/>
      <c r="S5" s="17"/>
      <c r="T5" s="17"/>
      <c r="U5" s="17"/>
      <c r="V5" s="17"/>
      <c r="W5" s="17"/>
      <c r="X5" s="17"/>
      <c r="Y5" s="17"/>
    </row>
    <row r="6" spans="1:25" ht="27.75" customHeight="1" x14ac:dyDescent="0.2">
      <c r="A6" s="17"/>
      <c r="B6" s="444" t="s">
        <v>45</v>
      </c>
      <c r="C6" s="445"/>
      <c r="D6" s="446" t="s">
        <v>608</v>
      </c>
      <c r="E6" s="447"/>
      <c r="F6" s="447"/>
      <c r="G6" s="447"/>
      <c r="H6" s="447"/>
      <c r="I6" s="447"/>
      <c r="J6" s="447"/>
      <c r="K6" s="447"/>
      <c r="L6" s="447"/>
      <c r="M6" s="447"/>
      <c r="N6" s="447"/>
      <c r="O6" s="448"/>
      <c r="P6" s="376"/>
      <c r="Q6" s="17"/>
      <c r="R6" s="17"/>
      <c r="S6" s="17"/>
      <c r="T6" s="17"/>
      <c r="U6" s="17"/>
      <c r="V6" s="17"/>
      <c r="W6" s="17"/>
      <c r="X6" s="17"/>
      <c r="Y6" s="17"/>
    </row>
    <row r="7" spans="1:25" ht="15" thickBot="1" x14ac:dyDescent="0.25">
      <c r="A7" s="17"/>
      <c r="B7" s="9"/>
      <c r="C7" s="17"/>
      <c r="D7" s="17"/>
      <c r="E7" s="17"/>
      <c r="F7" s="17"/>
      <c r="G7" s="17"/>
      <c r="H7" s="17"/>
      <c r="I7" s="17"/>
      <c r="J7" s="17"/>
      <c r="K7" s="17"/>
      <c r="L7" s="17"/>
      <c r="M7" s="17"/>
      <c r="N7" s="17"/>
      <c r="O7" s="17"/>
      <c r="P7" s="17"/>
      <c r="Q7" s="17"/>
      <c r="R7" s="17"/>
      <c r="S7" s="17"/>
      <c r="T7" s="17"/>
      <c r="U7" s="17"/>
      <c r="V7" s="17"/>
      <c r="W7" s="17"/>
      <c r="X7" s="17"/>
      <c r="Y7" s="17"/>
    </row>
    <row r="8" spans="1:25" ht="15" thickBot="1" x14ac:dyDescent="0.25">
      <c r="A8" s="24"/>
      <c r="B8" s="449" t="s">
        <v>46</v>
      </c>
      <c r="C8" s="450"/>
      <c r="D8" s="450"/>
      <c r="E8" s="450"/>
      <c r="F8" s="450"/>
      <c r="G8" s="450"/>
      <c r="H8" s="450"/>
      <c r="I8" s="450"/>
      <c r="J8" s="450"/>
      <c r="K8" s="450"/>
      <c r="L8" s="450"/>
      <c r="M8" s="450"/>
      <c r="N8" s="450"/>
      <c r="O8" s="450"/>
      <c r="P8" s="451"/>
      <c r="Q8" s="24"/>
      <c r="R8" s="24"/>
      <c r="S8" s="24"/>
      <c r="T8" s="24"/>
      <c r="U8" s="24"/>
      <c r="V8" s="24"/>
      <c r="W8" s="24"/>
      <c r="X8" s="24"/>
      <c r="Y8" s="24"/>
    </row>
    <row r="9" spans="1:25" x14ac:dyDescent="0.2">
      <c r="A9" s="17"/>
      <c r="B9" s="9"/>
      <c r="C9" s="17"/>
      <c r="D9" s="17"/>
      <c r="E9" s="17"/>
      <c r="F9" s="17"/>
      <c r="G9" s="17"/>
      <c r="H9" s="17"/>
      <c r="I9" s="17"/>
      <c r="J9" s="17"/>
      <c r="K9" s="17"/>
      <c r="L9" s="17"/>
      <c r="M9" s="17"/>
      <c r="N9" s="17"/>
      <c r="O9" s="17"/>
      <c r="P9" s="17"/>
      <c r="Q9" s="17"/>
      <c r="R9" s="17"/>
      <c r="S9" s="17"/>
      <c r="T9" s="17"/>
      <c r="U9" s="17"/>
      <c r="V9" s="17"/>
      <c r="W9" s="17"/>
      <c r="X9" s="17"/>
      <c r="Y9" s="17"/>
    </row>
    <row r="10" spans="1:25" x14ac:dyDescent="0.2">
      <c r="A10" s="17"/>
      <c r="B10" s="442" t="s">
        <v>47</v>
      </c>
      <c r="C10" s="442"/>
      <c r="D10" s="434" t="s">
        <v>305</v>
      </c>
      <c r="E10" s="436"/>
      <c r="F10" s="17"/>
      <c r="G10" s="25" t="s">
        <v>48</v>
      </c>
      <c r="H10" s="377"/>
      <c r="I10" s="377"/>
      <c r="J10" s="377"/>
      <c r="K10" s="377"/>
      <c r="L10" s="377"/>
      <c r="M10" s="377"/>
      <c r="N10" s="377"/>
      <c r="O10" s="378"/>
      <c r="P10" s="17"/>
      <c r="Q10" s="17"/>
      <c r="R10" s="17"/>
      <c r="S10" s="17"/>
      <c r="T10" s="17"/>
      <c r="U10" s="17"/>
      <c r="V10" s="17"/>
      <c r="W10" s="17"/>
      <c r="X10" s="17"/>
      <c r="Y10" s="17"/>
    </row>
    <row r="11" spans="1:25" x14ac:dyDescent="0.2">
      <c r="A11" s="17"/>
      <c r="B11" s="452" t="s">
        <v>49</v>
      </c>
      <c r="C11" s="453"/>
      <c r="D11" s="434" t="s">
        <v>305</v>
      </c>
      <c r="E11" s="436"/>
      <c r="F11" s="17"/>
      <c r="G11" s="379" t="str">
        <f>CONCATENATE("Reference Flow: ",D5," ",E5," of ",G5)</f>
        <v>Reference Flow: 1 kg of mixed rare earth chloride hexahydrate</v>
      </c>
      <c r="H11" s="380"/>
      <c r="I11" s="380"/>
      <c r="J11" s="380"/>
      <c r="K11" s="380"/>
      <c r="L11" s="380"/>
      <c r="M11" s="380"/>
      <c r="N11" s="380"/>
      <c r="O11" s="381"/>
      <c r="P11" s="17"/>
      <c r="Q11" s="17"/>
      <c r="R11" s="17"/>
      <c r="S11" s="17"/>
      <c r="T11" s="17"/>
      <c r="U11" s="17"/>
      <c r="V11" s="17"/>
      <c r="W11" s="17"/>
      <c r="X11" s="17"/>
      <c r="Y11" s="17"/>
    </row>
    <row r="12" spans="1:25" x14ac:dyDescent="0.2">
      <c r="A12" s="17"/>
      <c r="B12" s="442" t="s">
        <v>50</v>
      </c>
      <c r="C12" s="442"/>
      <c r="D12" s="434" t="s">
        <v>305</v>
      </c>
      <c r="E12" s="436"/>
      <c r="F12" s="17"/>
      <c r="G12" s="379"/>
      <c r="H12" s="380"/>
      <c r="I12" s="380"/>
      <c r="J12" s="380"/>
      <c r="K12" s="380"/>
      <c r="L12" s="380"/>
      <c r="M12" s="380"/>
      <c r="N12" s="380"/>
      <c r="O12" s="381"/>
      <c r="P12" s="17"/>
      <c r="Q12" s="17"/>
      <c r="R12" s="17"/>
      <c r="S12" s="17"/>
      <c r="T12" s="17"/>
      <c r="U12" s="17"/>
      <c r="V12" s="17"/>
      <c r="W12" s="17"/>
      <c r="X12" s="17"/>
      <c r="Y12" s="17"/>
    </row>
    <row r="13" spans="1:25" ht="12.75" customHeight="1" x14ac:dyDescent="0.2">
      <c r="A13" s="17"/>
      <c r="B13" s="442" t="s">
        <v>51</v>
      </c>
      <c r="C13" s="442"/>
      <c r="D13" s="454" t="s">
        <v>91</v>
      </c>
      <c r="E13" s="454"/>
      <c r="F13" s="17"/>
      <c r="G13" s="455" t="s">
        <v>656</v>
      </c>
      <c r="H13" s="456"/>
      <c r="I13" s="456"/>
      <c r="J13" s="456"/>
      <c r="K13" s="456"/>
      <c r="L13" s="456"/>
      <c r="M13" s="456"/>
      <c r="N13" s="456"/>
      <c r="O13" s="457"/>
      <c r="P13" s="17"/>
      <c r="Q13" s="17"/>
      <c r="R13" s="17"/>
      <c r="S13" s="17"/>
      <c r="T13" s="17"/>
      <c r="U13" s="17"/>
      <c r="V13" s="17"/>
      <c r="W13" s="17"/>
      <c r="X13" s="17"/>
      <c r="Y13" s="17"/>
    </row>
    <row r="14" spans="1:25" x14ac:dyDescent="0.2">
      <c r="A14" s="17"/>
      <c r="B14" s="442" t="s">
        <v>52</v>
      </c>
      <c r="C14" s="442"/>
      <c r="D14" s="454" t="s">
        <v>97</v>
      </c>
      <c r="E14" s="454"/>
      <c r="F14" s="17"/>
      <c r="G14" s="455"/>
      <c r="H14" s="456"/>
      <c r="I14" s="456"/>
      <c r="J14" s="456"/>
      <c r="K14" s="456"/>
      <c r="L14" s="456"/>
      <c r="M14" s="456"/>
      <c r="N14" s="456"/>
      <c r="O14" s="457"/>
      <c r="P14" s="17"/>
      <c r="Q14" s="17"/>
      <c r="R14" s="17"/>
      <c r="S14" s="17"/>
      <c r="T14" s="17"/>
      <c r="U14" s="17"/>
      <c r="V14" s="17"/>
      <c r="W14" s="17"/>
      <c r="X14" s="17"/>
      <c r="Y14" s="17"/>
    </row>
    <row r="15" spans="1:25" x14ac:dyDescent="0.2">
      <c r="A15" s="17"/>
      <c r="B15" s="442" t="s">
        <v>53</v>
      </c>
      <c r="C15" s="442"/>
      <c r="D15" s="454" t="s">
        <v>239</v>
      </c>
      <c r="E15" s="454"/>
      <c r="F15" s="17"/>
      <c r="G15" s="455"/>
      <c r="H15" s="456"/>
      <c r="I15" s="456"/>
      <c r="J15" s="456"/>
      <c r="K15" s="456"/>
      <c r="L15" s="456"/>
      <c r="M15" s="456"/>
      <c r="N15" s="456"/>
      <c r="O15" s="457"/>
      <c r="P15" s="17"/>
      <c r="Q15" s="17"/>
      <c r="R15" s="17"/>
      <c r="S15" s="17"/>
      <c r="T15" s="17"/>
      <c r="U15" s="17"/>
      <c r="V15" s="17"/>
      <c r="W15" s="17"/>
      <c r="X15" s="17"/>
      <c r="Y15" s="17"/>
    </row>
    <row r="16" spans="1:25" x14ac:dyDescent="0.2">
      <c r="A16" s="17"/>
      <c r="B16" s="442" t="s">
        <v>54</v>
      </c>
      <c r="C16" s="442"/>
      <c r="D16" s="454" t="s">
        <v>93</v>
      </c>
      <c r="E16" s="454"/>
      <c r="F16" s="17"/>
      <c r="G16" s="455"/>
      <c r="H16" s="456"/>
      <c r="I16" s="456"/>
      <c r="J16" s="456"/>
      <c r="K16" s="456"/>
      <c r="L16" s="456"/>
      <c r="M16" s="456"/>
      <c r="N16" s="456"/>
      <c r="O16" s="457"/>
      <c r="P16" s="17"/>
      <c r="Q16" s="17"/>
      <c r="R16" s="17"/>
      <c r="S16" s="17"/>
      <c r="T16" s="17"/>
      <c r="U16" s="17"/>
      <c r="V16" s="17"/>
      <c r="W16" s="17"/>
      <c r="X16" s="17"/>
      <c r="Y16" s="17"/>
    </row>
    <row r="17" spans="1:25" ht="23.45" customHeight="1" x14ac:dyDescent="0.2">
      <c r="A17" s="17"/>
      <c r="B17" s="462" t="s">
        <v>55</v>
      </c>
      <c r="C17" s="463"/>
      <c r="D17" s="464"/>
      <c r="E17" s="464"/>
      <c r="F17" s="17"/>
      <c r="G17" s="26" t="s">
        <v>238</v>
      </c>
      <c r="H17" s="382"/>
      <c r="I17" s="382"/>
      <c r="J17" s="382"/>
      <c r="K17" s="382"/>
      <c r="L17" s="382"/>
      <c r="M17" s="382"/>
      <c r="N17" s="382"/>
      <c r="O17" s="383"/>
      <c r="P17" s="17"/>
      <c r="Q17" s="17"/>
      <c r="R17" s="17"/>
      <c r="S17" s="17"/>
      <c r="T17" s="17"/>
      <c r="U17" s="17"/>
      <c r="V17" s="17"/>
      <c r="W17" s="17"/>
      <c r="X17" s="17"/>
      <c r="Y17" s="17"/>
    </row>
    <row r="18" spans="1:25" x14ac:dyDescent="0.2">
      <c r="A18" s="17"/>
      <c r="B18" s="9"/>
      <c r="C18" s="17"/>
      <c r="D18" s="17"/>
      <c r="E18" s="17"/>
      <c r="F18" s="17"/>
      <c r="G18" s="17"/>
      <c r="H18" s="17"/>
      <c r="I18" s="17"/>
      <c r="J18" s="17"/>
      <c r="K18" s="17"/>
      <c r="L18" s="17"/>
      <c r="M18" s="17"/>
      <c r="N18" s="17"/>
      <c r="O18" s="17"/>
      <c r="P18" s="17"/>
      <c r="Q18" s="17"/>
      <c r="R18" s="17"/>
      <c r="S18" s="17"/>
      <c r="T18" s="17"/>
      <c r="U18" s="17"/>
      <c r="V18" s="17"/>
      <c r="W18" s="17"/>
      <c r="X18" s="17"/>
      <c r="Y18" s="17"/>
    </row>
    <row r="19" spans="1:25" ht="15" thickBot="1" x14ac:dyDescent="0.25">
      <c r="A19" s="17"/>
      <c r="B19" s="9"/>
      <c r="C19" s="17"/>
      <c r="D19" s="17"/>
      <c r="E19" s="17"/>
      <c r="F19" s="17"/>
      <c r="G19" s="17"/>
      <c r="H19" s="17"/>
      <c r="I19" s="17"/>
      <c r="J19" s="17"/>
      <c r="K19" s="17"/>
      <c r="L19" s="17"/>
      <c r="M19" s="17"/>
      <c r="N19" s="17"/>
      <c r="O19" s="17"/>
      <c r="P19" s="17"/>
      <c r="Q19" s="17"/>
      <c r="R19" s="17"/>
      <c r="S19" s="17"/>
      <c r="T19" s="17"/>
      <c r="U19" s="17"/>
      <c r="V19" s="17"/>
      <c r="W19" s="17"/>
      <c r="X19" s="17"/>
      <c r="Y19" s="17"/>
    </row>
    <row r="20" spans="1:25" ht="15" thickBot="1" x14ac:dyDescent="0.25">
      <c r="A20" s="24"/>
      <c r="B20" s="449" t="s">
        <v>56</v>
      </c>
      <c r="C20" s="450"/>
      <c r="D20" s="450"/>
      <c r="E20" s="450"/>
      <c r="F20" s="450"/>
      <c r="G20" s="450"/>
      <c r="H20" s="450"/>
      <c r="I20" s="450"/>
      <c r="J20" s="450"/>
      <c r="K20" s="450"/>
      <c r="L20" s="450"/>
      <c r="M20" s="450"/>
      <c r="N20" s="450"/>
      <c r="O20" s="450"/>
      <c r="P20" s="451"/>
      <c r="Q20" s="24"/>
      <c r="R20" s="24"/>
      <c r="S20" s="24"/>
      <c r="T20" s="24"/>
      <c r="U20" s="24"/>
      <c r="V20" s="24"/>
      <c r="W20" s="24"/>
      <c r="X20" s="24"/>
      <c r="Y20" s="24"/>
    </row>
    <row r="21" spans="1:25" x14ac:dyDescent="0.2">
      <c r="A21" s="17"/>
      <c r="B21" s="9"/>
      <c r="C21" s="17"/>
      <c r="D21" s="17"/>
      <c r="E21" s="17"/>
      <c r="F21" s="17"/>
      <c r="G21" s="27" t="s">
        <v>57</v>
      </c>
      <c r="H21" s="17"/>
      <c r="I21" s="17"/>
      <c r="J21" s="17"/>
      <c r="K21" s="17"/>
      <c r="L21" s="17"/>
      <c r="M21" s="17"/>
      <c r="N21" s="17"/>
      <c r="O21" s="17"/>
      <c r="P21" s="17"/>
      <c r="Q21" s="17"/>
      <c r="R21" s="17"/>
      <c r="S21" s="17"/>
      <c r="T21" s="17"/>
      <c r="U21" s="17"/>
      <c r="V21" s="17"/>
      <c r="W21" s="17"/>
      <c r="X21" s="17"/>
      <c r="Y21" s="17"/>
    </row>
    <row r="22" spans="1:25" x14ac:dyDescent="0.2">
      <c r="A22" s="17"/>
      <c r="B22" s="9"/>
      <c r="C22" s="345" t="s">
        <v>58</v>
      </c>
      <c r="D22" s="345" t="s">
        <v>59</v>
      </c>
      <c r="E22" s="345" t="s">
        <v>60</v>
      </c>
      <c r="F22" s="345" t="s">
        <v>61</v>
      </c>
      <c r="G22" s="345" t="s">
        <v>62</v>
      </c>
      <c r="H22" s="345" t="s">
        <v>63</v>
      </c>
      <c r="I22" s="345" t="s">
        <v>64</v>
      </c>
      <c r="J22" s="465" t="s">
        <v>65</v>
      </c>
      <c r="K22" s="466"/>
      <c r="L22" s="466"/>
      <c r="M22" s="466"/>
      <c r="N22" s="466"/>
      <c r="O22" s="466"/>
      <c r="P22" s="467"/>
      <c r="Q22" s="17"/>
      <c r="R22" s="17"/>
      <c r="S22" s="17"/>
      <c r="T22" s="17"/>
      <c r="U22" s="17"/>
      <c r="V22" s="17"/>
      <c r="W22" s="17"/>
      <c r="X22" s="17"/>
      <c r="Y22" s="17"/>
    </row>
    <row r="23" spans="1:25" x14ac:dyDescent="0.2">
      <c r="A23" s="17"/>
      <c r="B23" s="17">
        <f t="shared" ref="B23:B94" si="0">LEN(C23)</f>
        <v>2</v>
      </c>
      <c r="C23" s="28" t="s">
        <v>254</v>
      </c>
      <c r="D23" s="29"/>
      <c r="E23" s="30">
        <v>1</v>
      </c>
      <c r="F23" s="31"/>
      <c r="G23" s="32"/>
      <c r="H23" s="33" t="s">
        <v>805</v>
      </c>
      <c r="I23" s="31"/>
      <c r="J23" s="434" t="s">
        <v>613</v>
      </c>
      <c r="K23" s="435"/>
      <c r="L23" s="435"/>
      <c r="M23" s="435"/>
      <c r="N23" s="435"/>
      <c r="O23" s="435"/>
      <c r="P23" s="436"/>
      <c r="Q23" s="17"/>
      <c r="R23" s="17"/>
      <c r="S23" s="17"/>
      <c r="T23" s="17"/>
      <c r="U23" s="17"/>
      <c r="V23" s="17"/>
      <c r="W23" s="17"/>
      <c r="X23" s="17"/>
      <c r="Y23" s="17"/>
    </row>
    <row r="24" spans="1:25" x14ac:dyDescent="0.2">
      <c r="A24" s="17"/>
      <c r="B24" s="17">
        <f t="shared" si="0"/>
        <v>2</v>
      </c>
      <c r="C24" s="28" t="s">
        <v>253</v>
      </c>
      <c r="D24" s="29"/>
      <c r="E24" s="30">
        <v>0</v>
      </c>
      <c r="F24" s="31"/>
      <c r="G24" s="32"/>
      <c r="H24" s="33" t="s">
        <v>805</v>
      </c>
      <c r="I24" s="31"/>
      <c r="J24" s="434" t="s">
        <v>614</v>
      </c>
      <c r="K24" s="435"/>
      <c r="L24" s="435"/>
      <c r="M24" s="435"/>
      <c r="N24" s="435"/>
      <c r="O24" s="435"/>
      <c r="P24" s="436"/>
      <c r="Q24" s="17"/>
      <c r="R24" s="17"/>
      <c r="S24" s="17"/>
      <c r="T24" s="17"/>
      <c r="U24" s="17"/>
      <c r="V24" s="17"/>
      <c r="W24" s="17"/>
      <c r="X24" s="17"/>
      <c r="Y24" s="17"/>
    </row>
    <row r="25" spans="1:25" x14ac:dyDescent="0.2">
      <c r="A25" s="17"/>
      <c r="B25" s="17">
        <f t="shared" si="0"/>
        <v>2</v>
      </c>
      <c r="C25" s="28" t="s">
        <v>250</v>
      </c>
      <c r="D25" s="29"/>
      <c r="E25" s="30">
        <v>0</v>
      </c>
      <c r="F25" s="31"/>
      <c r="G25" s="32"/>
      <c r="H25" s="33" t="s">
        <v>805</v>
      </c>
      <c r="I25" s="31"/>
      <c r="J25" s="434" t="s">
        <v>615</v>
      </c>
      <c r="K25" s="435"/>
      <c r="L25" s="435"/>
      <c r="M25" s="435"/>
      <c r="N25" s="435"/>
      <c r="O25" s="435"/>
      <c r="P25" s="436"/>
      <c r="Q25" s="17"/>
      <c r="R25" s="17"/>
      <c r="S25" s="17"/>
      <c r="T25" s="17"/>
      <c r="U25" s="17"/>
      <c r="V25" s="17"/>
      <c r="W25" s="17"/>
      <c r="X25" s="17"/>
      <c r="Y25" s="17"/>
    </row>
    <row r="26" spans="1:25" x14ac:dyDescent="0.2">
      <c r="A26" s="17"/>
      <c r="B26" s="17">
        <f t="shared" si="0"/>
        <v>2</v>
      </c>
      <c r="C26" s="28" t="s">
        <v>251</v>
      </c>
      <c r="D26" s="29"/>
      <c r="E26" s="30">
        <v>0</v>
      </c>
      <c r="F26" s="31"/>
      <c r="G26" s="32"/>
      <c r="H26" s="33" t="s">
        <v>805</v>
      </c>
      <c r="I26" s="31"/>
      <c r="J26" s="434" t="s">
        <v>616</v>
      </c>
      <c r="K26" s="435"/>
      <c r="L26" s="435"/>
      <c r="M26" s="435"/>
      <c r="N26" s="435"/>
      <c r="O26" s="435"/>
      <c r="P26" s="436"/>
      <c r="Q26" s="17"/>
      <c r="R26" s="17"/>
      <c r="S26" s="17"/>
      <c r="T26" s="17"/>
      <c r="U26" s="17"/>
      <c r="V26" s="17"/>
      <c r="W26" s="17"/>
      <c r="X26" s="17"/>
      <c r="Y26" s="17"/>
    </row>
    <row r="27" spans="1:25" x14ac:dyDescent="0.2">
      <c r="A27" s="17"/>
      <c r="B27" s="17">
        <f t="shared" si="0"/>
        <v>2</v>
      </c>
      <c r="C27" s="28" t="s">
        <v>255</v>
      </c>
      <c r="D27" s="29"/>
      <c r="E27" s="30">
        <v>0</v>
      </c>
      <c r="F27" s="31"/>
      <c r="G27" s="32"/>
      <c r="H27" s="33" t="s">
        <v>805</v>
      </c>
      <c r="I27" s="31"/>
      <c r="J27" s="434" t="s">
        <v>617</v>
      </c>
      <c r="K27" s="435"/>
      <c r="L27" s="435"/>
      <c r="M27" s="435"/>
      <c r="N27" s="435"/>
      <c r="O27" s="435"/>
      <c r="P27" s="436"/>
      <c r="Q27" s="17"/>
      <c r="R27" s="17"/>
      <c r="S27" s="17"/>
      <c r="T27" s="17"/>
      <c r="U27" s="17"/>
      <c r="V27" s="17"/>
      <c r="W27" s="17"/>
      <c r="X27" s="17"/>
      <c r="Y27" s="17"/>
    </row>
    <row r="28" spans="1:25" x14ac:dyDescent="0.2">
      <c r="A28" s="17"/>
      <c r="B28" s="17">
        <f t="shared" si="0"/>
        <v>2</v>
      </c>
      <c r="C28" s="28" t="s">
        <v>256</v>
      </c>
      <c r="D28" s="29"/>
      <c r="E28" s="30">
        <v>0</v>
      </c>
      <c r="F28" s="31"/>
      <c r="G28" s="32"/>
      <c r="H28" s="33" t="s">
        <v>805</v>
      </c>
      <c r="I28" s="31"/>
      <c r="J28" s="434" t="s">
        <v>618</v>
      </c>
      <c r="K28" s="435"/>
      <c r="L28" s="435"/>
      <c r="M28" s="435"/>
      <c r="N28" s="435"/>
      <c r="O28" s="435"/>
      <c r="P28" s="436"/>
      <c r="Q28" s="17"/>
      <c r="R28" s="17"/>
      <c r="S28" s="17"/>
      <c r="T28" s="17"/>
      <c r="U28" s="17"/>
      <c r="V28" s="17"/>
      <c r="W28" s="17"/>
      <c r="X28" s="17"/>
      <c r="Y28" s="17"/>
    </row>
    <row r="29" spans="1:25" x14ac:dyDescent="0.2">
      <c r="A29" s="17"/>
      <c r="B29" s="17">
        <f t="shared" si="0"/>
        <v>2</v>
      </c>
      <c r="C29" s="28" t="s">
        <v>257</v>
      </c>
      <c r="D29" s="29"/>
      <c r="E29" s="30">
        <v>0</v>
      </c>
      <c r="F29" s="31"/>
      <c r="G29" s="32"/>
      <c r="H29" s="33" t="s">
        <v>805</v>
      </c>
      <c r="I29" s="31"/>
      <c r="J29" s="434" t="s">
        <v>619</v>
      </c>
      <c r="K29" s="435"/>
      <c r="L29" s="435"/>
      <c r="M29" s="435"/>
      <c r="N29" s="435"/>
      <c r="O29" s="435"/>
      <c r="P29" s="436"/>
      <c r="Q29" s="17"/>
      <c r="R29" s="17"/>
      <c r="S29" s="17"/>
      <c r="T29" s="17"/>
      <c r="U29" s="17"/>
      <c r="V29" s="17"/>
      <c r="W29" s="17"/>
      <c r="X29" s="17"/>
      <c r="Y29" s="17"/>
    </row>
    <row r="30" spans="1:25" x14ac:dyDescent="0.2">
      <c r="A30" s="17"/>
      <c r="B30" s="17">
        <f t="shared" si="0"/>
        <v>2</v>
      </c>
      <c r="C30" s="28" t="s">
        <v>258</v>
      </c>
      <c r="D30" s="29"/>
      <c r="E30" s="30">
        <v>0</v>
      </c>
      <c r="F30" s="31"/>
      <c r="G30" s="32"/>
      <c r="H30" s="33" t="s">
        <v>805</v>
      </c>
      <c r="I30" s="31"/>
      <c r="J30" s="434" t="s">
        <v>620</v>
      </c>
      <c r="K30" s="435"/>
      <c r="L30" s="435"/>
      <c r="M30" s="435"/>
      <c r="N30" s="435"/>
      <c r="O30" s="435"/>
      <c r="P30" s="436"/>
      <c r="Q30" s="17"/>
      <c r="R30" s="17"/>
      <c r="S30" s="17"/>
      <c r="T30" s="17"/>
      <c r="U30" s="17"/>
      <c r="V30" s="17"/>
      <c r="W30" s="17"/>
      <c r="X30" s="17"/>
      <c r="Y30" s="17"/>
    </row>
    <row r="31" spans="1:25" x14ac:dyDescent="0.2">
      <c r="A31" s="17"/>
      <c r="B31" s="17">
        <f t="shared" si="0"/>
        <v>2</v>
      </c>
      <c r="C31" s="28" t="s">
        <v>259</v>
      </c>
      <c r="D31" s="29"/>
      <c r="E31" s="30">
        <v>0</v>
      </c>
      <c r="F31" s="31"/>
      <c r="G31" s="32"/>
      <c r="H31" s="33" t="s">
        <v>805</v>
      </c>
      <c r="I31" s="31"/>
      <c r="J31" s="434" t="s">
        <v>621</v>
      </c>
      <c r="K31" s="435"/>
      <c r="L31" s="435"/>
      <c r="M31" s="435"/>
      <c r="N31" s="435"/>
      <c r="O31" s="435"/>
      <c r="P31" s="436"/>
      <c r="Q31" s="17"/>
      <c r="R31" s="17"/>
      <c r="S31" s="17"/>
      <c r="T31" s="17"/>
      <c r="U31" s="17"/>
      <c r="V31" s="17"/>
      <c r="W31" s="17"/>
      <c r="X31" s="17"/>
      <c r="Y31" s="17"/>
    </row>
    <row r="32" spans="1:25" x14ac:dyDescent="0.2">
      <c r="A32" s="17"/>
      <c r="B32" s="17">
        <f t="shared" si="0"/>
        <v>2</v>
      </c>
      <c r="C32" s="28" t="s">
        <v>260</v>
      </c>
      <c r="D32" s="29"/>
      <c r="E32" s="30">
        <v>0</v>
      </c>
      <c r="F32" s="31"/>
      <c r="G32" s="32"/>
      <c r="H32" s="33" t="s">
        <v>805</v>
      </c>
      <c r="I32" s="31"/>
      <c r="J32" s="434" t="s">
        <v>622</v>
      </c>
      <c r="K32" s="435"/>
      <c r="L32" s="435"/>
      <c r="M32" s="435"/>
      <c r="N32" s="435"/>
      <c r="O32" s="435"/>
      <c r="P32" s="436"/>
      <c r="Q32" s="17"/>
      <c r="R32" s="17"/>
      <c r="S32" s="17"/>
      <c r="T32" s="17"/>
      <c r="U32" s="17"/>
      <c r="V32" s="17"/>
      <c r="W32" s="17"/>
      <c r="X32" s="17"/>
      <c r="Y32" s="17"/>
    </row>
    <row r="33" spans="1:25" x14ac:dyDescent="0.2">
      <c r="A33" s="17"/>
      <c r="B33" s="17">
        <f t="shared" si="0"/>
        <v>2</v>
      </c>
      <c r="C33" s="28" t="s">
        <v>261</v>
      </c>
      <c r="D33" s="29"/>
      <c r="E33" s="30">
        <v>0</v>
      </c>
      <c r="F33" s="31"/>
      <c r="G33" s="32"/>
      <c r="H33" s="33" t="s">
        <v>805</v>
      </c>
      <c r="I33" s="31"/>
      <c r="J33" s="434" t="s">
        <v>623</v>
      </c>
      <c r="K33" s="435"/>
      <c r="L33" s="435"/>
      <c r="M33" s="435"/>
      <c r="N33" s="435"/>
      <c r="O33" s="435"/>
      <c r="P33" s="436"/>
      <c r="Q33" s="17"/>
      <c r="R33" s="17"/>
      <c r="S33" s="17"/>
      <c r="T33" s="17"/>
      <c r="U33" s="17"/>
      <c r="V33" s="17"/>
      <c r="W33" s="17"/>
      <c r="X33" s="17"/>
      <c r="Y33" s="17"/>
    </row>
    <row r="34" spans="1:25" x14ac:dyDescent="0.2">
      <c r="A34" s="17"/>
      <c r="B34" s="17">
        <f t="shared" si="0"/>
        <v>2</v>
      </c>
      <c r="C34" s="28" t="s">
        <v>262</v>
      </c>
      <c r="D34" s="29"/>
      <c r="E34" s="30">
        <v>0</v>
      </c>
      <c r="F34" s="31"/>
      <c r="G34" s="32"/>
      <c r="H34" s="33" t="s">
        <v>805</v>
      </c>
      <c r="I34" s="31"/>
      <c r="J34" s="434" t="s">
        <v>624</v>
      </c>
      <c r="K34" s="435"/>
      <c r="L34" s="435"/>
      <c r="M34" s="435"/>
      <c r="N34" s="435"/>
      <c r="O34" s="435"/>
      <c r="P34" s="436"/>
      <c r="Q34" s="17"/>
      <c r="R34" s="17"/>
      <c r="S34" s="17"/>
      <c r="T34" s="17"/>
      <c r="U34" s="17"/>
      <c r="V34" s="17"/>
      <c r="W34" s="17"/>
      <c r="X34" s="17"/>
      <c r="Y34" s="17"/>
    </row>
    <row r="35" spans="1:25" x14ac:dyDescent="0.2">
      <c r="A35" s="17"/>
      <c r="B35" s="17">
        <f t="shared" si="0"/>
        <v>2</v>
      </c>
      <c r="C35" s="28" t="s">
        <v>263</v>
      </c>
      <c r="D35" s="29"/>
      <c r="E35" s="30">
        <v>0</v>
      </c>
      <c r="F35" s="31"/>
      <c r="G35" s="32"/>
      <c r="H35" s="33" t="s">
        <v>805</v>
      </c>
      <c r="I35" s="31"/>
      <c r="J35" s="434" t="s">
        <v>625</v>
      </c>
      <c r="K35" s="435"/>
      <c r="L35" s="435"/>
      <c r="M35" s="435"/>
      <c r="N35" s="435"/>
      <c r="O35" s="435"/>
      <c r="P35" s="436"/>
      <c r="Q35" s="17"/>
      <c r="R35" s="17"/>
      <c r="S35" s="17"/>
      <c r="T35" s="17"/>
      <c r="U35" s="17"/>
      <c r="V35" s="17"/>
      <c r="W35" s="17"/>
      <c r="X35" s="17"/>
      <c r="Y35" s="17"/>
    </row>
    <row r="36" spans="1:25" x14ac:dyDescent="0.2">
      <c r="A36" s="17"/>
      <c r="B36" s="17">
        <f t="shared" si="0"/>
        <v>2</v>
      </c>
      <c r="C36" s="28" t="s">
        <v>264</v>
      </c>
      <c r="D36" s="29"/>
      <c r="E36" s="30">
        <v>0</v>
      </c>
      <c r="F36" s="31"/>
      <c r="G36" s="32"/>
      <c r="H36" s="33" t="s">
        <v>805</v>
      </c>
      <c r="I36" s="31"/>
      <c r="J36" s="434" t="s">
        <v>626</v>
      </c>
      <c r="K36" s="435"/>
      <c r="L36" s="435"/>
      <c r="M36" s="435"/>
      <c r="N36" s="435"/>
      <c r="O36" s="435"/>
      <c r="P36" s="436"/>
      <c r="Q36" s="17"/>
      <c r="R36" s="17"/>
      <c r="S36" s="17"/>
      <c r="T36" s="17"/>
      <c r="U36" s="17"/>
      <c r="V36" s="17"/>
      <c r="W36" s="17"/>
      <c r="X36" s="17"/>
      <c r="Y36" s="17"/>
    </row>
    <row r="37" spans="1:25" x14ac:dyDescent="0.2">
      <c r="A37" s="17"/>
      <c r="B37" s="17">
        <f t="shared" si="0"/>
        <v>1</v>
      </c>
      <c r="C37" s="28" t="s">
        <v>265</v>
      </c>
      <c r="D37" s="29"/>
      <c r="E37" s="30">
        <v>0</v>
      </c>
      <c r="F37" s="31"/>
      <c r="G37" s="32"/>
      <c r="H37" s="33" t="s">
        <v>805</v>
      </c>
      <c r="I37" s="31"/>
      <c r="J37" s="434" t="s">
        <v>572</v>
      </c>
      <c r="K37" s="435"/>
      <c r="L37" s="435"/>
      <c r="M37" s="435"/>
      <c r="N37" s="435"/>
      <c r="O37" s="435"/>
      <c r="P37" s="436"/>
      <c r="Q37" s="17"/>
      <c r="R37" s="17"/>
      <c r="S37" s="17"/>
      <c r="T37" s="17"/>
      <c r="U37" s="17"/>
      <c r="V37" s="17"/>
      <c r="W37" s="17"/>
      <c r="X37" s="17"/>
      <c r="Y37" s="17"/>
    </row>
    <row r="38" spans="1:25" x14ac:dyDescent="0.2">
      <c r="A38" s="17"/>
      <c r="B38" s="17">
        <f t="shared" si="0"/>
        <v>13</v>
      </c>
      <c r="C38" s="28" t="s">
        <v>590</v>
      </c>
      <c r="D38" s="29"/>
      <c r="E38" s="65">
        <v>0.98</v>
      </c>
      <c r="F38" s="31"/>
      <c r="G38" s="32"/>
      <c r="H38" s="33" t="s">
        <v>244</v>
      </c>
      <c r="I38" s="350" t="s">
        <v>303</v>
      </c>
      <c r="J38" s="434" t="s">
        <v>627</v>
      </c>
      <c r="K38" s="435"/>
      <c r="L38" s="435"/>
      <c r="M38" s="435"/>
      <c r="N38" s="435"/>
      <c r="O38" s="435"/>
      <c r="P38" s="436"/>
      <c r="Q38" s="17"/>
      <c r="R38" s="17"/>
      <c r="S38" s="17"/>
      <c r="T38" s="17"/>
      <c r="U38" s="17"/>
      <c r="V38" s="17"/>
      <c r="W38" s="17"/>
      <c r="X38" s="17"/>
      <c r="Y38" s="17"/>
    </row>
    <row r="39" spans="1:25" x14ac:dyDescent="0.2">
      <c r="A39" s="17"/>
      <c r="B39" s="17">
        <f t="shared" si="0"/>
        <v>7</v>
      </c>
      <c r="C39" s="28" t="s">
        <v>503</v>
      </c>
      <c r="D39" s="29"/>
      <c r="E39" s="77">
        <f>'RE input'!F80</f>
        <v>0.57113281317219189</v>
      </c>
      <c r="F39" s="31"/>
      <c r="G39" s="32"/>
      <c r="H39" s="33" t="s">
        <v>244</v>
      </c>
      <c r="I39" s="31">
        <v>1</v>
      </c>
      <c r="J39" s="434" t="str">
        <f>"[kg/kg] kg of Ce per kg of rare earth chloride concentrate input"</f>
        <v>[kg/kg] kg of Ce per kg of rare earth chloride concentrate input</v>
      </c>
      <c r="K39" s="435"/>
      <c r="L39" s="435"/>
      <c r="M39" s="435"/>
      <c r="N39" s="435"/>
      <c r="O39" s="435"/>
      <c r="P39" s="436"/>
      <c r="Q39" s="17"/>
      <c r="R39" s="17"/>
      <c r="S39" s="17"/>
      <c r="T39" s="17"/>
      <c r="U39" s="17"/>
      <c r="V39" s="17"/>
      <c r="W39" s="17"/>
      <c r="X39" s="17"/>
      <c r="Y39" s="17"/>
    </row>
    <row r="40" spans="1:25" x14ac:dyDescent="0.2">
      <c r="A40" s="17"/>
      <c r="B40" s="17">
        <f t="shared" si="0"/>
        <v>7</v>
      </c>
      <c r="C40" s="28" t="s">
        <v>504</v>
      </c>
      <c r="D40" s="29"/>
      <c r="E40" s="314">
        <f>'RE input'!F81</f>
        <v>0.28223792518827362</v>
      </c>
      <c r="F40" s="31"/>
      <c r="G40" s="32"/>
      <c r="H40" s="33" t="s">
        <v>244</v>
      </c>
      <c r="I40" s="31">
        <v>1</v>
      </c>
      <c r="J40" s="434" t="str">
        <f>"[kg/kg] kg of La per kg of rare earth chloride concentrate input"</f>
        <v>[kg/kg] kg of La per kg of rare earth chloride concentrate input</v>
      </c>
      <c r="K40" s="435"/>
      <c r="L40" s="435"/>
      <c r="M40" s="435"/>
      <c r="N40" s="435"/>
      <c r="O40" s="435"/>
      <c r="P40" s="436"/>
      <c r="Q40" s="17"/>
      <c r="R40" s="17"/>
      <c r="S40" s="17"/>
      <c r="T40" s="17"/>
      <c r="U40" s="17"/>
      <c r="V40" s="17"/>
      <c r="W40" s="17"/>
      <c r="X40" s="17"/>
      <c r="Y40" s="17"/>
    </row>
    <row r="41" spans="1:25" x14ac:dyDescent="0.2">
      <c r="A41" s="17"/>
      <c r="B41" s="17">
        <f t="shared" si="0"/>
        <v>7</v>
      </c>
      <c r="C41" s="28" t="s">
        <v>505</v>
      </c>
      <c r="D41" s="29"/>
      <c r="E41" s="314">
        <f>'RE input'!F82</f>
        <v>3.5593432959001928E-2</v>
      </c>
      <c r="F41" s="31"/>
      <c r="G41" s="32"/>
      <c r="H41" s="33" t="s">
        <v>244</v>
      </c>
      <c r="I41" s="31">
        <v>1</v>
      </c>
      <c r="J41" s="434" t="str">
        <f>"[kg/kg] kg of Pr per kg of rare earth chloride concentrate input"</f>
        <v>[kg/kg] kg of Pr per kg of rare earth chloride concentrate input</v>
      </c>
      <c r="K41" s="435"/>
      <c r="L41" s="435"/>
      <c r="M41" s="435"/>
      <c r="N41" s="435"/>
      <c r="O41" s="435"/>
      <c r="P41" s="436"/>
      <c r="Q41" s="17"/>
      <c r="R41" s="17"/>
      <c r="S41" s="17"/>
      <c r="T41" s="17"/>
      <c r="U41" s="17"/>
      <c r="V41" s="17"/>
      <c r="W41" s="17"/>
      <c r="X41" s="17"/>
      <c r="Y41" s="17"/>
    </row>
    <row r="42" spans="1:25" x14ac:dyDescent="0.2">
      <c r="A42" s="17"/>
      <c r="B42" s="17">
        <f t="shared" si="0"/>
        <v>7</v>
      </c>
      <c r="C42" s="28" t="s">
        <v>506</v>
      </c>
      <c r="D42" s="29"/>
      <c r="E42" s="314">
        <f>'RE input'!F83</f>
        <v>0.10092711575556447</v>
      </c>
      <c r="F42" s="31"/>
      <c r="G42" s="32"/>
      <c r="H42" s="33" t="s">
        <v>244</v>
      </c>
      <c r="I42" s="31">
        <v>1</v>
      </c>
      <c r="J42" s="434" t="str">
        <f>"[kg/kg] kg of Nd per kg of rare earth chloride concentrate input"</f>
        <v>[kg/kg] kg of Nd per kg of rare earth chloride concentrate input</v>
      </c>
      <c r="K42" s="435"/>
      <c r="L42" s="435"/>
      <c r="M42" s="435"/>
      <c r="N42" s="435"/>
      <c r="O42" s="435"/>
      <c r="P42" s="436"/>
      <c r="Q42" s="17"/>
      <c r="R42" s="17"/>
      <c r="S42" s="17"/>
      <c r="T42" s="17"/>
      <c r="U42" s="17"/>
      <c r="V42" s="17"/>
      <c r="W42" s="17"/>
      <c r="X42" s="17"/>
      <c r="Y42" s="17"/>
    </row>
    <row r="43" spans="1:25" x14ac:dyDescent="0.2">
      <c r="A43" s="17"/>
      <c r="B43" s="17">
        <f t="shared" si="0"/>
        <v>7</v>
      </c>
      <c r="C43" s="28" t="s">
        <v>507</v>
      </c>
      <c r="D43" s="29"/>
      <c r="E43" s="314">
        <f>'RE input'!F84</f>
        <v>6.5594331875674337E-3</v>
      </c>
      <c r="F43" s="31"/>
      <c r="G43" s="32"/>
      <c r="H43" s="33" t="s">
        <v>244</v>
      </c>
      <c r="I43" s="31">
        <v>1</v>
      </c>
      <c r="J43" s="434" t="str">
        <f>"[kg/kg] kg of Sm per kg of rare earth chloride concentrate input"</f>
        <v>[kg/kg] kg of Sm per kg of rare earth chloride concentrate input</v>
      </c>
      <c r="K43" s="435"/>
      <c r="L43" s="435"/>
      <c r="M43" s="435"/>
      <c r="N43" s="435"/>
      <c r="O43" s="435"/>
      <c r="P43" s="436"/>
      <c r="Q43" s="17"/>
      <c r="R43" s="17"/>
      <c r="S43" s="17"/>
      <c r="T43" s="17"/>
      <c r="U43" s="17"/>
      <c r="V43" s="17"/>
      <c r="W43" s="17"/>
      <c r="X43" s="17"/>
      <c r="Y43" s="17"/>
    </row>
    <row r="44" spans="1:25" x14ac:dyDescent="0.2">
      <c r="A44" s="17"/>
      <c r="B44" s="17">
        <f t="shared" si="0"/>
        <v>7</v>
      </c>
      <c r="C44" s="28" t="s">
        <v>508</v>
      </c>
      <c r="D44" s="29"/>
      <c r="E44" s="314">
        <f>'RE input'!F85</f>
        <v>9.7813634025587697E-4</v>
      </c>
      <c r="F44" s="31"/>
      <c r="G44" s="32"/>
      <c r="H44" s="33" t="s">
        <v>244</v>
      </c>
      <c r="I44" s="31">
        <v>1</v>
      </c>
      <c r="J44" s="434" t="str">
        <f>"[kg/kg] kg of Eu per kg of rare earth chloride concentrate input"</f>
        <v>[kg/kg] kg of Eu per kg of rare earth chloride concentrate input</v>
      </c>
      <c r="K44" s="435"/>
      <c r="L44" s="435"/>
      <c r="M44" s="435"/>
      <c r="N44" s="435"/>
      <c r="O44" s="435"/>
      <c r="P44" s="436"/>
      <c r="Q44" s="17"/>
      <c r="R44" s="17"/>
      <c r="S44" s="17"/>
      <c r="T44" s="17"/>
      <c r="U44" s="17"/>
      <c r="V44" s="17"/>
      <c r="W44" s="17"/>
      <c r="X44" s="17"/>
      <c r="Y44" s="17"/>
    </row>
    <row r="45" spans="1:25" x14ac:dyDescent="0.2">
      <c r="A45" s="17"/>
      <c r="B45" s="17">
        <f t="shared" si="0"/>
        <v>7</v>
      </c>
      <c r="C45" s="28" t="s">
        <v>509</v>
      </c>
      <c r="D45" s="29"/>
      <c r="E45" s="314">
        <f>'RE input'!F86</f>
        <v>1.3632276267685913E-3</v>
      </c>
      <c r="F45" s="31"/>
      <c r="G45" s="32"/>
      <c r="H45" s="33" t="s">
        <v>244</v>
      </c>
      <c r="I45" s="31">
        <v>1</v>
      </c>
      <c r="J45" s="434" t="str">
        <f>"[kg/kg] kg of Gd per kg of rare earth chloride concentrate input"</f>
        <v>[kg/kg] kg of Gd per kg of rare earth chloride concentrate input</v>
      </c>
      <c r="K45" s="435"/>
      <c r="L45" s="435"/>
      <c r="M45" s="435"/>
      <c r="N45" s="435"/>
      <c r="O45" s="435"/>
      <c r="P45" s="436"/>
      <c r="Q45" s="17"/>
      <c r="R45" s="17"/>
      <c r="S45" s="17"/>
      <c r="T45" s="17"/>
      <c r="U45" s="17"/>
      <c r="V45" s="17"/>
      <c r="W45" s="17"/>
      <c r="X45" s="17"/>
      <c r="Y45" s="17"/>
    </row>
    <row r="46" spans="1:25" x14ac:dyDescent="0.2">
      <c r="A46" s="17"/>
      <c r="B46" s="17">
        <f t="shared" si="0"/>
        <v>7</v>
      </c>
      <c r="C46" s="28" t="s">
        <v>510</v>
      </c>
      <c r="D46" s="29"/>
      <c r="E46" s="314">
        <f>'RE input'!F87</f>
        <v>1.2741451560511357E-4</v>
      </c>
      <c r="F46" s="31"/>
      <c r="G46" s="32"/>
      <c r="H46" s="33" t="s">
        <v>244</v>
      </c>
      <c r="I46" s="31">
        <v>1</v>
      </c>
      <c r="J46" s="434" t="str">
        <f>"[kg/kg] kg of Tb per kg of rare earth chloride concentrate input"</f>
        <v>[kg/kg] kg of Tb per kg of rare earth chloride concentrate input</v>
      </c>
      <c r="K46" s="435"/>
      <c r="L46" s="435"/>
      <c r="M46" s="435"/>
      <c r="N46" s="435"/>
      <c r="O46" s="435"/>
      <c r="P46" s="436"/>
      <c r="Q46" s="17"/>
      <c r="R46" s="17"/>
      <c r="S46" s="17"/>
      <c r="T46" s="17"/>
      <c r="U46" s="17"/>
      <c r="V46" s="17"/>
      <c r="W46" s="17"/>
      <c r="X46" s="17"/>
      <c r="Y46" s="17"/>
    </row>
    <row r="47" spans="1:25" x14ac:dyDescent="0.2">
      <c r="A47" s="17"/>
      <c r="B47" s="17">
        <f t="shared" si="0"/>
        <v>7</v>
      </c>
      <c r="C47" s="28" t="s">
        <v>511</v>
      </c>
      <c r="D47" s="29"/>
      <c r="E47" s="314">
        <f>'RE input'!F88</f>
        <v>2.5396761966031331E-4</v>
      </c>
      <c r="F47" s="31"/>
      <c r="G47" s="32"/>
      <c r="H47" s="33" t="s">
        <v>244</v>
      </c>
      <c r="I47" s="31">
        <v>1</v>
      </c>
      <c r="J47" s="434" t="str">
        <f>"[kg/kg] kg of Dy per kg of rare earth chloride concentrate input"</f>
        <v>[kg/kg] kg of Dy per kg of rare earth chloride concentrate input</v>
      </c>
      <c r="K47" s="435"/>
      <c r="L47" s="435"/>
      <c r="M47" s="435"/>
      <c r="N47" s="435"/>
      <c r="O47" s="435"/>
      <c r="P47" s="436"/>
      <c r="Q47" s="17"/>
      <c r="R47" s="17"/>
      <c r="S47" s="17"/>
      <c r="T47" s="17"/>
      <c r="U47" s="17"/>
      <c r="V47" s="17"/>
      <c r="W47" s="17"/>
      <c r="X47" s="17"/>
      <c r="Y47" s="17"/>
    </row>
    <row r="48" spans="1:25" x14ac:dyDescent="0.2">
      <c r="A48" s="17"/>
      <c r="B48" s="17">
        <f t="shared" si="0"/>
        <v>7</v>
      </c>
      <c r="C48" s="28" t="s">
        <v>512</v>
      </c>
      <c r="D48" s="29"/>
      <c r="E48" s="314">
        <f>'RE input'!F89</f>
        <v>4.9803192317621603E-5</v>
      </c>
      <c r="F48" s="31"/>
      <c r="G48" s="32"/>
      <c r="H48" s="33" t="s">
        <v>244</v>
      </c>
      <c r="I48" s="31">
        <v>1</v>
      </c>
      <c r="J48" s="434" t="str">
        <f>"[kg/kg] kg of Ho per kg of rare earth chloride concentrate input"</f>
        <v>[kg/kg] kg of Ho per kg of rare earth chloride concentrate input</v>
      </c>
      <c r="K48" s="435"/>
      <c r="L48" s="435"/>
      <c r="M48" s="435"/>
      <c r="N48" s="435"/>
      <c r="O48" s="435"/>
      <c r="P48" s="436"/>
      <c r="Q48" s="17"/>
      <c r="R48" s="17"/>
      <c r="S48" s="17"/>
      <c r="T48" s="17"/>
      <c r="U48" s="17"/>
      <c r="V48" s="17"/>
      <c r="W48" s="17"/>
      <c r="X48" s="17"/>
      <c r="Y48" s="17"/>
    </row>
    <row r="49" spans="1:25" x14ac:dyDescent="0.2">
      <c r="A49" s="17"/>
      <c r="B49" s="17">
        <f t="shared" si="0"/>
        <v>7</v>
      </c>
      <c r="C49" s="28" t="s">
        <v>513</v>
      </c>
      <c r="D49" s="29"/>
      <c r="E49" s="314">
        <f>'RE input'!F90</f>
        <v>2.8272797801099658E-5</v>
      </c>
      <c r="F49" s="31"/>
      <c r="G49" s="32"/>
      <c r="H49" s="33" t="s">
        <v>244</v>
      </c>
      <c r="I49" s="31">
        <v>1</v>
      </c>
      <c r="J49" s="434" t="str">
        <f>"[kg/kg] kg of Er per kg of rare earth chloride concentrate input"</f>
        <v>[kg/kg] kg of Er per kg of rare earth chloride concentrate input</v>
      </c>
      <c r="K49" s="435"/>
      <c r="L49" s="435"/>
      <c r="M49" s="435"/>
      <c r="N49" s="435"/>
      <c r="O49" s="435"/>
      <c r="P49" s="436"/>
      <c r="Q49" s="17"/>
      <c r="R49" s="17"/>
      <c r="S49" s="17"/>
      <c r="T49" s="17"/>
      <c r="U49" s="17"/>
      <c r="V49" s="17"/>
      <c r="W49" s="17"/>
      <c r="X49" s="17"/>
      <c r="Y49" s="17"/>
    </row>
    <row r="50" spans="1:25" x14ac:dyDescent="0.2">
      <c r="A50" s="17"/>
      <c r="B50" s="17">
        <f t="shared" si="0"/>
        <v>7</v>
      </c>
      <c r="C50" s="28" t="s">
        <v>514</v>
      </c>
      <c r="D50" s="29"/>
      <c r="E50" s="314">
        <f>'RE input'!F91</f>
        <v>7.2059435821499645E-6</v>
      </c>
      <c r="F50" s="31"/>
      <c r="G50" s="32"/>
      <c r="H50" s="33" t="s">
        <v>244</v>
      </c>
      <c r="I50" s="31">
        <v>1</v>
      </c>
      <c r="J50" s="434" t="str">
        <f>"[kg/kg] kg of Tm per kg of rare earth chloride concentrate input"</f>
        <v>[kg/kg] kg of Tm per kg of rare earth chloride concentrate input</v>
      </c>
      <c r="K50" s="435"/>
      <c r="L50" s="435"/>
      <c r="M50" s="435"/>
      <c r="N50" s="435"/>
      <c r="O50" s="435"/>
      <c r="P50" s="436"/>
      <c r="Q50" s="17"/>
      <c r="R50" s="17"/>
      <c r="S50" s="17"/>
      <c r="T50" s="17"/>
      <c r="U50" s="17"/>
      <c r="V50" s="17"/>
      <c r="W50" s="17"/>
      <c r="X50" s="17"/>
      <c r="Y50" s="17"/>
    </row>
    <row r="51" spans="1:25" x14ac:dyDescent="0.2">
      <c r="A51" s="17"/>
      <c r="B51" s="17">
        <f t="shared" si="0"/>
        <v>7</v>
      </c>
      <c r="C51" s="28" t="s">
        <v>515</v>
      </c>
      <c r="D51" s="29"/>
      <c r="E51" s="314">
        <f>'RE input'!F92</f>
        <v>4.8647471455598409E-6</v>
      </c>
      <c r="F51" s="31"/>
      <c r="G51" s="32"/>
      <c r="H51" s="33" t="s">
        <v>244</v>
      </c>
      <c r="I51" s="31">
        <v>1</v>
      </c>
      <c r="J51" s="434" t="str">
        <f>"[kg/kg] kg of Yb per kg of rare earth chloride concentrate input"</f>
        <v>[kg/kg] kg of Yb per kg of rare earth chloride concentrate input</v>
      </c>
      <c r="K51" s="435"/>
      <c r="L51" s="435"/>
      <c r="M51" s="435"/>
      <c r="N51" s="435"/>
      <c r="O51" s="435"/>
      <c r="P51" s="436"/>
      <c r="Q51" s="17"/>
      <c r="R51" s="17"/>
      <c r="S51" s="17"/>
      <c r="T51" s="17"/>
      <c r="U51" s="17"/>
      <c r="V51" s="17"/>
      <c r="W51" s="17"/>
      <c r="X51" s="17"/>
      <c r="Y51" s="17"/>
    </row>
    <row r="52" spans="1:25" x14ac:dyDescent="0.2">
      <c r="A52" s="17"/>
      <c r="B52" s="17">
        <f t="shared" si="0"/>
        <v>7</v>
      </c>
      <c r="C52" s="28" t="s">
        <v>516</v>
      </c>
      <c r="D52" s="29"/>
      <c r="E52" s="314">
        <f>'RE input'!F93</f>
        <v>7.9837457848805589E-7</v>
      </c>
      <c r="F52" s="31"/>
      <c r="G52" s="32"/>
      <c r="H52" s="33" t="s">
        <v>244</v>
      </c>
      <c r="I52" s="31">
        <v>1</v>
      </c>
      <c r="J52" s="434" t="str">
        <f>"[kg/kg] kg of Lu per kg of rare earth chloride concentrate input"</f>
        <v>[kg/kg] kg of Lu per kg of rare earth chloride concentrate input</v>
      </c>
      <c r="K52" s="435"/>
      <c r="L52" s="435"/>
      <c r="M52" s="435"/>
      <c r="N52" s="435"/>
      <c r="O52" s="435"/>
      <c r="P52" s="436"/>
      <c r="Q52" s="17"/>
      <c r="R52" s="17"/>
      <c r="S52" s="17"/>
      <c r="T52" s="17"/>
      <c r="U52" s="17"/>
      <c r="V52" s="17"/>
      <c r="W52" s="17"/>
      <c r="X52" s="17"/>
      <c r="Y52" s="17"/>
    </row>
    <row r="53" spans="1:25" x14ac:dyDescent="0.2">
      <c r="A53" s="17"/>
      <c r="B53" s="17">
        <f t="shared" si="0"/>
        <v>6</v>
      </c>
      <c r="C53" s="28" t="s">
        <v>517</v>
      </c>
      <c r="D53" s="29"/>
      <c r="E53" s="314">
        <f>'RE input'!F94</f>
        <v>7.3558857968596808E-4</v>
      </c>
      <c r="F53" s="31"/>
      <c r="G53" s="32"/>
      <c r="H53" s="33" t="s">
        <v>244</v>
      </c>
      <c r="I53" s="31">
        <v>1</v>
      </c>
      <c r="J53" s="434" t="str">
        <f>"[kg/kg] kg of Y per kg of rare earth chloride concentrate input"</f>
        <v>[kg/kg] kg of Y per kg of rare earth chloride concentrate input</v>
      </c>
      <c r="K53" s="435"/>
      <c r="L53" s="435"/>
      <c r="M53" s="435"/>
      <c r="N53" s="435"/>
      <c r="O53" s="435"/>
      <c r="P53" s="436"/>
      <c r="Q53" s="17"/>
      <c r="R53" s="17"/>
      <c r="S53" s="17"/>
      <c r="T53" s="17"/>
      <c r="U53" s="17"/>
      <c r="V53" s="17"/>
      <c r="W53" s="17"/>
      <c r="X53" s="17"/>
      <c r="Y53" s="17"/>
    </row>
    <row r="54" spans="1:25" x14ac:dyDescent="0.2">
      <c r="A54" s="17"/>
      <c r="B54" s="17">
        <f t="shared" si="0"/>
        <v>5</v>
      </c>
      <c r="C54" s="28" t="s">
        <v>281</v>
      </c>
      <c r="D54" s="29"/>
      <c r="E54" s="77">
        <f>'RE input'!B80/Conversions!$D$12</f>
        <v>0.35456668000000002</v>
      </c>
      <c r="F54" s="31"/>
      <c r="G54" s="32"/>
      <c r="H54" s="33" t="s">
        <v>266</v>
      </c>
      <c r="I54" s="31"/>
      <c r="J54" s="434" t="str">
        <f>"[kg/mol] mass of "&amp; 'RE input'!A80&amp;" per mole"</f>
        <v>[kg/mol] mass of CeCl₃∙6H₂O per mole</v>
      </c>
      <c r="K54" s="435"/>
      <c r="L54" s="435"/>
      <c r="M54" s="435"/>
      <c r="N54" s="435"/>
      <c r="O54" s="435"/>
      <c r="P54" s="436"/>
      <c r="Q54" s="17"/>
      <c r="R54" s="17"/>
      <c r="S54" s="17"/>
      <c r="T54" s="17"/>
      <c r="U54" s="17"/>
      <c r="V54" s="17"/>
      <c r="W54" s="17"/>
      <c r="X54" s="17"/>
      <c r="Y54" s="17"/>
    </row>
    <row r="55" spans="1:25" x14ac:dyDescent="0.2">
      <c r="A55" s="17"/>
      <c r="B55" s="17">
        <f t="shared" si="0"/>
        <v>5</v>
      </c>
      <c r="C55" s="28" t="s">
        <v>282</v>
      </c>
      <c r="D55" s="29"/>
      <c r="E55" s="77">
        <f>'RE input'!B81/Conversions!$D$12</f>
        <v>0.24526447000000001</v>
      </c>
      <c r="F55" s="31"/>
      <c r="G55" s="32"/>
      <c r="H55" s="33" t="s">
        <v>266</v>
      </c>
      <c r="I55" s="31"/>
      <c r="J55" s="434" t="str">
        <f>"[kg/mol] mass of "&amp; 'RE input'!A81&amp;" per mole"</f>
        <v>[kg/mol] mass of LaCl₃∙6H₂O per mole</v>
      </c>
      <c r="K55" s="435"/>
      <c r="L55" s="435"/>
      <c r="M55" s="435"/>
      <c r="N55" s="435"/>
      <c r="O55" s="435"/>
      <c r="P55" s="436"/>
      <c r="Q55" s="17"/>
      <c r="R55" s="17"/>
      <c r="S55" s="17"/>
      <c r="T55" s="17"/>
      <c r="U55" s="17"/>
      <c r="V55" s="17"/>
      <c r="W55" s="17"/>
      <c r="X55" s="17"/>
      <c r="Y55" s="17"/>
    </row>
    <row r="56" spans="1:25" x14ac:dyDescent="0.2">
      <c r="A56" s="17"/>
      <c r="B56" s="17">
        <f t="shared" si="0"/>
        <v>5</v>
      </c>
      <c r="C56" s="28" t="s">
        <v>283</v>
      </c>
      <c r="D56" s="29"/>
      <c r="E56" s="77">
        <f>'RE input'!B82/Conversions!$D$12</f>
        <v>0.24726665</v>
      </c>
      <c r="F56" s="31"/>
      <c r="G56" s="32"/>
      <c r="H56" s="33" t="s">
        <v>266</v>
      </c>
      <c r="I56" s="31"/>
      <c r="J56" s="434" t="str">
        <f>"[kg/mol] mass of "&amp; 'RE input'!A82&amp;" per mole"</f>
        <v>[kg/mol] mass of PrCl₃∙6H₂O per mole</v>
      </c>
      <c r="K56" s="435"/>
      <c r="L56" s="435"/>
      <c r="M56" s="435"/>
      <c r="N56" s="435"/>
      <c r="O56" s="435"/>
      <c r="P56" s="436"/>
      <c r="Q56" s="17"/>
      <c r="R56" s="17"/>
      <c r="S56" s="17"/>
      <c r="T56" s="17"/>
      <c r="U56" s="17"/>
      <c r="V56" s="17"/>
      <c r="W56" s="17"/>
      <c r="X56" s="17"/>
      <c r="Y56" s="17"/>
    </row>
    <row r="57" spans="1:25" x14ac:dyDescent="0.2">
      <c r="A57" s="17"/>
      <c r="B57" s="17">
        <f t="shared" si="0"/>
        <v>5</v>
      </c>
      <c r="C57" s="28" t="s">
        <v>284</v>
      </c>
      <c r="D57" s="29"/>
      <c r="E57" s="77">
        <f>'RE input'!B83/Conversions!$D$12</f>
        <v>0.25060100000000002</v>
      </c>
      <c r="F57" s="31"/>
      <c r="G57" s="32"/>
      <c r="H57" s="33" t="s">
        <v>266</v>
      </c>
      <c r="I57" s="31"/>
      <c r="J57" s="434" t="str">
        <f>"[kg/mol] mass of "&amp; 'RE input'!A83&amp;" per mole"</f>
        <v>[kg/mol] mass of NdCl₃∙6H₂O per mole</v>
      </c>
      <c r="K57" s="435"/>
      <c r="L57" s="435"/>
      <c r="M57" s="435"/>
      <c r="N57" s="435"/>
      <c r="O57" s="435"/>
      <c r="P57" s="436"/>
      <c r="Q57" s="17"/>
      <c r="R57" s="17"/>
      <c r="S57" s="17"/>
      <c r="T57" s="17"/>
      <c r="U57" s="17"/>
      <c r="V57" s="17"/>
      <c r="W57" s="17"/>
      <c r="X57" s="17"/>
      <c r="Y57" s="17"/>
    </row>
    <row r="58" spans="1:25" x14ac:dyDescent="0.2">
      <c r="A58" s="17"/>
      <c r="B58" s="17">
        <f t="shared" si="0"/>
        <v>5</v>
      </c>
      <c r="C58" s="28" t="s">
        <v>285</v>
      </c>
      <c r="D58" s="29"/>
      <c r="E58" s="77">
        <f>'RE input'!B84/Conversions!$D$12</f>
        <v>0.25671900000000003</v>
      </c>
      <c r="F58" s="31"/>
      <c r="G58" s="32"/>
      <c r="H58" s="33" t="s">
        <v>266</v>
      </c>
      <c r="I58" s="31"/>
      <c r="J58" s="434" t="str">
        <f>"[kg/mol] mass of "&amp; 'RE input'!A84&amp;" per mole"</f>
        <v>[kg/mol] mass of SmCl₃∙6H₂O per mole</v>
      </c>
      <c r="K58" s="435"/>
      <c r="L58" s="435"/>
      <c r="M58" s="435"/>
      <c r="N58" s="435"/>
      <c r="O58" s="435"/>
      <c r="P58" s="436"/>
      <c r="Q58" s="17"/>
      <c r="R58" s="17"/>
      <c r="S58" s="17"/>
      <c r="T58" s="17"/>
      <c r="U58" s="17"/>
      <c r="V58" s="17"/>
      <c r="W58" s="17"/>
      <c r="X58" s="17"/>
      <c r="Y58" s="17"/>
    </row>
    <row r="59" spans="1:25" x14ac:dyDescent="0.2">
      <c r="A59" s="17"/>
      <c r="B59" s="17">
        <f t="shared" si="0"/>
        <v>5</v>
      </c>
      <c r="C59" s="28" t="s">
        <v>286</v>
      </c>
      <c r="D59" s="29"/>
      <c r="E59" s="77">
        <f>'RE input'!B85/Conversions!$D$12</f>
        <v>0.25832299999999997</v>
      </c>
      <c r="F59" s="31"/>
      <c r="G59" s="32"/>
      <c r="H59" s="33" t="s">
        <v>266</v>
      </c>
      <c r="I59" s="31"/>
      <c r="J59" s="434" t="str">
        <f>"[kg/mol] mass of "&amp; 'RE input'!A85&amp;" per mole"</f>
        <v>[kg/mol] mass of EuCl₃∙6H₂O per mole</v>
      </c>
      <c r="K59" s="435"/>
      <c r="L59" s="435"/>
      <c r="M59" s="435"/>
      <c r="N59" s="435"/>
      <c r="O59" s="435"/>
      <c r="P59" s="436"/>
      <c r="Q59" s="17"/>
      <c r="R59" s="17"/>
      <c r="S59" s="17"/>
      <c r="T59" s="17"/>
      <c r="U59" s="17"/>
      <c r="V59" s="17"/>
      <c r="W59" s="17"/>
      <c r="X59" s="17"/>
      <c r="Y59" s="17"/>
    </row>
    <row r="60" spans="1:25" x14ac:dyDescent="0.2">
      <c r="A60" s="17"/>
      <c r="B60" s="17">
        <f t="shared" si="0"/>
        <v>5</v>
      </c>
      <c r="C60" s="28" t="s">
        <v>287</v>
      </c>
      <c r="D60" s="29"/>
      <c r="E60" s="77">
        <f>'RE input'!B86/Conversions!$D$12</f>
        <v>0.26360900000000004</v>
      </c>
      <c r="F60" s="31"/>
      <c r="G60" s="32"/>
      <c r="H60" s="33" t="s">
        <v>266</v>
      </c>
      <c r="I60" s="31"/>
      <c r="J60" s="434" t="str">
        <f>"[kg/mol] mass of "&amp; 'RE input'!A86&amp;" per mole"</f>
        <v>[kg/mol] mass of GdCl₃∙6H₂O per mole</v>
      </c>
      <c r="K60" s="435"/>
      <c r="L60" s="435"/>
      <c r="M60" s="435"/>
      <c r="N60" s="435"/>
      <c r="O60" s="435"/>
      <c r="P60" s="436"/>
      <c r="Q60" s="17"/>
      <c r="R60" s="17"/>
      <c r="S60" s="17"/>
      <c r="T60" s="17"/>
      <c r="U60" s="17"/>
      <c r="V60" s="17"/>
      <c r="W60" s="17"/>
      <c r="X60" s="17"/>
      <c r="Y60" s="17"/>
    </row>
    <row r="61" spans="1:25" x14ac:dyDescent="0.2">
      <c r="A61" s="17"/>
      <c r="B61" s="17">
        <f t="shared" si="0"/>
        <v>5</v>
      </c>
      <c r="C61" s="28" t="s">
        <v>288</v>
      </c>
      <c r="D61" s="29"/>
      <c r="E61" s="77">
        <f>'RE input'!B87/Conversions!$D$12</f>
        <v>0.26528435</v>
      </c>
      <c r="F61" s="31"/>
      <c r="G61" s="32"/>
      <c r="H61" s="33" t="s">
        <v>266</v>
      </c>
      <c r="I61" s="31"/>
      <c r="J61" s="434" t="str">
        <f>"[kg/mol] mass of "&amp; 'RE input'!A87&amp;" per mole"</f>
        <v>[kg/mol] mass of TbCl₃∙6H₂O per mole</v>
      </c>
      <c r="K61" s="435"/>
      <c r="L61" s="435"/>
      <c r="M61" s="435"/>
      <c r="N61" s="435"/>
      <c r="O61" s="435"/>
      <c r="P61" s="436"/>
      <c r="Q61" s="17"/>
      <c r="R61" s="17"/>
      <c r="S61" s="17"/>
      <c r="T61" s="17"/>
      <c r="U61" s="17"/>
      <c r="V61" s="17"/>
      <c r="W61" s="17"/>
      <c r="X61" s="17"/>
      <c r="Y61" s="17"/>
    </row>
    <row r="62" spans="1:25" x14ac:dyDescent="0.2">
      <c r="A62" s="17"/>
      <c r="B62" s="17">
        <f t="shared" si="0"/>
        <v>5</v>
      </c>
      <c r="C62" s="28" t="s">
        <v>289</v>
      </c>
      <c r="D62" s="29"/>
      <c r="E62" s="77">
        <f>'RE input'!B88/Conversions!$D$12</f>
        <v>0.26885900000000001</v>
      </c>
      <c r="F62" s="31"/>
      <c r="G62" s="32"/>
      <c r="H62" s="33" t="s">
        <v>266</v>
      </c>
      <c r="I62" s="31"/>
      <c r="J62" s="434" t="str">
        <f>"[kg/mol] mass of "&amp; 'RE input'!A88&amp;" per mole"</f>
        <v>[kg/mol] mass of DyCl₃∙6H₂O per mole</v>
      </c>
      <c r="K62" s="435"/>
      <c r="L62" s="435"/>
      <c r="M62" s="435"/>
      <c r="N62" s="435"/>
      <c r="O62" s="435"/>
      <c r="P62" s="436"/>
      <c r="Q62" s="17"/>
      <c r="R62" s="17"/>
      <c r="S62" s="17"/>
      <c r="T62" s="17"/>
      <c r="U62" s="17"/>
      <c r="V62" s="17"/>
      <c r="W62" s="17"/>
      <c r="X62" s="17"/>
      <c r="Y62" s="17"/>
    </row>
    <row r="63" spans="1:25" x14ac:dyDescent="0.2">
      <c r="A63" s="17"/>
      <c r="B63" s="17">
        <f t="shared" si="0"/>
        <v>5</v>
      </c>
      <c r="C63" s="28" t="s">
        <v>290</v>
      </c>
      <c r="D63" s="29"/>
      <c r="E63" s="77">
        <f>'RE input'!B89/Conversions!$D$12</f>
        <v>0.19526485000000002</v>
      </c>
      <c r="F63" s="31"/>
      <c r="G63" s="32"/>
      <c r="H63" s="33" t="s">
        <v>266</v>
      </c>
      <c r="I63" s="31"/>
      <c r="J63" s="434" t="str">
        <f>"[kg/mol] mass of "&amp; 'RE input'!A89&amp;" per mole"</f>
        <v>[kg/mol] mass of HoCl₃∙6H₂O per mole</v>
      </c>
      <c r="K63" s="435"/>
      <c r="L63" s="435"/>
      <c r="M63" s="435"/>
      <c r="N63" s="435"/>
      <c r="O63" s="435"/>
      <c r="P63" s="436"/>
      <c r="Q63" s="17"/>
      <c r="R63" s="17"/>
      <c r="S63" s="17"/>
      <c r="T63" s="17"/>
      <c r="U63" s="17"/>
      <c r="V63" s="17"/>
      <c r="W63" s="17"/>
      <c r="X63" s="17"/>
      <c r="Y63" s="17"/>
    </row>
    <row r="64" spans="1:25" x14ac:dyDescent="0.2">
      <c r="A64" s="17"/>
      <c r="B64" s="17">
        <f t="shared" si="0"/>
        <v>5</v>
      </c>
      <c r="C64" s="28" t="s">
        <v>291</v>
      </c>
      <c r="D64" s="29"/>
      <c r="E64" s="77">
        <f>'RE input'!B90/Conversions!$D$12</f>
        <v>0.27361799999999997</v>
      </c>
      <c r="F64" s="31"/>
      <c r="G64" s="32"/>
      <c r="H64" s="33" t="s">
        <v>266</v>
      </c>
      <c r="I64" s="31"/>
      <c r="J64" s="434" t="str">
        <f>"[kg/mol] mass of "&amp; 'RE input'!A90&amp;" per mole"</f>
        <v>[kg/mol] mass of ErCl₃∙6H₂O per mole</v>
      </c>
      <c r="K64" s="435"/>
      <c r="L64" s="435"/>
      <c r="M64" s="435"/>
      <c r="N64" s="435"/>
      <c r="O64" s="435"/>
      <c r="P64" s="436"/>
      <c r="Q64" s="17"/>
      <c r="R64" s="17"/>
      <c r="S64" s="17"/>
      <c r="T64" s="17"/>
      <c r="U64" s="17"/>
      <c r="V64" s="17"/>
      <c r="W64" s="17"/>
      <c r="X64" s="17"/>
      <c r="Y64" s="17"/>
    </row>
    <row r="65" spans="1:25" x14ac:dyDescent="0.2">
      <c r="A65" s="17"/>
      <c r="B65" s="17">
        <f t="shared" si="0"/>
        <v>5</v>
      </c>
      <c r="C65" s="28" t="s">
        <v>292</v>
      </c>
      <c r="D65" s="29"/>
      <c r="E65" s="77">
        <f>'RE input'!B91/Conversions!$D$12</f>
        <v>0.27939900000000001</v>
      </c>
      <c r="F65" s="31"/>
      <c r="G65" s="32"/>
      <c r="H65" s="33" t="s">
        <v>266</v>
      </c>
      <c r="I65" s="31"/>
      <c r="J65" s="434" t="str">
        <f>"[kg/mol] mass of "&amp; 'RE input'!A91&amp;" per mole"</f>
        <v>[kg/mol] mass of TmCl₃∙6H₂O per mole</v>
      </c>
      <c r="K65" s="435"/>
      <c r="L65" s="435"/>
      <c r="M65" s="435"/>
      <c r="N65" s="435"/>
      <c r="O65" s="435"/>
      <c r="P65" s="436"/>
      <c r="Q65" s="17"/>
      <c r="R65" s="17"/>
      <c r="S65" s="17"/>
      <c r="T65" s="17"/>
      <c r="U65" s="17"/>
      <c r="V65" s="17"/>
      <c r="W65" s="17"/>
      <c r="X65" s="17"/>
      <c r="Y65" s="17"/>
    </row>
    <row r="66" spans="1:25" x14ac:dyDescent="0.2">
      <c r="A66" s="17"/>
      <c r="B66" s="17">
        <f t="shared" si="0"/>
        <v>5</v>
      </c>
      <c r="C66" s="28" t="s">
        <v>293</v>
      </c>
      <c r="D66" s="29"/>
      <c r="E66" s="77">
        <f>'RE input'!B92/Conversions!$D$12</f>
        <v>0.27128932</v>
      </c>
      <c r="F66" s="31"/>
      <c r="G66" s="32"/>
      <c r="H66" s="33" t="s">
        <v>266</v>
      </c>
      <c r="I66" s="31"/>
      <c r="J66" s="434" t="str">
        <f>"[kg/mol] mass of "&amp; 'RE input'!A92&amp;" per mole"</f>
        <v>[kg/mol] mass of YbCl₃∙6H₂O per mole</v>
      </c>
      <c r="K66" s="435"/>
      <c r="L66" s="435"/>
      <c r="M66" s="435"/>
      <c r="N66" s="435"/>
      <c r="O66" s="435"/>
      <c r="P66" s="436"/>
      <c r="Q66" s="17"/>
      <c r="R66" s="17"/>
      <c r="S66" s="17"/>
      <c r="T66" s="17"/>
      <c r="U66" s="17"/>
      <c r="V66" s="17"/>
      <c r="W66" s="17"/>
      <c r="X66" s="17"/>
      <c r="Y66" s="17"/>
    </row>
    <row r="67" spans="1:25" x14ac:dyDescent="0.2">
      <c r="A67" s="17"/>
      <c r="B67" s="17">
        <f t="shared" si="0"/>
        <v>5</v>
      </c>
      <c r="C67" s="28" t="s">
        <v>294</v>
      </c>
      <c r="D67" s="29"/>
      <c r="E67" s="77">
        <f>'RE input'!B93/Conversions!$D$12</f>
        <v>0.28132600000000002</v>
      </c>
      <c r="F67" s="31"/>
      <c r="G67" s="32"/>
      <c r="H67" s="33" t="s">
        <v>266</v>
      </c>
      <c r="I67" s="31"/>
      <c r="J67" s="434" t="str">
        <f>"[kg/mol] mass of "&amp; 'RE input'!A93&amp;" per mole"</f>
        <v>[kg/mol] mass of LuCl₃∙6H₂O per mole</v>
      </c>
      <c r="K67" s="435"/>
      <c r="L67" s="435"/>
      <c r="M67" s="435"/>
      <c r="N67" s="435"/>
      <c r="O67" s="435"/>
      <c r="P67" s="436"/>
      <c r="Q67" s="17"/>
      <c r="R67" s="17"/>
      <c r="S67" s="17"/>
      <c r="T67" s="17"/>
      <c r="U67" s="17"/>
      <c r="V67" s="17"/>
      <c r="W67" s="17"/>
      <c r="X67" s="17"/>
      <c r="Y67" s="17"/>
    </row>
    <row r="68" spans="1:25" x14ac:dyDescent="0.2">
      <c r="A68" s="17"/>
      <c r="B68" s="17">
        <f t="shared" si="0"/>
        <v>4</v>
      </c>
      <c r="C68" s="28" t="s">
        <v>295</v>
      </c>
      <c r="D68" s="29"/>
      <c r="E68" s="77">
        <f>'RE input'!B94/Conversions!$D$12</f>
        <v>0.27529321000000007</v>
      </c>
      <c r="F68" s="31"/>
      <c r="G68" s="32"/>
      <c r="H68" s="33" t="s">
        <v>266</v>
      </c>
      <c r="I68" s="31"/>
      <c r="J68" s="434" t="str">
        <f>"[kg/mol] mass of "&amp; 'RE input'!A94&amp;" per mole"</f>
        <v>[kg/mol] mass of YCl₃∙6H₂O per mole</v>
      </c>
      <c r="K68" s="435"/>
      <c r="L68" s="435"/>
      <c r="M68" s="435"/>
      <c r="N68" s="435"/>
      <c r="O68" s="435"/>
      <c r="P68" s="436"/>
      <c r="Q68" s="17"/>
      <c r="R68" s="17"/>
      <c r="S68" s="17"/>
      <c r="T68" s="17"/>
      <c r="U68" s="17"/>
      <c r="V68" s="17"/>
      <c r="W68" s="17"/>
      <c r="X68" s="17"/>
      <c r="Y68" s="17"/>
    </row>
    <row r="69" spans="1:25" x14ac:dyDescent="0.2">
      <c r="A69" s="17"/>
      <c r="B69" s="17">
        <f t="shared" si="0"/>
        <v>8</v>
      </c>
      <c r="C69" s="28" t="s">
        <v>574</v>
      </c>
      <c r="D69" s="29" t="s">
        <v>778</v>
      </c>
      <c r="E69" s="65">
        <f>E39*E23*$E$38</f>
        <v>0.55971015690874804</v>
      </c>
      <c r="F69" s="31"/>
      <c r="G69" s="32"/>
      <c r="H69" s="33" t="s">
        <v>244</v>
      </c>
      <c r="I69" s="31" t="s">
        <v>303</v>
      </c>
      <c r="J69" s="434" t="s">
        <v>725</v>
      </c>
      <c r="K69" s="435"/>
      <c r="L69" s="435"/>
      <c r="M69" s="435"/>
      <c r="N69" s="435"/>
      <c r="O69" s="435"/>
      <c r="P69" s="436"/>
      <c r="Q69" s="17"/>
      <c r="R69" s="17"/>
      <c r="S69" s="17"/>
      <c r="T69" s="17"/>
      <c r="U69" s="17"/>
      <c r="V69" s="17"/>
      <c r="W69" s="17"/>
      <c r="X69" s="17"/>
      <c r="Y69" s="17"/>
    </row>
    <row r="70" spans="1:25" x14ac:dyDescent="0.2">
      <c r="A70" s="17"/>
      <c r="B70" s="17">
        <f t="shared" si="0"/>
        <v>8</v>
      </c>
      <c r="C70" s="28" t="s">
        <v>575</v>
      </c>
      <c r="D70" s="29" t="s">
        <v>779</v>
      </c>
      <c r="E70" s="65">
        <f t="shared" ref="E70:E83" si="1">E40*E24*$E$38</f>
        <v>0</v>
      </c>
      <c r="F70" s="31"/>
      <c r="G70" s="32"/>
      <c r="H70" s="33" t="s">
        <v>244</v>
      </c>
      <c r="I70" s="31" t="s">
        <v>303</v>
      </c>
      <c r="J70" s="434" t="s">
        <v>726</v>
      </c>
      <c r="K70" s="435"/>
      <c r="L70" s="435"/>
      <c r="M70" s="435"/>
      <c r="N70" s="435"/>
      <c r="O70" s="435"/>
      <c r="P70" s="436"/>
      <c r="Q70" s="17"/>
      <c r="R70" s="17"/>
      <c r="S70" s="17"/>
      <c r="T70" s="17"/>
      <c r="U70" s="17"/>
      <c r="V70" s="17"/>
      <c r="W70" s="17"/>
      <c r="X70" s="17"/>
      <c r="Y70" s="17"/>
    </row>
    <row r="71" spans="1:25" x14ac:dyDescent="0.2">
      <c r="A71" s="17"/>
      <c r="B71" s="17">
        <f t="shared" si="0"/>
        <v>8</v>
      </c>
      <c r="C71" s="28" t="s">
        <v>576</v>
      </c>
      <c r="D71" s="29" t="s">
        <v>780</v>
      </c>
      <c r="E71" s="65">
        <f t="shared" si="1"/>
        <v>0</v>
      </c>
      <c r="F71" s="31"/>
      <c r="G71" s="32"/>
      <c r="H71" s="33" t="s">
        <v>244</v>
      </c>
      <c r="I71" s="31" t="s">
        <v>303</v>
      </c>
      <c r="J71" s="434" t="s">
        <v>727</v>
      </c>
      <c r="K71" s="435"/>
      <c r="L71" s="435"/>
      <c r="M71" s="435"/>
      <c r="N71" s="435"/>
      <c r="O71" s="435"/>
      <c r="P71" s="436"/>
      <c r="Q71" s="17"/>
      <c r="R71" s="17"/>
      <c r="S71" s="17"/>
      <c r="T71" s="17"/>
      <c r="U71" s="17"/>
      <c r="V71" s="17"/>
      <c r="W71" s="17"/>
      <c r="X71" s="17"/>
      <c r="Y71" s="17"/>
    </row>
    <row r="72" spans="1:25" x14ac:dyDescent="0.2">
      <c r="A72" s="17"/>
      <c r="B72" s="17">
        <f t="shared" si="0"/>
        <v>8</v>
      </c>
      <c r="C72" s="28" t="s">
        <v>577</v>
      </c>
      <c r="D72" s="29" t="s">
        <v>781</v>
      </c>
      <c r="E72" s="65">
        <f t="shared" si="1"/>
        <v>0</v>
      </c>
      <c r="F72" s="31"/>
      <c r="G72" s="32"/>
      <c r="H72" s="33" t="s">
        <v>244</v>
      </c>
      <c r="I72" s="31" t="s">
        <v>303</v>
      </c>
      <c r="J72" s="434" t="s">
        <v>728</v>
      </c>
      <c r="K72" s="435"/>
      <c r="L72" s="435"/>
      <c r="M72" s="435"/>
      <c r="N72" s="435"/>
      <c r="O72" s="435"/>
      <c r="P72" s="436"/>
      <c r="Q72" s="17"/>
      <c r="R72" s="17"/>
      <c r="S72" s="17"/>
      <c r="T72" s="17"/>
      <c r="U72" s="17"/>
      <c r="V72" s="17"/>
      <c r="W72" s="17"/>
      <c r="X72" s="17"/>
      <c r="Y72" s="17"/>
    </row>
    <row r="73" spans="1:25" x14ac:dyDescent="0.2">
      <c r="A73" s="17"/>
      <c r="B73" s="17">
        <f t="shared" si="0"/>
        <v>8</v>
      </c>
      <c r="C73" s="28" t="s">
        <v>578</v>
      </c>
      <c r="D73" s="29" t="s">
        <v>782</v>
      </c>
      <c r="E73" s="65">
        <f t="shared" si="1"/>
        <v>0</v>
      </c>
      <c r="F73" s="31"/>
      <c r="G73" s="32"/>
      <c r="H73" s="33" t="s">
        <v>244</v>
      </c>
      <c r="I73" s="31" t="s">
        <v>303</v>
      </c>
      <c r="J73" s="434" t="s">
        <v>729</v>
      </c>
      <c r="K73" s="435"/>
      <c r="L73" s="435"/>
      <c r="M73" s="435"/>
      <c r="N73" s="435"/>
      <c r="O73" s="435"/>
      <c r="P73" s="436"/>
      <c r="Q73" s="17"/>
      <c r="R73" s="17"/>
      <c r="S73" s="17"/>
      <c r="T73" s="17"/>
      <c r="U73" s="17"/>
      <c r="V73" s="17"/>
      <c r="W73" s="17"/>
      <c r="X73" s="17"/>
      <c r="Y73" s="17"/>
    </row>
    <row r="74" spans="1:25" x14ac:dyDescent="0.2">
      <c r="A74" s="17"/>
      <c r="B74" s="17">
        <f t="shared" si="0"/>
        <v>8</v>
      </c>
      <c r="C74" s="28" t="s">
        <v>579</v>
      </c>
      <c r="D74" s="29" t="s">
        <v>783</v>
      </c>
      <c r="E74" s="65">
        <f t="shared" si="1"/>
        <v>0</v>
      </c>
      <c r="F74" s="31"/>
      <c r="G74" s="32"/>
      <c r="H74" s="33" t="s">
        <v>244</v>
      </c>
      <c r="I74" s="31" t="s">
        <v>303</v>
      </c>
      <c r="J74" s="434" t="s">
        <v>730</v>
      </c>
      <c r="K74" s="435"/>
      <c r="L74" s="435"/>
      <c r="M74" s="435"/>
      <c r="N74" s="435"/>
      <c r="O74" s="435"/>
      <c r="P74" s="436"/>
      <c r="Q74" s="17"/>
      <c r="R74" s="17"/>
      <c r="S74" s="17"/>
      <c r="T74" s="17"/>
      <c r="U74" s="17"/>
      <c r="V74" s="17"/>
      <c r="W74" s="17"/>
      <c r="X74" s="17"/>
      <c r="Y74" s="17"/>
    </row>
    <row r="75" spans="1:25" x14ac:dyDescent="0.2">
      <c r="A75" s="17"/>
      <c r="B75" s="17">
        <f t="shared" si="0"/>
        <v>8</v>
      </c>
      <c r="C75" s="28" t="s">
        <v>580</v>
      </c>
      <c r="D75" s="29" t="s">
        <v>784</v>
      </c>
      <c r="E75" s="65">
        <f t="shared" si="1"/>
        <v>0</v>
      </c>
      <c r="F75" s="31"/>
      <c r="G75" s="32"/>
      <c r="H75" s="33" t="s">
        <v>244</v>
      </c>
      <c r="I75" s="31" t="s">
        <v>303</v>
      </c>
      <c r="J75" s="434" t="s">
        <v>731</v>
      </c>
      <c r="K75" s="435"/>
      <c r="L75" s="435"/>
      <c r="M75" s="435"/>
      <c r="N75" s="435"/>
      <c r="O75" s="435"/>
      <c r="P75" s="436"/>
      <c r="Q75" s="17"/>
      <c r="R75" s="17"/>
      <c r="S75" s="17"/>
      <c r="T75" s="17"/>
      <c r="U75" s="17"/>
      <c r="V75" s="17"/>
      <c r="W75" s="17"/>
      <c r="X75" s="17"/>
      <c r="Y75" s="17"/>
    </row>
    <row r="76" spans="1:25" x14ac:dyDescent="0.2">
      <c r="A76" s="17"/>
      <c r="B76" s="17">
        <f t="shared" si="0"/>
        <v>8</v>
      </c>
      <c r="C76" s="28" t="s">
        <v>581</v>
      </c>
      <c r="D76" s="29" t="s">
        <v>785</v>
      </c>
      <c r="E76" s="65">
        <f t="shared" si="1"/>
        <v>0</v>
      </c>
      <c r="F76" s="31"/>
      <c r="G76" s="32"/>
      <c r="H76" s="33" t="s">
        <v>244</v>
      </c>
      <c r="I76" s="31" t="s">
        <v>303</v>
      </c>
      <c r="J76" s="434" t="s">
        <v>732</v>
      </c>
      <c r="K76" s="435"/>
      <c r="L76" s="435"/>
      <c r="M76" s="435"/>
      <c r="N76" s="435"/>
      <c r="O76" s="435"/>
      <c r="P76" s="436"/>
      <c r="Q76" s="17"/>
      <c r="R76" s="17"/>
      <c r="S76" s="17"/>
      <c r="T76" s="17"/>
      <c r="U76" s="17"/>
      <c r="V76" s="17"/>
      <c r="W76" s="17"/>
      <c r="X76" s="17"/>
      <c r="Y76" s="17"/>
    </row>
    <row r="77" spans="1:25" x14ac:dyDescent="0.2">
      <c r="A77" s="17"/>
      <c r="B77" s="17">
        <f t="shared" si="0"/>
        <v>8</v>
      </c>
      <c r="C77" s="28" t="s">
        <v>582</v>
      </c>
      <c r="D77" s="29" t="s">
        <v>786</v>
      </c>
      <c r="E77" s="65">
        <f t="shared" si="1"/>
        <v>0</v>
      </c>
      <c r="F77" s="31"/>
      <c r="G77" s="32"/>
      <c r="H77" s="33" t="s">
        <v>244</v>
      </c>
      <c r="I77" s="31" t="s">
        <v>303</v>
      </c>
      <c r="J77" s="434" t="s">
        <v>733</v>
      </c>
      <c r="K77" s="435"/>
      <c r="L77" s="435"/>
      <c r="M77" s="435"/>
      <c r="N77" s="435"/>
      <c r="O77" s="435"/>
      <c r="P77" s="436"/>
      <c r="Q77" s="17"/>
      <c r="R77" s="17"/>
      <c r="S77" s="17"/>
      <c r="T77" s="17"/>
      <c r="U77" s="17"/>
      <c r="V77" s="17"/>
      <c r="W77" s="17"/>
      <c r="X77" s="17"/>
      <c r="Y77" s="17"/>
    </row>
    <row r="78" spans="1:25" x14ac:dyDescent="0.2">
      <c r="A78" s="17"/>
      <c r="B78" s="17">
        <f t="shared" si="0"/>
        <v>8</v>
      </c>
      <c r="C78" s="28" t="s">
        <v>583</v>
      </c>
      <c r="D78" s="29" t="s">
        <v>787</v>
      </c>
      <c r="E78" s="65">
        <f t="shared" si="1"/>
        <v>0</v>
      </c>
      <c r="F78" s="31"/>
      <c r="G78" s="32"/>
      <c r="H78" s="33" t="s">
        <v>244</v>
      </c>
      <c r="I78" s="31" t="s">
        <v>303</v>
      </c>
      <c r="J78" s="434" t="s">
        <v>734</v>
      </c>
      <c r="K78" s="435"/>
      <c r="L78" s="435"/>
      <c r="M78" s="435"/>
      <c r="N78" s="435"/>
      <c r="O78" s="435"/>
      <c r="P78" s="436"/>
      <c r="Q78" s="17"/>
      <c r="R78" s="17"/>
      <c r="S78" s="17"/>
      <c r="T78" s="17"/>
      <c r="U78" s="17"/>
      <c r="V78" s="17"/>
      <c r="W78" s="17"/>
      <c r="X78" s="17"/>
      <c r="Y78" s="17"/>
    </row>
    <row r="79" spans="1:25" x14ac:dyDescent="0.2">
      <c r="A79" s="17"/>
      <c r="B79" s="17">
        <f t="shared" si="0"/>
        <v>8</v>
      </c>
      <c r="C79" s="28" t="s">
        <v>584</v>
      </c>
      <c r="D79" s="29" t="s">
        <v>788</v>
      </c>
      <c r="E79" s="65">
        <f t="shared" si="1"/>
        <v>0</v>
      </c>
      <c r="F79" s="31"/>
      <c r="G79" s="32"/>
      <c r="H79" s="33" t="s">
        <v>244</v>
      </c>
      <c r="I79" s="31" t="s">
        <v>303</v>
      </c>
      <c r="J79" s="434" t="s">
        <v>735</v>
      </c>
      <c r="K79" s="435"/>
      <c r="L79" s="435"/>
      <c r="M79" s="435"/>
      <c r="N79" s="435"/>
      <c r="O79" s="435"/>
      <c r="P79" s="436"/>
      <c r="Q79" s="17"/>
      <c r="R79" s="17"/>
      <c r="S79" s="17"/>
      <c r="T79" s="17"/>
      <c r="U79" s="17"/>
      <c r="V79" s="17"/>
      <c r="W79" s="17"/>
      <c r="X79" s="17"/>
      <c r="Y79" s="17"/>
    </row>
    <row r="80" spans="1:25" x14ac:dyDescent="0.2">
      <c r="A80" s="17"/>
      <c r="B80" s="17">
        <f t="shared" si="0"/>
        <v>8</v>
      </c>
      <c r="C80" s="28" t="s">
        <v>585</v>
      </c>
      <c r="D80" s="29" t="s">
        <v>789</v>
      </c>
      <c r="E80" s="65">
        <f t="shared" si="1"/>
        <v>0</v>
      </c>
      <c r="F80" s="31"/>
      <c r="G80" s="32"/>
      <c r="H80" s="33" t="s">
        <v>244</v>
      </c>
      <c r="I80" s="31" t="s">
        <v>303</v>
      </c>
      <c r="J80" s="434" t="s">
        <v>736</v>
      </c>
      <c r="K80" s="435"/>
      <c r="L80" s="435"/>
      <c r="M80" s="435"/>
      <c r="N80" s="435"/>
      <c r="O80" s="435"/>
      <c r="P80" s="436"/>
      <c r="Q80" s="17"/>
      <c r="R80" s="17"/>
      <c r="S80" s="17"/>
      <c r="T80" s="17"/>
      <c r="U80" s="17"/>
      <c r="V80" s="17"/>
      <c r="W80" s="17"/>
      <c r="X80" s="17"/>
      <c r="Y80" s="17"/>
    </row>
    <row r="81" spans="1:25" x14ac:dyDescent="0.2">
      <c r="A81" s="17"/>
      <c r="B81" s="17">
        <f t="shared" si="0"/>
        <v>8</v>
      </c>
      <c r="C81" s="28" t="s">
        <v>586</v>
      </c>
      <c r="D81" s="29" t="s">
        <v>790</v>
      </c>
      <c r="E81" s="65">
        <f t="shared" si="1"/>
        <v>0</v>
      </c>
      <c r="F81" s="31"/>
      <c r="G81" s="32"/>
      <c r="H81" s="33" t="s">
        <v>244</v>
      </c>
      <c r="I81" s="31" t="s">
        <v>303</v>
      </c>
      <c r="J81" s="434" t="s">
        <v>737</v>
      </c>
      <c r="K81" s="435"/>
      <c r="L81" s="435"/>
      <c r="M81" s="435"/>
      <c r="N81" s="435"/>
      <c r="O81" s="435"/>
      <c r="P81" s="436"/>
      <c r="Q81" s="17"/>
      <c r="R81" s="17"/>
      <c r="S81" s="17"/>
      <c r="T81" s="17"/>
      <c r="U81" s="17"/>
      <c r="V81" s="17"/>
      <c r="W81" s="17"/>
      <c r="X81" s="17"/>
      <c r="Y81" s="17"/>
    </row>
    <row r="82" spans="1:25" x14ac:dyDescent="0.2">
      <c r="A82" s="17"/>
      <c r="B82" s="17">
        <f t="shared" si="0"/>
        <v>8</v>
      </c>
      <c r="C82" s="28" t="s">
        <v>587</v>
      </c>
      <c r="D82" s="29" t="s">
        <v>791</v>
      </c>
      <c r="E82" s="65">
        <f t="shared" si="1"/>
        <v>0</v>
      </c>
      <c r="F82" s="31"/>
      <c r="G82" s="32"/>
      <c r="H82" s="33" t="s">
        <v>244</v>
      </c>
      <c r="I82" s="31" t="s">
        <v>303</v>
      </c>
      <c r="J82" s="434" t="s">
        <v>738</v>
      </c>
      <c r="K82" s="435"/>
      <c r="L82" s="435"/>
      <c r="M82" s="435"/>
      <c r="N82" s="435"/>
      <c r="O82" s="435"/>
      <c r="P82" s="436"/>
      <c r="Q82" s="17"/>
      <c r="R82" s="17"/>
      <c r="S82" s="17"/>
      <c r="T82" s="17"/>
      <c r="U82" s="17"/>
      <c r="V82" s="17"/>
      <c r="W82" s="17"/>
      <c r="X82" s="17"/>
      <c r="Y82" s="17"/>
    </row>
    <row r="83" spans="1:25" x14ac:dyDescent="0.2">
      <c r="A83" s="17"/>
      <c r="B83" s="17">
        <f t="shared" si="0"/>
        <v>7</v>
      </c>
      <c r="C83" s="28" t="s">
        <v>588</v>
      </c>
      <c r="D83" s="29" t="s">
        <v>792</v>
      </c>
      <c r="E83" s="65">
        <f t="shared" si="1"/>
        <v>0</v>
      </c>
      <c r="F83" s="31"/>
      <c r="G83" s="32"/>
      <c r="H83" s="33" t="s">
        <v>244</v>
      </c>
      <c r="I83" s="31" t="s">
        <v>303</v>
      </c>
      <c r="J83" s="434" t="s">
        <v>739</v>
      </c>
      <c r="K83" s="435"/>
      <c r="L83" s="435"/>
      <c r="M83" s="435"/>
      <c r="N83" s="435"/>
      <c r="O83" s="435"/>
      <c r="P83" s="436"/>
      <c r="Q83" s="17"/>
      <c r="R83" s="17"/>
      <c r="S83" s="17"/>
      <c r="T83" s="17"/>
      <c r="U83" s="17"/>
      <c r="V83" s="17"/>
      <c r="W83" s="17"/>
      <c r="X83" s="17"/>
      <c r="Y83" s="17"/>
    </row>
    <row r="84" spans="1:25" ht="38.25" x14ac:dyDescent="0.2">
      <c r="A84" s="17"/>
      <c r="B84" s="17">
        <f t="shared" si="0"/>
        <v>8</v>
      </c>
      <c r="C84" s="28" t="s">
        <v>589</v>
      </c>
      <c r="D84" s="29" t="s">
        <v>573</v>
      </c>
      <c r="E84" s="342">
        <f>E69+E70+E71+E72+E73+E74+E75+E76+E77+E78+E79+E80+E81+E82+E83</f>
        <v>0.55971015690874804</v>
      </c>
      <c r="F84" s="31"/>
      <c r="G84" s="32"/>
      <c r="H84" s="33" t="s">
        <v>244</v>
      </c>
      <c r="I84" s="31" t="s">
        <v>303</v>
      </c>
      <c r="J84" s="434" t="s">
        <v>627</v>
      </c>
      <c r="K84" s="435"/>
      <c r="L84" s="435"/>
      <c r="M84" s="435"/>
      <c r="N84" s="435"/>
      <c r="O84" s="435"/>
      <c r="P84" s="436"/>
      <c r="Q84" s="17"/>
      <c r="R84" s="17"/>
      <c r="S84" s="17"/>
      <c r="T84" s="17"/>
      <c r="U84" s="17"/>
      <c r="V84" s="17"/>
      <c r="W84" s="17"/>
      <c r="X84" s="17"/>
      <c r="Y84" s="17"/>
    </row>
    <row r="85" spans="1:25" ht="63.75" x14ac:dyDescent="0.2">
      <c r="A85" s="17"/>
      <c r="B85" s="17">
        <f t="shared" si="0"/>
        <v>8</v>
      </c>
      <c r="C85" s="28" t="s">
        <v>612</v>
      </c>
      <c r="D85" s="29" t="s">
        <v>793</v>
      </c>
      <c r="E85" s="342">
        <f>(E39/E54+E40/E55+E41/E56+E42/E57+E43/E58+E44/E59+E45/E60+E46/E61+E47/E62+E48/E63+E49/E64+E50/E65+E51/E66+E52/E67+E53/E68)/E38</f>
        <v>3.415549943682239</v>
      </c>
      <c r="F85" s="31"/>
      <c r="G85" s="32"/>
      <c r="H85" s="33" t="s">
        <v>497</v>
      </c>
      <c r="I85" s="31" t="s">
        <v>303</v>
      </c>
      <c r="J85" s="434" t="s">
        <v>702</v>
      </c>
      <c r="K85" s="435"/>
      <c r="L85" s="435"/>
      <c r="M85" s="435"/>
      <c r="N85" s="435"/>
      <c r="O85" s="435"/>
      <c r="P85" s="436"/>
      <c r="Q85" s="17"/>
      <c r="R85" s="17"/>
      <c r="S85" s="17"/>
      <c r="T85" s="17"/>
      <c r="U85" s="17"/>
      <c r="V85" s="17"/>
      <c r="W85" s="17"/>
      <c r="X85" s="17"/>
      <c r="Y85" s="17"/>
    </row>
    <row r="86" spans="1:25" x14ac:dyDescent="0.2">
      <c r="A86" s="17"/>
      <c r="B86" s="17">
        <f>LEN(C86)</f>
        <v>13</v>
      </c>
      <c r="C86" s="28" t="s">
        <v>679</v>
      </c>
      <c r="D86" s="29"/>
      <c r="E86" s="77">
        <f>Energy!B13</f>
        <v>1.7031250000000001E-2</v>
      </c>
      <c r="F86" s="31">
        <f>Energy!D15</f>
        <v>3.40625E-3</v>
      </c>
      <c r="G86" s="32">
        <f>Energy!D16</f>
        <v>3.4062500000000002E-2</v>
      </c>
      <c r="H86" s="33" t="s">
        <v>455</v>
      </c>
      <c r="I86" s="31">
        <v>11</v>
      </c>
      <c r="J86" s="434" t="s">
        <v>457</v>
      </c>
      <c r="K86" s="435"/>
      <c r="L86" s="435"/>
      <c r="M86" s="435"/>
      <c r="N86" s="435"/>
      <c r="O86" s="435"/>
      <c r="P86" s="436"/>
      <c r="Q86" s="17"/>
      <c r="R86" s="17"/>
      <c r="S86" s="17"/>
      <c r="T86" s="17"/>
      <c r="U86" s="17"/>
      <c r="V86" s="17"/>
      <c r="W86" s="17"/>
      <c r="X86" s="17"/>
      <c r="Y86" s="17"/>
    </row>
    <row r="87" spans="1:25" x14ac:dyDescent="0.2">
      <c r="A87" s="17"/>
      <c r="B87" s="17">
        <f>LEN(C87)</f>
        <v>9</v>
      </c>
      <c r="C87" s="28" t="s">
        <v>695</v>
      </c>
      <c r="D87" s="29"/>
      <c r="E87" s="77">
        <f>'materials and output'!D29</f>
        <v>5.0000000000000001E-3</v>
      </c>
      <c r="F87" s="407">
        <v>2E-3</v>
      </c>
      <c r="G87" s="408">
        <v>6.0000000000000001E-3</v>
      </c>
      <c r="H87" s="33" t="s">
        <v>696</v>
      </c>
      <c r="I87" s="31">
        <v>5</v>
      </c>
      <c r="J87" s="434" t="s">
        <v>806</v>
      </c>
      <c r="K87" s="435"/>
      <c r="L87" s="435"/>
      <c r="M87" s="435"/>
      <c r="N87" s="435"/>
      <c r="O87" s="435"/>
      <c r="P87" s="436"/>
      <c r="Q87" s="17"/>
      <c r="R87" s="17"/>
      <c r="S87" s="17"/>
      <c r="T87" s="17"/>
      <c r="U87" s="17"/>
      <c r="V87" s="17"/>
      <c r="W87" s="17"/>
      <c r="X87" s="17"/>
      <c r="Y87" s="17"/>
    </row>
    <row r="88" spans="1:25" x14ac:dyDescent="0.2">
      <c r="A88" s="17"/>
      <c r="B88" s="17">
        <f>LEN(C88)</f>
        <v>11</v>
      </c>
      <c r="C88" s="28" t="s">
        <v>697</v>
      </c>
      <c r="D88" s="29"/>
      <c r="E88" s="262">
        <f>'materials and output'!D63</f>
        <v>6.0816847920000007E-4</v>
      </c>
      <c r="F88" s="31"/>
      <c r="G88" s="32"/>
      <c r="H88" s="33" t="s">
        <v>696</v>
      </c>
      <c r="I88" s="31">
        <v>6</v>
      </c>
      <c r="J88" s="434" t="s">
        <v>650</v>
      </c>
      <c r="K88" s="435"/>
      <c r="L88" s="435"/>
      <c r="M88" s="435"/>
      <c r="N88" s="435"/>
      <c r="O88" s="435"/>
      <c r="P88" s="436"/>
      <c r="Q88" s="17"/>
      <c r="R88" s="17"/>
      <c r="S88" s="17"/>
      <c r="T88" s="17"/>
      <c r="U88" s="17"/>
      <c r="V88" s="17"/>
      <c r="W88" s="17"/>
      <c r="X88" s="17"/>
      <c r="Y88" s="17"/>
    </row>
    <row r="89" spans="1:25" x14ac:dyDescent="0.2">
      <c r="A89" s="17"/>
      <c r="B89" s="17">
        <f t="shared" si="0"/>
        <v>10</v>
      </c>
      <c r="C89" s="28" t="s">
        <v>663</v>
      </c>
      <c r="D89" s="29" t="s">
        <v>612</v>
      </c>
      <c r="E89" s="342">
        <f>E85</f>
        <v>3.415549943682239</v>
      </c>
      <c r="F89" s="31"/>
      <c r="G89" s="32"/>
      <c r="H89" s="33" t="s">
        <v>497</v>
      </c>
      <c r="I89" s="31" t="s">
        <v>715</v>
      </c>
      <c r="J89" s="434" t="s">
        <v>701</v>
      </c>
      <c r="K89" s="435"/>
      <c r="L89" s="435"/>
      <c r="M89" s="435"/>
      <c r="N89" s="435"/>
      <c r="O89" s="435"/>
      <c r="P89" s="436"/>
      <c r="Q89" s="17"/>
      <c r="R89" s="17"/>
      <c r="S89" s="17"/>
      <c r="T89" s="17"/>
      <c r="U89" s="17"/>
      <c r="V89" s="17"/>
      <c r="W89" s="17"/>
      <c r="X89" s="17"/>
      <c r="Y89" s="17"/>
    </row>
    <row r="90" spans="1:25" x14ac:dyDescent="0.2">
      <c r="A90" s="17"/>
      <c r="B90" s="17">
        <f t="shared" si="0"/>
        <v>7</v>
      </c>
      <c r="C90" s="28" t="s">
        <v>664</v>
      </c>
      <c r="D90" s="29"/>
      <c r="E90" s="342">
        <f>'materials and output'!G38</f>
        <v>0.36439404000000003</v>
      </c>
      <c r="F90" s="31"/>
      <c r="G90" s="32"/>
      <c r="H90" s="33" t="s">
        <v>266</v>
      </c>
      <c r="I90" s="31"/>
      <c r="J90" s="434" t="s">
        <v>687</v>
      </c>
      <c r="K90" s="435"/>
      <c r="L90" s="435"/>
      <c r="M90" s="435"/>
      <c r="N90" s="435"/>
      <c r="O90" s="435"/>
      <c r="P90" s="436"/>
      <c r="Q90" s="17"/>
      <c r="R90" s="17"/>
      <c r="S90" s="17"/>
      <c r="T90" s="17"/>
      <c r="U90" s="17"/>
      <c r="V90" s="17"/>
      <c r="W90" s="17"/>
      <c r="X90" s="17"/>
      <c r="Y90" s="17"/>
    </row>
    <row r="91" spans="1:25" x14ac:dyDescent="0.2">
      <c r="A91" s="17"/>
      <c r="B91" s="17">
        <f t="shared" si="0"/>
        <v>13</v>
      </c>
      <c r="C91" s="28" t="s">
        <v>665</v>
      </c>
      <c r="D91" s="29" t="s">
        <v>794</v>
      </c>
      <c r="E91" s="342">
        <f>E89*E90</f>
        <v>1.2446060428001435</v>
      </c>
      <c r="F91" s="31"/>
      <c r="G91" s="32"/>
      <c r="H91" s="33" t="s">
        <v>244</v>
      </c>
      <c r="I91" s="31" t="s">
        <v>715</v>
      </c>
      <c r="J91" s="434" t="s">
        <v>700</v>
      </c>
      <c r="K91" s="435"/>
      <c r="L91" s="435"/>
      <c r="M91" s="435"/>
      <c r="N91" s="435"/>
      <c r="O91" s="435"/>
      <c r="P91" s="436"/>
      <c r="Q91" s="17"/>
      <c r="R91" s="17"/>
      <c r="S91" s="17"/>
      <c r="T91" s="17"/>
      <c r="U91" s="17"/>
      <c r="V91" s="17"/>
      <c r="W91" s="17"/>
      <c r="X91" s="17"/>
      <c r="Y91" s="17"/>
    </row>
    <row r="92" spans="1:25" x14ac:dyDescent="0.2">
      <c r="A92" s="17"/>
      <c r="B92" s="17">
        <f t="shared" si="0"/>
        <v>8</v>
      </c>
      <c r="C92" s="28" t="s">
        <v>704</v>
      </c>
      <c r="D92" s="29" t="s">
        <v>795</v>
      </c>
      <c r="E92" s="342">
        <f>E91/E87</f>
        <v>248.9212085600287</v>
      </c>
      <c r="F92" s="31"/>
      <c r="G92" s="32"/>
      <c r="H92" s="33" t="s">
        <v>244</v>
      </c>
      <c r="I92" s="31" t="s">
        <v>715</v>
      </c>
      <c r="J92" s="434" t="s">
        <v>699</v>
      </c>
      <c r="K92" s="435"/>
      <c r="L92" s="435"/>
      <c r="M92" s="435"/>
      <c r="N92" s="435"/>
      <c r="O92" s="435"/>
      <c r="P92" s="436"/>
      <c r="Q92" s="17"/>
      <c r="R92" s="17"/>
      <c r="S92" s="17"/>
      <c r="T92" s="17"/>
      <c r="U92" s="17"/>
      <c r="V92" s="17"/>
      <c r="W92" s="17"/>
      <c r="X92" s="17"/>
      <c r="Y92" s="17"/>
    </row>
    <row r="93" spans="1:25" x14ac:dyDescent="0.2">
      <c r="A93" s="17"/>
      <c r="B93" s="17">
        <f t="shared" si="0"/>
        <v>11</v>
      </c>
      <c r="C93" s="28" t="s">
        <v>246</v>
      </c>
      <c r="D93" s="29" t="s">
        <v>796</v>
      </c>
      <c r="E93" s="342">
        <f>E92*E86</f>
        <v>4.2394393332879892</v>
      </c>
      <c r="F93" s="31"/>
      <c r="G93" s="32"/>
      <c r="H93" s="33" t="s">
        <v>455</v>
      </c>
      <c r="I93" s="31" t="s">
        <v>723</v>
      </c>
      <c r="J93" s="434" t="s">
        <v>680</v>
      </c>
      <c r="K93" s="435"/>
      <c r="L93" s="435"/>
      <c r="M93" s="435"/>
      <c r="N93" s="435"/>
      <c r="O93" s="435"/>
      <c r="P93" s="436"/>
      <c r="Q93" s="17"/>
      <c r="R93" s="17"/>
      <c r="S93" s="17"/>
      <c r="T93" s="17"/>
      <c r="U93" s="17"/>
      <c r="V93" s="17"/>
      <c r="W93" s="17"/>
      <c r="X93" s="17"/>
      <c r="Y93" s="17"/>
    </row>
    <row r="94" spans="1:25" x14ac:dyDescent="0.2">
      <c r="A94" s="17"/>
      <c r="B94" s="17">
        <f t="shared" si="0"/>
        <v>13</v>
      </c>
      <c r="C94" s="28" t="s">
        <v>684</v>
      </c>
      <c r="D94" s="29"/>
      <c r="E94" s="405">
        <f>'materials and output'!B42</f>
        <v>0.85</v>
      </c>
      <c r="F94" s="31"/>
      <c r="G94" s="32"/>
      <c r="H94" s="33" t="s">
        <v>244</v>
      </c>
      <c r="I94" s="31">
        <v>3</v>
      </c>
      <c r="J94" s="434" t="s">
        <v>688</v>
      </c>
      <c r="K94" s="435"/>
      <c r="L94" s="435"/>
      <c r="M94" s="435"/>
      <c r="N94" s="435"/>
      <c r="O94" s="435"/>
      <c r="P94" s="436"/>
      <c r="Q94" s="17"/>
      <c r="R94" s="17"/>
      <c r="S94" s="17"/>
      <c r="T94" s="17"/>
      <c r="U94" s="17"/>
      <c r="V94" s="17"/>
      <c r="W94" s="17"/>
      <c r="X94" s="17"/>
      <c r="Y94" s="17"/>
    </row>
    <row r="95" spans="1:25" x14ac:dyDescent="0.2">
      <c r="A95" s="17"/>
      <c r="B95" s="17">
        <f t="shared" ref="B95:B110" si="2">LEN(C95)</f>
        <v>12</v>
      </c>
      <c r="C95" s="28" t="s">
        <v>685</v>
      </c>
      <c r="D95" s="29" t="s">
        <v>797</v>
      </c>
      <c r="E95" s="342">
        <f>E91*(1-E94)</f>
        <v>0.18669090642002156</v>
      </c>
      <c r="F95" s="31"/>
      <c r="G95" s="32"/>
      <c r="H95" s="33" t="s">
        <v>244</v>
      </c>
      <c r="I95" s="31" t="s">
        <v>718</v>
      </c>
      <c r="J95" s="434" t="s">
        <v>686</v>
      </c>
      <c r="K95" s="435"/>
      <c r="L95" s="435"/>
      <c r="M95" s="435"/>
      <c r="N95" s="435"/>
      <c r="O95" s="435"/>
      <c r="P95" s="436"/>
      <c r="Q95" s="17"/>
      <c r="R95" s="17"/>
      <c r="S95" s="17"/>
      <c r="T95" s="17"/>
      <c r="U95" s="17"/>
      <c r="V95" s="17"/>
      <c r="W95" s="17"/>
      <c r="X95" s="17"/>
      <c r="Y95" s="17"/>
    </row>
    <row r="96" spans="1:25" x14ac:dyDescent="0.2">
      <c r="A96" s="17"/>
      <c r="B96" s="17">
        <f t="shared" si="2"/>
        <v>11</v>
      </c>
      <c r="C96" s="28" t="s">
        <v>689</v>
      </c>
      <c r="D96" s="29" t="s">
        <v>612</v>
      </c>
      <c r="E96" s="342">
        <f>E85</f>
        <v>3.415549943682239</v>
      </c>
      <c r="F96" s="31"/>
      <c r="G96" s="32"/>
      <c r="H96" s="33" t="s">
        <v>497</v>
      </c>
      <c r="I96" s="31"/>
      <c r="J96" s="434" t="s">
        <v>721</v>
      </c>
      <c r="K96" s="435"/>
      <c r="L96" s="435"/>
      <c r="M96" s="435"/>
      <c r="N96" s="435"/>
      <c r="O96" s="435"/>
      <c r="P96" s="436"/>
      <c r="Q96" s="17"/>
      <c r="R96" s="17"/>
      <c r="S96" s="17"/>
      <c r="T96" s="17"/>
      <c r="U96" s="17"/>
      <c r="V96" s="17"/>
      <c r="W96" s="17"/>
      <c r="X96" s="17"/>
      <c r="Y96" s="17"/>
    </row>
    <row r="97" spans="1:25" x14ac:dyDescent="0.2">
      <c r="A97" s="17"/>
      <c r="B97" s="17">
        <f t="shared" si="2"/>
        <v>8</v>
      </c>
      <c r="C97" s="28" t="s">
        <v>690</v>
      </c>
      <c r="D97" s="29"/>
      <c r="E97" s="342">
        <f>'materials and output'!G38</f>
        <v>0.36439404000000003</v>
      </c>
      <c r="F97" s="31"/>
      <c r="G97" s="32"/>
      <c r="H97" s="33" t="s">
        <v>266</v>
      </c>
      <c r="I97" s="31"/>
      <c r="J97" s="434" t="s">
        <v>722</v>
      </c>
      <c r="K97" s="435"/>
      <c r="L97" s="435"/>
      <c r="M97" s="435"/>
      <c r="N97" s="435"/>
      <c r="O97" s="435"/>
      <c r="P97" s="436"/>
      <c r="Q97" s="17"/>
      <c r="R97" s="17"/>
      <c r="S97" s="17"/>
      <c r="T97" s="17"/>
      <c r="U97" s="17"/>
      <c r="V97" s="17"/>
      <c r="W97" s="17"/>
      <c r="X97" s="17"/>
      <c r="Y97" s="17"/>
    </row>
    <row r="98" spans="1:25" x14ac:dyDescent="0.2">
      <c r="A98" s="17"/>
      <c r="B98" s="17">
        <f t="shared" si="2"/>
        <v>14</v>
      </c>
      <c r="C98" s="28" t="s">
        <v>691</v>
      </c>
      <c r="D98" s="29" t="s">
        <v>798</v>
      </c>
      <c r="E98" s="342">
        <f>E96*E97</f>
        <v>1.2446060428001435</v>
      </c>
      <c r="F98" s="31"/>
      <c r="G98" s="32"/>
      <c r="H98" s="33" t="s">
        <v>244</v>
      </c>
      <c r="I98" s="31"/>
      <c r="J98" s="434" t="s">
        <v>774</v>
      </c>
      <c r="K98" s="435"/>
      <c r="L98" s="435"/>
      <c r="M98" s="435"/>
      <c r="N98" s="435"/>
      <c r="O98" s="435"/>
      <c r="P98" s="436"/>
      <c r="Q98" s="17"/>
      <c r="R98" s="17"/>
      <c r="S98" s="17"/>
      <c r="T98" s="17"/>
      <c r="U98" s="17"/>
      <c r="V98" s="17"/>
      <c r="W98" s="17"/>
      <c r="X98" s="17"/>
      <c r="Y98" s="17"/>
    </row>
    <row r="99" spans="1:25" x14ac:dyDescent="0.2">
      <c r="A99" s="17"/>
      <c r="B99" s="17">
        <f t="shared" si="2"/>
        <v>14</v>
      </c>
      <c r="C99" s="28" t="s">
        <v>692</v>
      </c>
      <c r="D99" s="29"/>
      <c r="E99" s="406">
        <f>'materials and output'!B43</f>
        <v>1</v>
      </c>
      <c r="F99" s="31"/>
      <c r="G99" s="32"/>
      <c r="H99" s="33" t="s">
        <v>244</v>
      </c>
      <c r="I99" s="31">
        <v>3</v>
      </c>
      <c r="J99" s="434" t="s">
        <v>775</v>
      </c>
      <c r="K99" s="435"/>
      <c r="L99" s="435"/>
      <c r="M99" s="435"/>
      <c r="N99" s="435"/>
      <c r="O99" s="435"/>
      <c r="P99" s="436"/>
      <c r="Q99" s="17"/>
      <c r="R99" s="17"/>
      <c r="S99" s="17"/>
      <c r="T99" s="17"/>
      <c r="U99" s="17"/>
      <c r="V99" s="17"/>
      <c r="W99" s="17"/>
      <c r="X99" s="17"/>
      <c r="Y99" s="17"/>
    </row>
    <row r="100" spans="1:25" x14ac:dyDescent="0.2">
      <c r="A100" s="17"/>
      <c r="B100" s="17">
        <f t="shared" si="2"/>
        <v>13</v>
      </c>
      <c r="C100" s="28" t="s">
        <v>693</v>
      </c>
      <c r="D100" s="29" t="s">
        <v>799</v>
      </c>
      <c r="E100" s="342">
        <f>E98*(1-E99)</f>
        <v>0</v>
      </c>
      <c r="F100" s="31"/>
      <c r="G100" s="32"/>
      <c r="H100" s="33" t="s">
        <v>244</v>
      </c>
      <c r="I100" s="31"/>
      <c r="J100" s="434" t="s">
        <v>705</v>
      </c>
      <c r="K100" s="435"/>
      <c r="L100" s="435"/>
      <c r="M100" s="435"/>
      <c r="N100" s="435"/>
      <c r="O100" s="435"/>
      <c r="P100" s="436"/>
      <c r="Q100" s="17"/>
      <c r="R100" s="17"/>
      <c r="S100" s="17"/>
      <c r="T100" s="17"/>
      <c r="U100" s="17"/>
      <c r="V100" s="17"/>
      <c r="W100" s="17"/>
      <c r="X100" s="17"/>
      <c r="Y100" s="17"/>
    </row>
    <row r="101" spans="1:25" x14ac:dyDescent="0.2">
      <c r="A101" s="17"/>
      <c r="B101" s="17">
        <f t="shared" si="2"/>
        <v>6</v>
      </c>
      <c r="C101" s="28" t="s">
        <v>698</v>
      </c>
      <c r="D101" s="29" t="s">
        <v>800</v>
      </c>
      <c r="E101" s="342">
        <f>E88*E92</f>
        <v>0.15138603285057869</v>
      </c>
      <c r="F101" s="31"/>
      <c r="G101" s="32"/>
      <c r="H101" s="33" t="s">
        <v>244</v>
      </c>
      <c r="I101" s="31"/>
      <c r="J101" s="434" t="s">
        <v>703</v>
      </c>
      <c r="K101" s="435"/>
      <c r="L101" s="435"/>
      <c r="M101" s="435"/>
      <c r="N101" s="435"/>
      <c r="O101" s="435"/>
      <c r="P101" s="436"/>
      <c r="Q101" s="17"/>
      <c r="R101" s="17"/>
      <c r="S101" s="17"/>
      <c r="T101" s="17"/>
      <c r="U101" s="17"/>
      <c r="V101" s="17"/>
      <c r="W101" s="17"/>
      <c r="X101" s="17"/>
      <c r="Y101" s="17"/>
    </row>
    <row r="102" spans="1:25" x14ac:dyDescent="0.2">
      <c r="A102" s="17"/>
      <c r="B102" s="17">
        <f t="shared" si="2"/>
        <v>12</v>
      </c>
      <c r="C102" s="28" t="s">
        <v>706</v>
      </c>
      <c r="D102" s="29" t="s">
        <v>801</v>
      </c>
      <c r="E102" s="342">
        <f>E92+E95+E105</f>
        <v>249.93763682831548</v>
      </c>
      <c r="F102" s="31"/>
      <c r="G102" s="32"/>
      <c r="H102" s="33" t="s">
        <v>244</v>
      </c>
      <c r="I102" s="31" t="s">
        <v>716</v>
      </c>
      <c r="J102" s="434" t="s">
        <v>711</v>
      </c>
      <c r="K102" s="435"/>
      <c r="L102" s="435"/>
      <c r="M102" s="435"/>
      <c r="N102" s="435"/>
      <c r="O102" s="435"/>
      <c r="P102" s="436"/>
      <c r="Q102" s="17"/>
      <c r="R102" s="17"/>
      <c r="S102" s="17"/>
      <c r="T102" s="17"/>
      <c r="U102" s="17"/>
      <c r="V102" s="17"/>
      <c r="W102" s="17"/>
      <c r="X102" s="17"/>
      <c r="Y102" s="17"/>
    </row>
    <row r="103" spans="1:25" x14ac:dyDescent="0.2">
      <c r="A103" s="17"/>
      <c r="B103" s="17">
        <f t="shared" si="2"/>
        <v>12</v>
      </c>
      <c r="C103" s="28" t="s">
        <v>709</v>
      </c>
      <c r="D103" s="29"/>
      <c r="E103" s="342">
        <f>'materials and output'!D51</f>
        <v>0.66666666666666663</v>
      </c>
      <c r="F103" s="31"/>
      <c r="G103" s="32"/>
      <c r="H103" s="33"/>
      <c r="I103" s="31">
        <v>6</v>
      </c>
      <c r="J103" s="434" t="s">
        <v>712</v>
      </c>
      <c r="K103" s="435"/>
      <c r="L103" s="435"/>
      <c r="M103" s="435"/>
      <c r="N103" s="435"/>
      <c r="O103" s="435"/>
      <c r="P103" s="436"/>
      <c r="Q103" s="17"/>
      <c r="R103" s="17"/>
      <c r="S103" s="17"/>
      <c r="T103" s="17"/>
      <c r="U103" s="17"/>
      <c r="V103" s="17"/>
      <c r="W103" s="17"/>
      <c r="X103" s="17"/>
      <c r="Y103" s="17"/>
    </row>
    <row r="104" spans="1:25" x14ac:dyDescent="0.2">
      <c r="A104" s="17"/>
      <c r="B104" s="17">
        <f t="shared" si="2"/>
        <v>10</v>
      </c>
      <c r="C104" s="28" t="s">
        <v>710</v>
      </c>
      <c r="D104" s="29" t="s">
        <v>802</v>
      </c>
      <c r="E104" s="342">
        <f>E103*E87</f>
        <v>3.3333333333333331E-3</v>
      </c>
      <c r="F104" s="31"/>
      <c r="G104" s="32"/>
      <c r="H104" s="33" t="s">
        <v>696</v>
      </c>
      <c r="I104" s="31" t="s">
        <v>717</v>
      </c>
      <c r="J104" s="434" t="s">
        <v>713</v>
      </c>
      <c r="K104" s="435"/>
      <c r="L104" s="435"/>
      <c r="M104" s="435"/>
      <c r="N104" s="435"/>
      <c r="O104" s="435"/>
      <c r="P104" s="436"/>
      <c r="Q104" s="17"/>
      <c r="R104" s="17"/>
      <c r="S104" s="17"/>
      <c r="T104" s="17"/>
      <c r="U104" s="17"/>
      <c r="V104" s="17"/>
      <c r="W104" s="17"/>
      <c r="X104" s="17"/>
      <c r="Y104" s="17"/>
    </row>
    <row r="105" spans="1:25" x14ac:dyDescent="0.2">
      <c r="A105" s="17"/>
      <c r="B105" s="17">
        <f t="shared" si="2"/>
        <v>12</v>
      </c>
      <c r="C105" s="28" t="s">
        <v>708</v>
      </c>
      <c r="D105" s="29" t="s">
        <v>803</v>
      </c>
      <c r="E105" s="342">
        <f>E104*E92</f>
        <v>0.82973736186676228</v>
      </c>
      <c r="F105" s="31"/>
      <c r="G105" s="32"/>
      <c r="H105" s="33" t="s">
        <v>244</v>
      </c>
      <c r="I105" s="31" t="s">
        <v>716</v>
      </c>
      <c r="J105" s="434" t="s">
        <v>714</v>
      </c>
      <c r="K105" s="435"/>
      <c r="L105" s="435"/>
      <c r="M105" s="435"/>
      <c r="N105" s="435"/>
      <c r="O105" s="435"/>
      <c r="P105" s="436"/>
      <c r="Q105" s="17"/>
      <c r="R105" s="17"/>
      <c r="S105" s="17"/>
      <c r="T105" s="17"/>
      <c r="U105" s="17"/>
      <c r="V105" s="17"/>
      <c r="W105" s="17"/>
      <c r="X105" s="17"/>
      <c r="Y105" s="17"/>
    </row>
    <row r="106" spans="1:25" x14ac:dyDescent="0.2">
      <c r="A106" s="17"/>
      <c r="B106" s="17">
        <f t="shared" si="2"/>
        <v>10</v>
      </c>
      <c r="C106" s="28" t="s">
        <v>719</v>
      </c>
      <c r="D106" s="29"/>
      <c r="E106" s="342">
        <f>'materials and output'!D10</f>
        <v>1E-3</v>
      </c>
      <c r="F106" s="31"/>
      <c r="G106" s="32"/>
      <c r="H106" s="33" t="s">
        <v>244</v>
      </c>
      <c r="I106" s="31">
        <v>8</v>
      </c>
      <c r="J106" s="434" t="s">
        <v>720</v>
      </c>
      <c r="K106" s="435"/>
      <c r="L106" s="435"/>
      <c r="M106" s="435"/>
      <c r="N106" s="435"/>
      <c r="O106" s="435"/>
      <c r="P106" s="436"/>
      <c r="Q106" s="17"/>
      <c r="R106" s="17"/>
      <c r="S106" s="17"/>
      <c r="T106" s="17"/>
      <c r="U106" s="17"/>
      <c r="V106" s="17"/>
      <c r="W106" s="17"/>
      <c r="X106" s="17"/>
      <c r="Y106" s="17"/>
    </row>
    <row r="107" spans="1:25" x14ac:dyDescent="0.2">
      <c r="A107" s="17"/>
      <c r="B107" s="17">
        <f t="shared" si="2"/>
        <v>8</v>
      </c>
      <c r="C107" s="28" t="s">
        <v>752</v>
      </c>
      <c r="D107" s="29"/>
      <c r="E107" s="342" t="str">
        <f>Energy!C33</f>
        <v>4.1841</v>
      </c>
      <c r="F107" s="31"/>
      <c r="G107" s="32"/>
      <c r="H107" s="33" t="s">
        <v>762</v>
      </c>
      <c r="I107" s="31">
        <v>12</v>
      </c>
      <c r="J107" s="434" t="s">
        <v>767</v>
      </c>
      <c r="K107" s="435"/>
      <c r="L107" s="435"/>
      <c r="M107" s="435"/>
      <c r="N107" s="435"/>
      <c r="O107" s="435"/>
      <c r="P107" s="436"/>
      <c r="Q107" s="17"/>
      <c r="R107" s="17"/>
      <c r="S107" s="17"/>
      <c r="T107" s="17"/>
      <c r="U107" s="17"/>
      <c r="V107" s="17"/>
      <c r="W107" s="17"/>
      <c r="X107" s="17"/>
      <c r="Y107" s="17"/>
    </row>
    <row r="108" spans="1:25" x14ac:dyDescent="0.2">
      <c r="A108" s="17"/>
      <c r="B108" s="17">
        <f t="shared" si="2"/>
        <v>13</v>
      </c>
      <c r="C108" s="28" t="s">
        <v>753</v>
      </c>
      <c r="D108" s="29"/>
      <c r="E108" s="342">
        <f>Energy!C34</f>
        <v>20</v>
      </c>
      <c r="F108" s="31"/>
      <c r="G108" s="32"/>
      <c r="H108" s="33" t="s">
        <v>748</v>
      </c>
      <c r="I108" s="31"/>
      <c r="J108" s="434" t="s">
        <v>754</v>
      </c>
      <c r="K108" s="435"/>
      <c r="L108" s="435"/>
      <c r="M108" s="435"/>
      <c r="N108" s="435"/>
      <c r="O108" s="435"/>
      <c r="P108" s="436"/>
      <c r="Q108" s="17"/>
      <c r="R108" s="17"/>
      <c r="S108" s="17"/>
      <c r="T108" s="17"/>
      <c r="U108" s="17"/>
      <c r="V108" s="17"/>
      <c r="W108" s="17"/>
      <c r="X108" s="17"/>
      <c r="Y108" s="17"/>
    </row>
    <row r="109" spans="1:25" x14ac:dyDescent="0.2">
      <c r="A109" s="17"/>
      <c r="B109" s="17">
        <f t="shared" si="2"/>
        <v>11</v>
      </c>
      <c r="C109" s="28" t="s">
        <v>757</v>
      </c>
      <c r="D109" s="29"/>
      <c r="E109" s="342">
        <f>Energy!C35</f>
        <v>92</v>
      </c>
      <c r="F109" s="31"/>
      <c r="G109" s="32"/>
      <c r="H109" s="33" t="s">
        <v>748</v>
      </c>
      <c r="I109" s="31" t="s">
        <v>770</v>
      </c>
      <c r="J109" s="434" t="s">
        <v>761</v>
      </c>
      <c r="K109" s="435"/>
      <c r="L109" s="435"/>
      <c r="M109" s="435"/>
      <c r="N109" s="435"/>
      <c r="O109" s="435"/>
      <c r="P109" s="436"/>
      <c r="Q109" s="17"/>
      <c r="R109" s="17"/>
      <c r="S109" s="17"/>
      <c r="T109" s="17"/>
      <c r="U109" s="17"/>
      <c r="V109" s="17"/>
      <c r="W109" s="17"/>
      <c r="X109" s="17"/>
      <c r="Y109" s="17"/>
    </row>
    <row r="110" spans="1:25" x14ac:dyDescent="0.2">
      <c r="A110" s="17"/>
      <c r="B110" s="17">
        <f t="shared" si="2"/>
        <v>10</v>
      </c>
      <c r="C110" s="28" t="s">
        <v>758</v>
      </c>
      <c r="D110" s="29" t="s">
        <v>804</v>
      </c>
      <c r="E110" s="342">
        <f>E107*E92*(E109-E108)</f>
        <v>74988.808468993171</v>
      </c>
      <c r="F110" s="31"/>
      <c r="G110" s="32"/>
      <c r="H110" s="33" t="s">
        <v>759</v>
      </c>
      <c r="I110" s="31" t="s">
        <v>771</v>
      </c>
      <c r="J110" s="434" t="s">
        <v>760</v>
      </c>
      <c r="K110" s="435"/>
      <c r="L110" s="435"/>
      <c r="M110" s="435"/>
      <c r="N110" s="435"/>
      <c r="O110" s="435"/>
      <c r="P110" s="436"/>
      <c r="Q110" s="17"/>
      <c r="R110" s="17"/>
      <c r="S110" s="17"/>
      <c r="T110" s="17"/>
      <c r="U110" s="17"/>
      <c r="V110" s="17"/>
      <c r="W110" s="17"/>
      <c r="X110" s="17"/>
      <c r="Y110" s="17"/>
    </row>
    <row r="111" spans="1:25" x14ac:dyDescent="0.2">
      <c r="A111" s="17"/>
      <c r="B111" s="9"/>
      <c r="C111" s="34" t="s">
        <v>66</v>
      </c>
      <c r="D111" s="47" t="s">
        <v>67</v>
      </c>
      <c r="E111" s="384"/>
      <c r="F111" s="384"/>
      <c r="G111" s="384"/>
      <c r="H111" s="385"/>
      <c r="I111" s="386"/>
      <c r="J111" s="387"/>
      <c r="K111" s="387"/>
      <c r="L111" s="387"/>
      <c r="M111" s="387"/>
      <c r="N111" s="387"/>
      <c r="O111" s="387"/>
      <c r="P111" s="388"/>
      <c r="Q111" s="17"/>
      <c r="R111" s="17"/>
      <c r="S111" s="17"/>
      <c r="T111" s="17"/>
      <c r="U111" s="17"/>
      <c r="V111" s="17"/>
      <c r="W111" s="17"/>
      <c r="X111" s="17"/>
      <c r="Y111" s="17"/>
    </row>
    <row r="112" spans="1:25" ht="15" thickBot="1" x14ac:dyDescent="0.25">
      <c r="A112" s="17"/>
      <c r="B112" s="9"/>
      <c r="C112" s="17"/>
      <c r="D112" s="17"/>
      <c r="E112" s="17"/>
      <c r="F112" s="17"/>
      <c r="G112" s="17"/>
      <c r="H112" s="17"/>
      <c r="I112" s="17"/>
      <c r="J112" s="17"/>
      <c r="K112" s="17"/>
      <c r="L112" s="17"/>
      <c r="M112" s="17"/>
      <c r="N112" s="17"/>
      <c r="O112" s="17"/>
      <c r="P112" s="17"/>
      <c r="Q112" s="17"/>
      <c r="R112" s="17"/>
      <c r="S112" s="17"/>
      <c r="T112" s="17"/>
      <c r="U112" s="17"/>
      <c r="V112" s="17"/>
      <c r="W112" s="17"/>
      <c r="X112" s="17"/>
      <c r="Y112" s="17"/>
    </row>
    <row r="113" spans="1:25" ht="15" thickBot="1" x14ac:dyDescent="0.25">
      <c r="A113" s="24"/>
      <c r="B113" s="449" t="s">
        <v>68</v>
      </c>
      <c r="C113" s="450"/>
      <c r="D113" s="450"/>
      <c r="E113" s="450"/>
      <c r="F113" s="450"/>
      <c r="G113" s="450"/>
      <c r="H113" s="450"/>
      <c r="I113" s="450"/>
      <c r="J113" s="450"/>
      <c r="K113" s="450"/>
      <c r="L113" s="450"/>
      <c r="M113" s="450"/>
      <c r="N113" s="450"/>
      <c r="O113" s="450"/>
      <c r="P113" s="451"/>
      <c r="Q113" s="24"/>
      <c r="R113" s="24"/>
      <c r="S113" s="24"/>
      <c r="T113" s="24"/>
      <c r="U113" s="24"/>
      <c r="V113" s="24"/>
      <c r="W113" s="24"/>
      <c r="X113" s="24"/>
      <c r="Y113" s="24"/>
    </row>
    <row r="114" spans="1:25" x14ac:dyDescent="0.2">
      <c r="A114" s="17"/>
      <c r="B114" s="9"/>
      <c r="C114" s="17"/>
      <c r="D114" s="17"/>
      <c r="E114" s="17"/>
      <c r="F114" s="17"/>
      <c r="G114" s="17"/>
      <c r="H114" s="27" t="s">
        <v>69</v>
      </c>
      <c r="I114" s="17"/>
      <c r="J114" s="17"/>
      <c r="K114" s="17"/>
      <c r="L114" s="17"/>
      <c r="M114" s="17"/>
      <c r="N114" s="17"/>
      <c r="O114" s="17"/>
      <c r="P114" s="17"/>
      <c r="Q114" s="17"/>
      <c r="R114" s="17"/>
      <c r="S114" s="17"/>
      <c r="T114" s="17"/>
      <c r="U114" s="17"/>
      <c r="V114" s="17"/>
      <c r="W114" s="17"/>
      <c r="X114" s="17"/>
      <c r="Y114" s="17"/>
    </row>
    <row r="115" spans="1:25" x14ac:dyDescent="0.2">
      <c r="A115" s="17"/>
      <c r="B115" s="9"/>
      <c r="C115" s="345" t="s">
        <v>70</v>
      </c>
      <c r="D115" s="345" t="s">
        <v>71</v>
      </c>
      <c r="E115" s="345" t="s">
        <v>60</v>
      </c>
      <c r="F115" s="345" t="s">
        <v>72</v>
      </c>
      <c r="G115" s="345" t="s">
        <v>70</v>
      </c>
      <c r="H115" s="345" t="s">
        <v>63</v>
      </c>
      <c r="I115" s="345" t="s">
        <v>73</v>
      </c>
      <c r="J115" s="345" t="s">
        <v>74</v>
      </c>
      <c r="K115" s="345" t="s">
        <v>75</v>
      </c>
      <c r="L115" s="345" t="s">
        <v>76</v>
      </c>
      <c r="M115" s="345" t="s">
        <v>64</v>
      </c>
      <c r="N115" s="438" t="s">
        <v>65</v>
      </c>
      <c r="O115" s="438"/>
      <c r="P115" s="438"/>
      <c r="Q115" s="17"/>
      <c r="R115" s="17"/>
      <c r="S115" s="17"/>
      <c r="T115" s="17"/>
      <c r="U115" s="17"/>
      <c r="V115" s="17"/>
      <c r="W115" s="17"/>
      <c r="X115" s="24"/>
      <c r="Y115" s="24"/>
    </row>
    <row r="116" spans="1:25" x14ac:dyDescent="0.2">
      <c r="A116" s="17"/>
      <c r="B116" s="9"/>
      <c r="C116" s="28" t="s">
        <v>589</v>
      </c>
      <c r="D116" s="199" t="s">
        <v>502</v>
      </c>
      <c r="E116" s="40">
        <v>1</v>
      </c>
      <c r="F116" s="40" t="s">
        <v>42</v>
      </c>
      <c r="G116" s="37">
        <f t="shared" ref="G116:G122" si="3">IF($C116="",1,VLOOKUP($C116,$C$22:$H$111,3,FALSE))</f>
        <v>0.55971015690874804</v>
      </c>
      <c r="H116" s="38" t="str">
        <f t="shared" ref="H116:H123" si="4">IF($C116="","",VLOOKUP($C116,$C$22:$H$111,6,FALSE))</f>
        <v>kg/kg</v>
      </c>
      <c r="I116" s="222">
        <f t="shared" ref="I116:I120" si="5">IF(D116="","",E116*G116*$D$5)</f>
        <v>0.55971015690874804</v>
      </c>
      <c r="J116" s="40" t="s">
        <v>42</v>
      </c>
      <c r="K116" s="390" t="s">
        <v>90</v>
      </c>
      <c r="L116" s="40" t="s">
        <v>105</v>
      </c>
      <c r="M116" s="391"/>
      <c r="N116" s="437" t="s">
        <v>657</v>
      </c>
      <c r="O116" s="437"/>
      <c r="P116" s="437"/>
      <c r="Q116" s="17"/>
      <c r="R116" s="17"/>
      <c r="S116" s="17"/>
      <c r="T116" s="17"/>
      <c r="U116" s="17"/>
      <c r="V116" s="17"/>
      <c r="W116" s="17"/>
      <c r="X116" s="24"/>
      <c r="Y116" s="24"/>
    </row>
    <row r="117" spans="1:25" ht="14.25" customHeight="1" x14ac:dyDescent="0.2">
      <c r="A117" s="17"/>
      <c r="B117" s="9"/>
      <c r="C117" s="35" t="s">
        <v>246</v>
      </c>
      <c r="D117" s="36" t="s">
        <v>236</v>
      </c>
      <c r="E117" s="389">
        <v>1</v>
      </c>
      <c r="F117" s="40" t="s">
        <v>407</v>
      </c>
      <c r="G117" s="37">
        <f t="shared" si="3"/>
        <v>4.2394393332879892</v>
      </c>
      <c r="H117" s="38" t="str">
        <f t="shared" si="4"/>
        <v>Wh/kg</v>
      </c>
      <c r="I117" s="222">
        <f>IF(D117="","",E117*G117*$D$5)</f>
        <v>4.2394393332879892</v>
      </c>
      <c r="J117" s="40" t="s">
        <v>407</v>
      </c>
      <c r="K117" s="390" t="s">
        <v>90</v>
      </c>
      <c r="L117" s="40" t="s">
        <v>94</v>
      </c>
      <c r="M117" s="391" t="s">
        <v>723</v>
      </c>
      <c r="N117" s="437" t="s">
        <v>304</v>
      </c>
      <c r="O117" s="437"/>
      <c r="P117" s="437"/>
      <c r="Q117" s="17"/>
      <c r="R117" s="17"/>
      <c r="S117" s="17"/>
      <c r="T117" s="17"/>
      <c r="U117" s="17"/>
      <c r="V117" s="17"/>
      <c r="W117" s="17"/>
      <c r="X117" s="24"/>
      <c r="Y117" s="24"/>
    </row>
    <row r="118" spans="1:25" ht="15" customHeight="1" x14ac:dyDescent="0.2">
      <c r="A118" s="17"/>
      <c r="B118" s="9"/>
      <c r="C118" s="40" t="s">
        <v>719</v>
      </c>
      <c r="D118" s="39" t="s">
        <v>456</v>
      </c>
      <c r="E118" s="40">
        <v>1</v>
      </c>
      <c r="F118" s="40" t="s">
        <v>42</v>
      </c>
      <c r="G118" s="37">
        <f t="shared" si="3"/>
        <v>1E-3</v>
      </c>
      <c r="H118" s="38" t="str">
        <f t="shared" si="4"/>
        <v>kg/kg</v>
      </c>
      <c r="I118" s="222">
        <f t="shared" si="5"/>
        <v>1E-3</v>
      </c>
      <c r="J118" s="40" t="s">
        <v>42</v>
      </c>
      <c r="K118" s="390" t="s">
        <v>90</v>
      </c>
      <c r="L118" s="40" t="s">
        <v>99</v>
      </c>
      <c r="M118" s="391">
        <v>8</v>
      </c>
      <c r="N118" s="439" t="s">
        <v>610</v>
      </c>
      <c r="O118" s="440"/>
      <c r="P118" s="441"/>
      <c r="Q118" s="17"/>
      <c r="R118" s="17"/>
      <c r="S118" s="17"/>
      <c r="T118" s="17"/>
      <c r="U118" s="17"/>
      <c r="V118" s="17"/>
      <c r="W118" s="17"/>
      <c r="X118" s="24"/>
      <c r="Y118" s="24"/>
    </row>
    <row r="119" spans="1:25" ht="15" customHeight="1" x14ac:dyDescent="0.2">
      <c r="A119" s="17"/>
      <c r="B119" s="9"/>
      <c r="C119" s="40" t="s">
        <v>704</v>
      </c>
      <c r="D119" s="41" t="s">
        <v>458</v>
      </c>
      <c r="E119" s="40">
        <v>1</v>
      </c>
      <c r="F119" s="40" t="s">
        <v>42</v>
      </c>
      <c r="G119" s="37">
        <f t="shared" si="3"/>
        <v>248.9212085600287</v>
      </c>
      <c r="H119" s="38" t="str">
        <f t="shared" si="4"/>
        <v>kg/kg</v>
      </c>
      <c r="I119" s="222">
        <f t="shared" si="5"/>
        <v>248.9212085600287</v>
      </c>
      <c r="J119" s="40" t="s">
        <v>42</v>
      </c>
      <c r="K119" s="390" t="s">
        <v>95</v>
      </c>
      <c r="L119" s="40" t="s">
        <v>99</v>
      </c>
      <c r="M119" s="392" t="s">
        <v>715</v>
      </c>
      <c r="N119" s="437" t="s">
        <v>609</v>
      </c>
      <c r="O119" s="437"/>
      <c r="P119" s="437"/>
      <c r="Q119" s="17"/>
      <c r="R119" s="17"/>
      <c r="S119" s="17"/>
      <c r="T119" s="17"/>
      <c r="U119" s="17"/>
      <c r="V119" s="17"/>
      <c r="W119" s="17"/>
      <c r="X119" s="24"/>
      <c r="Y119" s="24"/>
    </row>
    <row r="120" spans="1:25" ht="15" customHeight="1" x14ac:dyDescent="0.2">
      <c r="A120" s="17"/>
      <c r="B120" s="9"/>
      <c r="C120" s="40" t="s">
        <v>698</v>
      </c>
      <c r="D120" s="39" t="s">
        <v>459</v>
      </c>
      <c r="E120" s="40">
        <v>1</v>
      </c>
      <c r="F120" s="40" t="s">
        <v>42</v>
      </c>
      <c r="G120" s="37">
        <f t="shared" si="3"/>
        <v>0.15138603285057869</v>
      </c>
      <c r="H120" s="38" t="str">
        <f t="shared" si="4"/>
        <v>kg/kg</v>
      </c>
      <c r="I120" s="222">
        <f t="shared" si="5"/>
        <v>0.15138603285057869</v>
      </c>
      <c r="J120" s="40" t="s">
        <v>42</v>
      </c>
      <c r="K120" s="390" t="s">
        <v>90</v>
      </c>
      <c r="L120" s="40" t="s">
        <v>99</v>
      </c>
      <c r="M120" s="392" t="s">
        <v>716</v>
      </c>
      <c r="N120" s="437" t="s">
        <v>611</v>
      </c>
      <c r="O120" s="437"/>
      <c r="P120" s="437"/>
      <c r="Q120" s="17"/>
      <c r="R120" s="17"/>
      <c r="S120" s="17"/>
      <c r="T120" s="17"/>
      <c r="U120" s="17"/>
      <c r="V120" s="17"/>
      <c r="W120" s="17"/>
      <c r="X120" s="24"/>
      <c r="Y120" s="24"/>
    </row>
    <row r="121" spans="1:25" ht="15" customHeight="1" x14ac:dyDescent="0.2">
      <c r="A121" s="17"/>
      <c r="B121" s="9"/>
      <c r="C121" s="40" t="s">
        <v>693</v>
      </c>
      <c r="D121" s="39" t="s">
        <v>724</v>
      </c>
      <c r="E121" s="40">
        <v>1</v>
      </c>
      <c r="F121" s="40" t="s">
        <v>42</v>
      </c>
      <c r="G121" s="37">
        <f t="shared" si="3"/>
        <v>0</v>
      </c>
      <c r="H121" s="38" t="str">
        <f t="shared" si="4"/>
        <v>kg/kg</v>
      </c>
      <c r="I121" s="222">
        <f t="shared" ref="I121:I123" si="6">IF(D121="","",E121*G121*$D$5)</f>
        <v>0</v>
      </c>
      <c r="J121" s="40" t="s">
        <v>42</v>
      </c>
      <c r="K121" s="390" t="s">
        <v>90</v>
      </c>
      <c r="L121" s="40" t="s">
        <v>99</v>
      </c>
      <c r="M121" s="391">
        <v>5</v>
      </c>
      <c r="N121" s="437" t="s">
        <v>659</v>
      </c>
      <c r="O121" s="437"/>
      <c r="P121" s="437"/>
      <c r="Q121" s="17"/>
      <c r="R121" s="17"/>
      <c r="S121" s="17"/>
      <c r="T121" s="17"/>
      <c r="U121" s="17"/>
      <c r="V121" s="17"/>
      <c r="W121" s="17"/>
      <c r="X121" s="24"/>
      <c r="Y121" s="24"/>
    </row>
    <row r="122" spans="1:25" x14ac:dyDescent="0.2">
      <c r="A122" s="17"/>
      <c r="B122" s="9"/>
      <c r="C122" s="40" t="s">
        <v>685</v>
      </c>
      <c r="D122" s="39" t="s">
        <v>772</v>
      </c>
      <c r="E122" s="40">
        <v>1</v>
      </c>
      <c r="F122" s="40" t="s">
        <v>42</v>
      </c>
      <c r="G122" s="37">
        <f t="shared" si="3"/>
        <v>0.18669090642002156</v>
      </c>
      <c r="H122" s="38" t="str">
        <f t="shared" si="4"/>
        <v>kg/kg</v>
      </c>
      <c r="I122" s="222">
        <f t="shared" si="6"/>
        <v>0.18669090642002156</v>
      </c>
      <c r="J122" s="40" t="s">
        <v>42</v>
      </c>
      <c r="K122" s="390" t="s">
        <v>90</v>
      </c>
      <c r="L122" s="40" t="s">
        <v>99</v>
      </c>
      <c r="M122" s="391">
        <v>5</v>
      </c>
      <c r="N122" s="437" t="s">
        <v>660</v>
      </c>
      <c r="O122" s="437"/>
      <c r="P122" s="437"/>
      <c r="Q122" s="17"/>
      <c r="R122" s="17"/>
      <c r="S122" s="17"/>
      <c r="T122" s="17"/>
      <c r="U122" s="17"/>
      <c r="V122" s="17"/>
      <c r="W122" s="17"/>
      <c r="X122" s="24"/>
      <c r="Y122" s="24"/>
    </row>
    <row r="123" spans="1:25" x14ac:dyDescent="0.2">
      <c r="A123" s="17"/>
      <c r="B123" s="9"/>
      <c r="C123" s="40" t="s">
        <v>758</v>
      </c>
      <c r="D123" s="39" t="s">
        <v>763</v>
      </c>
      <c r="E123" s="40">
        <v>1</v>
      </c>
      <c r="F123" s="40" t="s">
        <v>759</v>
      </c>
      <c r="G123" s="37">
        <f>IF($C123="",1,VLOOKUP($C123,$C$22:$H$111,3,FALSE))</f>
        <v>74988.808468993171</v>
      </c>
      <c r="H123" s="38" t="str">
        <f t="shared" si="4"/>
        <v>kJ</v>
      </c>
      <c r="I123" s="222">
        <f t="shared" si="6"/>
        <v>74988.808468993171</v>
      </c>
      <c r="J123" s="40" t="s">
        <v>759</v>
      </c>
      <c r="K123" s="390" t="s">
        <v>90</v>
      </c>
      <c r="L123" s="40" t="s">
        <v>94</v>
      </c>
      <c r="M123" s="391" t="s">
        <v>771</v>
      </c>
      <c r="N123" s="437" t="s">
        <v>764</v>
      </c>
      <c r="O123" s="437"/>
      <c r="P123" s="437"/>
      <c r="Q123" s="17"/>
      <c r="R123" s="17"/>
      <c r="S123" s="17"/>
      <c r="T123" s="17"/>
      <c r="U123" s="17"/>
      <c r="V123" s="17"/>
      <c r="W123" s="17"/>
      <c r="X123" s="24"/>
      <c r="Y123" s="24"/>
    </row>
    <row r="124" spans="1:25" x14ac:dyDescent="0.2">
      <c r="A124" s="17"/>
      <c r="B124" s="9"/>
      <c r="C124" s="42" t="s">
        <v>66</v>
      </c>
      <c r="D124" s="47" t="s">
        <v>67</v>
      </c>
      <c r="E124" s="393" t="s">
        <v>77</v>
      </c>
      <c r="F124" s="47"/>
      <c r="G124" s="47"/>
      <c r="H124" s="47"/>
      <c r="I124" s="393" t="s">
        <v>78</v>
      </c>
      <c r="J124" s="47"/>
      <c r="K124" s="393"/>
      <c r="L124" s="47" t="s">
        <v>79</v>
      </c>
      <c r="M124" s="394"/>
      <c r="N124" s="458"/>
      <c r="O124" s="458"/>
      <c r="P124" s="458"/>
      <c r="Q124" s="17"/>
      <c r="R124" s="17"/>
      <c r="S124" s="17"/>
      <c r="T124" s="17"/>
      <c r="U124" s="17"/>
      <c r="V124" s="17"/>
      <c r="W124" s="17"/>
      <c r="X124" s="24"/>
      <c r="Y124" s="24"/>
    </row>
    <row r="125" spans="1:25" ht="15" thickBot="1" x14ac:dyDescent="0.25">
      <c r="A125" s="17"/>
      <c r="B125" s="9"/>
      <c r="C125" s="17"/>
      <c r="D125" s="17"/>
      <c r="E125" s="17"/>
      <c r="F125" s="17"/>
      <c r="G125" s="17"/>
      <c r="H125" s="17"/>
      <c r="I125" s="17"/>
      <c r="J125" s="17"/>
      <c r="K125" s="17"/>
      <c r="L125" s="17"/>
      <c r="M125" s="17"/>
      <c r="N125" s="17"/>
      <c r="O125" s="17"/>
      <c r="P125" s="17"/>
      <c r="Q125" s="17"/>
      <c r="R125" s="17"/>
      <c r="S125" s="17"/>
      <c r="T125" s="17"/>
      <c r="U125" s="17"/>
      <c r="V125" s="17"/>
      <c r="W125" s="17"/>
      <c r="X125" s="24"/>
      <c r="Y125" s="24"/>
    </row>
    <row r="126" spans="1:25" ht="15" thickBot="1" x14ac:dyDescent="0.25">
      <c r="A126" s="24"/>
      <c r="B126" s="449" t="s">
        <v>80</v>
      </c>
      <c r="C126" s="450"/>
      <c r="D126" s="450"/>
      <c r="E126" s="450"/>
      <c r="F126" s="450"/>
      <c r="G126" s="450"/>
      <c r="H126" s="450"/>
      <c r="I126" s="450"/>
      <c r="J126" s="450"/>
      <c r="K126" s="450"/>
      <c r="L126" s="450"/>
      <c r="M126" s="450"/>
      <c r="N126" s="450"/>
      <c r="O126" s="450"/>
      <c r="P126" s="451"/>
      <c r="Q126" s="24"/>
      <c r="R126" s="24"/>
      <c r="S126" s="24"/>
      <c r="T126" s="24"/>
      <c r="U126" s="24"/>
      <c r="V126" s="24"/>
      <c r="W126" s="24"/>
      <c r="X126" s="24"/>
      <c r="Y126" s="24"/>
    </row>
    <row r="127" spans="1:25" x14ac:dyDescent="0.2">
      <c r="A127" s="17"/>
      <c r="B127" s="9"/>
      <c r="C127" s="17"/>
      <c r="D127" s="17"/>
      <c r="E127" s="17"/>
      <c r="F127" s="17"/>
      <c r="G127" s="17"/>
      <c r="H127" s="27" t="s">
        <v>81</v>
      </c>
      <c r="I127" s="17"/>
      <c r="J127" s="17"/>
      <c r="K127" s="17"/>
      <c r="L127" s="17"/>
      <c r="M127" s="17"/>
      <c r="N127" s="17"/>
      <c r="O127" s="17"/>
      <c r="P127" s="17"/>
      <c r="Q127" s="17"/>
      <c r="R127" s="17"/>
      <c r="S127" s="17"/>
      <c r="T127" s="17"/>
      <c r="U127" s="17"/>
      <c r="V127" s="17"/>
      <c r="W127" s="17"/>
      <c r="X127" s="24"/>
      <c r="Y127" s="24"/>
    </row>
    <row r="128" spans="1:25" x14ac:dyDescent="0.2">
      <c r="A128" s="17"/>
      <c r="B128" s="9"/>
      <c r="C128" s="345" t="s">
        <v>70</v>
      </c>
      <c r="D128" s="345" t="s">
        <v>71</v>
      </c>
      <c r="E128" s="345" t="s">
        <v>60</v>
      </c>
      <c r="F128" s="345" t="s">
        <v>72</v>
      </c>
      <c r="G128" s="345" t="s">
        <v>70</v>
      </c>
      <c r="H128" s="345" t="s">
        <v>63</v>
      </c>
      <c r="I128" s="345" t="s">
        <v>73</v>
      </c>
      <c r="J128" s="345" t="s">
        <v>74</v>
      </c>
      <c r="K128" s="345" t="s">
        <v>75</v>
      </c>
      <c r="L128" s="345" t="s">
        <v>76</v>
      </c>
      <c r="M128" s="345" t="s">
        <v>64</v>
      </c>
      <c r="N128" s="438" t="s">
        <v>65</v>
      </c>
      <c r="O128" s="438"/>
      <c r="P128" s="438"/>
      <c r="Q128" s="17"/>
      <c r="R128" s="17"/>
      <c r="S128" s="17"/>
      <c r="T128" s="17"/>
      <c r="U128" s="17"/>
      <c r="V128" s="17"/>
      <c r="W128" s="17"/>
      <c r="X128" s="24"/>
      <c r="Y128" s="24"/>
    </row>
    <row r="129" spans="1:25" x14ac:dyDescent="0.2">
      <c r="A129" s="17"/>
      <c r="B129" s="9"/>
      <c r="C129" s="43" t="s">
        <v>589</v>
      </c>
      <c r="D129" s="44" t="s">
        <v>768</v>
      </c>
      <c r="E129" s="45">
        <v>1</v>
      </c>
      <c r="F129" s="45" t="s">
        <v>42</v>
      </c>
      <c r="G129" s="37">
        <f>IF($C129="",1,VLOOKUP($C129,$C$22:$H$111,3,FALSE))</f>
        <v>0.55971015690874804</v>
      </c>
      <c r="H129" s="38" t="str">
        <f>IF($C129="","",VLOOKUP($C129,$C$22:$H$111,6,FALSE))</f>
        <v>kg/kg</v>
      </c>
      <c r="I129" s="222">
        <f>IF(D129="","",E129*G129*$D$5)</f>
        <v>0.55971015690874804</v>
      </c>
      <c r="J129" s="45" t="s">
        <v>42</v>
      </c>
      <c r="K129" s="390" t="s">
        <v>90</v>
      </c>
      <c r="L129" s="40" t="s">
        <v>94</v>
      </c>
      <c r="M129" s="395">
        <v>1</v>
      </c>
      <c r="N129" s="468" t="s">
        <v>658</v>
      </c>
      <c r="O129" s="468"/>
      <c r="P129" s="468"/>
      <c r="Q129" s="17"/>
      <c r="R129" s="17"/>
      <c r="S129" s="17"/>
      <c r="T129" s="17"/>
      <c r="U129" s="17"/>
      <c r="V129" s="17"/>
      <c r="W129" s="17"/>
      <c r="X129" s="24"/>
      <c r="Y129" s="24"/>
    </row>
    <row r="130" spans="1:25" x14ac:dyDescent="0.2">
      <c r="A130" s="17"/>
      <c r="B130" s="9"/>
      <c r="C130" s="40" t="s">
        <v>706</v>
      </c>
      <c r="D130" s="46" t="s">
        <v>707</v>
      </c>
      <c r="E130" s="40">
        <v>1</v>
      </c>
      <c r="F130" s="45" t="s">
        <v>42</v>
      </c>
      <c r="G130" s="37">
        <f>IF($C130="",1,VLOOKUP($C130,$C$22:$H$111,3,FALSE))</f>
        <v>249.93763682831548</v>
      </c>
      <c r="H130" s="38" t="str">
        <f>IF($C130="","",VLOOKUP($C130,$C$22:$H$111,6,FALSE))</f>
        <v>kg/kg</v>
      </c>
      <c r="I130" s="222">
        <f t="shared" ref="I130:I131" si="7">IF(D130="","",E130*G130*$D$5)</f>
        <v>249.93763682831548</v>
      </c>
      <c r="J130" s="45" t="s">
        <v>42</v>
      </c>
      <c r="K130" s="390" t="s">
        <v>95</v>
      </c>
      <c r="L130" s="40" t="s">
        <v>94</v>
      </c>
      <c r="M130" s="391" t="s">
        <v>716</v>
      </c>
      <c r="N130" s="468" t="s">
        <v>776</v>
      </c>
      <c r="O130" s="468"/>
      <c r="P130" s="468"/>
      <c r="Q130" s="17"/>
      <c r="R130" s="17"/>
      <c r="S130" s="17"/>
      <c r="T130" s="17"/>
      <c r="U130" s="17"/>
      <c r="V130" s="17"/>
      <c r="W130" s="17"/>
      <c r="X130" s="24"/>
      <c r="Y130" s="24"/>
    </row>
    <row r="131" spans="1:25" x14ac:dyDescent="0.2">
      <c r="A131" s="17"/>
      <c r="B131" s="9"/>
      <c r="C131" s="40"/>
      <c r="D131" s="46" t="s">
        <v>523</v>
      </c>
      <c r="E131" s="40">
        <v>1</v>
      </c>
      <c r="F131" s="45" t="s">
        <v>42</v>
      </c>
      <c r="G131" s="37">
        <f>'materials and output'!D10</f>
        <v>1E-3</v>
      </c>
      <c r="H131" s="38" t="str">
        <f>IF($C131="","",VLOOKUP($C131,$C$22:$H$111,6,FALSE))</f>
        <v/>
      </c>
      <c r="I131" s="222">
        <f t="shared" si="7"/>
        <v>1E-3</v>
      </c>
      <c r="J131" s="45" t="s">
        <v>42</v>
      </c>
      <c r="K131" s="390" t="s">
        <v>95</v>
      </c>
      <c r="L131" s="40" t="s">
        <v>99</v>
      </c>
      <c r="M131" s="391">
        <v>1</v>
      </c>
      <c r="N131" s="459" t="s">
        <v>237</v>
      </c>
      <c r="O131" s="460"/>
      <c r="P131" s="461"/>
      <c r="Q131" s="17"/>
      <c r="R131" s="17"/>
      <c r="S131" s="17"/>
      <c r="T131" s="17"/>
      <c r="U131" s="17"/>
      <c r="V131" s="17"/>
      <c r="W131" s="17"/>
      <c r="X131" s="24"/>
      <c r="Y131" s="24"/>
    </row>
    <row r="132" spans="1:25" x14ac:dyDescent="0.2">
      <c r="A132" s="17"/>
      <c r="B132" s="9"/>
      <c r="C132" s="42" t="s">
        <v>66</v>
      </c>
      <c r="D132" s="47" t="s">
        <v>67</v>
      </c>
      <c r="E132" s="393" t="s">
        <v>77</v>
      </c>
      <c r="F132" s="47"/>
      <c r="G132" s="48"/>
      <c r="H132" s="396"/>
      <c r="I132" s="396"/>
      <c r="J132" s="47"/>
      <c r="K132" s="393"/>
      <c r="L132" s="47" t="s">
        <v>79</v>
      </c>
      <c r="M132" s="394"/>
      <c r="N132" s="458"/>
      <c r="O132" s="458"/>
      <c r="P132" s="458"/>
      <c r="Q132" s="17"/>
      <c r="R132" s="17"/>
      <c r="S132" s="17"/>
      <c r="T132" s="17"/>
      <c r="U132" s="17"/>
      <c r="V132" s="17"/>
      <c r="W132" s="17"/>
      <c r="X132" s="24"/>
      <c r="Y132" s="24"/>
    </row>
    <row r="133" spans="1:25" x14ac:dyDescent="0.2">
      <c r="A133" s="17"/>
      <c r="B133" s="9"/>
      <c r="C133" s="17"/>
      <c r="D133" s="17"/>
      <c r="E133" s="17"/>
      <c r="F133" s="17"/>
      <c r="G133" s="17"/>
      <c r="H133" s="17"/>
      <c r="I133" s="17"/>
      <c r="J133" s="17"/>
      <c r="K133" s="17"/>
      <c r="L133" s="17"/>
      <c r="M133" s="17"/>
      <c r="N133" s="17"/>
      <c r="O133" s="17"/>
      <c r="P133" s="17"/>
      <c r="Q133" s="17"/>
      <c r="R133" s="17"/>
      <c r="S133" s="17"/>
      <c r="T133" s="17"/>
      <c r="U133" s="17"/>
      <c r="V133" s="17"/>
      <c r="W133" s="17"/>
      <c r="X133" s="24"/>
      <c r="Y133" s="24"/>
    </row>
    <row r="134" spans="1:25" x14ac:dyDescent="0.2">
      <c r="A134" s="17"/>
      <c r="B134" s="9"/>
      <c r="C134" s="17"/>
      <c r="D134" s="17"/>
      <c r="E134" s="17"/>
      <c r="F134" s="17"/>
      <c r="G134" s="17"/>
      <c r="H134" s="17"/>
      <c r="I134" s="17"/>
      <c r="J134" s="17"/>
      <c r="K134" s="17"/>
      <c r="L134" s="17"/>
      <c r="M134" s="17"/>
      <c r="N134" s="17"/>
      <c r="O134" s="17"/>
      <c r="P134" s="17"/>
      <c r="Q134" s="17"/>
      <c r="R134" s="17"/>
      <c r="S134" s="17"/>
      <c r="T134" s="17"/>
      <c r="U134" s="17"/>
      <c r="V134" s="17"/>
      <c r="W134" s="17"/>
      <c r="X134" s="17"/>
      <c r="Y134" s="17"/>
    </row>
    <row r="135" spans="1:25" x14ac:dyDescent="0.2">
      <c r="A135" s="17"/>
      <c r="B135" s="9"/>
      <c r="C135" s="17"/>
      <c r="D135" s="17"/>
      <c r="E135" s="17"/>
      <c r="F135" s="17"/>
      <c r="G135" s="17"/>
      <c r="H135" s="17"/>
      <c r="I135" s="17"/>
      <c r="J135" s="17"/>
      <c r="K135" s="17"/>
      <c r="L135" s="17"/>
      <c r="M135" s="17"/>
      <c r="N135" s="17"/>
      <c r="O135" s="17"/>
      <c r="P135" s="17"/>
      <c r="Q135" s="17"/>
      <c r="R135" s="17"/>
      <c r="S135" s="17"/>
      <c r="T135" s="17"/>
      <c r="U135" s="17"/>
      <c r="V135" s="17"/>
      <c r="W135" s="17"/>
      <c r="X135" s="17"/>
      <c r="Y135" s="17"/>
    </row>
    <row r="136" spans="1:25" x14ac:dyDescent="0.2">
      <c r="A136" s="17"/>
      <c r="B136" s="9"/>
      <c r="C136" s="17"/>
      <c r="D136" s="17"/>
      <c r="E136" s="17"/>
      <c r="F136" s="17"/>
      <c r="G136" s="17"/>
      <c r="H136" s="17"/>
      <c r="I136" s="17"/>
      <c r="J136" s="17"/>
      <c r="K136" s="17"/>
      <c r="L136" s="17"/>
      <c r="M136" s="17"/>
      <c r="N136" s="17"/>
      <c r="O136" s="17"/>
      <c r="P136" s="17"/>
      <c r="Q136" s="17"/>
      <c r="R136" s="17"/>
      <c r="S136" s="17"/>
      <c r="T136" s="17"/>
      <c r="U136" s="17"/>
      <c r="V136" s="17"/>
      <c r="W136" s="17"/>
      <c r="X136" s="17"/>
      <c r="Y136" s="17"/>
    </row>
    <row r="137" spans="1:25" x14ac:dyDescent="0.2">
      <c r="A137" s="17"/>
      <c r="B137" s="9"/>
      <c r="C137" s="17"/>
      <c r="D137" s="17"/>
      <c r="E137" s="17"/>
      <c r="F137" s="17"/>
      <c r="G137" s="17"/>
      <c r="H137" s="17"/>
      <c r="I137" s="17"/>
      <c r="J137" s="17"/>
      <c r="K137" s="17"/>
      <c r="L137" s="17"/>
      <c r="M137" s="17"/>
      <c r="N137" s="17"/>
      <c r="O137" s="17"/>
      <c r="P137" s="17"/>
      <c r="Q137" s="17"/>
      <c r="R137" s="17"/>
      <c r="S137" s="17"/>
      <c r="T137" s="17"/>
      <c r="U137" s="17"/>
      <c r="V137" s="17"/>
      <c r="W137" s="17"/>
      <c r="X137" s="17"/>
      <c r="Y137" s="17"/>
    </row>
    <row r="138" spans="1:25" x14ac:dyDescent="0.2">
      <c r="A138" s="17"/>
      <c r="B138" s="9"/>
      <c r="C138" s="17"/>
      <c r="D138" s="17"/>
      <c r="E138" s="17"/>
      <c r="F138" s="17"/>
      <c r="G138" s="17"/>
      <c r="H138" s="17"/>
      <c r="I138" s="17"/>
      <c r="J138" s="17"/>
      <c r="K138" s="17"/>
      <c r="L138" s="17"/>
      <c r="M138" s="17"/>
      <c r="N138" s="17"/>
      <c r="O138" s="17"/>
      <c r="P138" s="17"/>
      <c r="Q138" s="17"/>
      <c r="R138" s="17"/>
      <c r="S138" s="17"/>
      <c r="T138" s="17"/>
      <c r="U138" s="17"/>
      <c r="V138" s="17"/>
      <c r="W138" s="17"/>
      <c r="X138" s="17"/>
      <c r="Y138" s="17"/>
    </row>
    <row r="139" spans="1:25" x14ac:dyDescent="0.2">
      <c r="A139" s="17"/>
      <c r="B139" s="9"/>
      <c r="C139" s="17"/>
      <c r="D139" s="17"/>
      <c r="E139" s="17"/>
      <c r="F139" s="17"/>
      <c r="G139" s="17"/>
      <c r="H139" s="17"/>
      <c r="I139" s="17"/>
      <c r="J139" s="17"/>
      <c r="K139" s="17"/>
      <c r="L139" s="17"/>
      <c r="M139" s="17"/>
      <c r="N139" s="17"/>
      <c r="O139" s="17"/>
      <c r="P139" s="17"/>
      <c r="Q139" s="17"/>
      <c r="R139" s="17"/>
      <c r="S139" s="17"/>
      <c r="T139" s="17"/>
      <c r="U139" s="17"/>
      <c r="V139" s="17"/>
      <c r="W139" s="17"/>
      <c r="X139" s="17"/>
      <c r="Y139" s="17"/>
    </row>
    <row r="140" spans="1:25" x14ac:dyDescent="0.2">
      <c r="A140" s="17"/>
      <c r="B140" s="9"/>
      <c r="C140" s="17"/>
      <c r="D140" s="17"/>
      <c r="E140" s="17"/>
      <c r="F140" s="17"/>
      <c r="G140" s="17"/>
      <c r="H140" s="17"/>
      <c r="I140" s="17"/>
      <c r="J140" s="17"/>
      <c r="K140" s="17"/>
      <c r="L140" s="17"/>
      <c r="M140" s="17"/>
      <c r="N140" s="17"/>
      <c r="O140" s="17"/>
      <c r="P140" s="17"/>
      <c r="Q140" s="17"/>
      <c r="R140" s="17"/>
      <c r="S140" s="17"/>
      <c r="T140" s="17"/>
      <c r="U140" s="17"/>
      <c r="V140" s="17"/>
      <c r="W140" s="17"/>
      <c r="X140" s="17"/>
      <c r="Y140" s="17"/>
    </row>
    <row r="141" spans="1:25" x14ac:dyDescent="0.2">
      <c r="A141" s="17"/>
      <c r="B141" s="9"/>
      <c r="C141" s="17"/>
      <c r="D141" s="17"/>
      <c r="E141" s="17"/>
      <c r="F141" s="17"/>
      <c r="G141" s="17"/>
      <c r="H141" s="17"/>
      <c r="I141" s="17"/>
      <c r="J141" s="17"/>
      <c r="K141" s="17"/>
      <c r="L141" s="17"/>
      <c r="M141" s="17"/>
      <c r="N141" s="17"/>
      <c r="O141" s="17"/>
      <c r="P141" s="17"/>
      <c r="Q141" s="17"/>
      <c r="R141" s="17"/>
      <c r="S141" s="17"/>
      <c r="T141" s="17"/>
      <c r="U141" s="17"/>
      <c r="V141" s="17"/>
      <c r="W141" s="17"/>
      <c r="X141" s="17"/>
      <c r="Y141" s="17"/>
    </row>
    <row r="142" spans="1:25" x14ac:dyDescent="0.2">
      <c r="A142" s="17"/>
      <c r="B142" s="9"/>
      <c r="C142" s="17"/>
      <c r="D142" s="17"/>
      <c r="E142" s="17"/>
      <c r="F142" s="17"/>
      <c r="G142" s="17"/>
      <c r="H142" s="17"/>
      <c r="I142" s="17"/>
      <c r="J142" s="17"/>
      <c r="K142" s="17"/>
      <c r="L142" s="17"/>
      <c r="M142" s="17"/>
      <c r="N142" s="17"/>
      <c r="O142" s="17"/>
      <c r="P142" s="17"/>
      <c r="Q142" s="17"/>
      <c r="R142" s="17"/>
      <c r="S142" s="17"/>
      <c r="T142" s="17"/>
      <c r="U142" s="17"/>
      <c r="V142" s="17"/>
      <c r="W142" s="17"/>
      <c r="X142" s="17"/>
      <c r="Y142" s="17"/>
    </row>
    <row r="143" spans="1:25" x14ac:dyDescent="0.2">
      <c r="A143" s="17"/>
      <c r="B143" s="9"/>
      <c r="C143" s="17"/>
      <c r="D143" s="17"/>
      <c r="E143" s="17"/>
      <c r="F143" s="17"/>
      <c r="G143" s="17"/>
      <c r="H143" s="17"/>
      <c r="I143" s="17"/>
      <c r="J143" s="17"/>
      <c r="K143" s="17"/>
      <c r="L143" s="17"/>
      <c r="M143" s="17"/>
      <c r="N143" s="17"/>
      <c r="O143" s="17"/>
      <c r="P143" s="17"/>
      <c r="Q143" s="17"/>
      <c r="R143" s="17"/>
      <c r="S143" s="17"/>
      <c r="T143" s="17"/>
      <c r="U143" s="17"/>
      <c r="V143" s="17"/>
      <c r="W143" s="17"/>
      <c r="X143" s="17"/>
      <c r="Y143" s="17"/>
    </row>
    <row r="144" spans="1:25" x14ac:dyDescent="0.2">
      <c r="A144" s="17"/>
      <c r="B144" s="9"/>
      <c r="C144" s="17"/>
      <c r="D144" s="17"/>
      <c r="E144" s="17"/>
      <c r="F144" s="17"/>
      <c r="G144" s="17"/>
      <c r="H144" s="17"/>
      <c r="I144" s="17"/>
      <c r="J144" s="17"/>
      <c r="K144" s="17"/>
      <c r="L144" s="17"/>
      <c r="M144" s="17"/>
      <c r="N144" s="17"/>
      <c r="O144" s="17"/>
      <c r="P144" s="17"/>
      <c r="Q144" s="17"/>
      <c r="R144" s="17"/>
      <c r="S144" s="17"/>
      <c r="T144" s="17"/>
      <c r="U144" s="17"/>
      <c r="V144" s="17"/>
      <c r="W144" s="17"/>
      <c r="X144" s="17"/>
      <c r="Y144" s="17"/>
    </row>
    <row r="145" spans="1:25" x14ac:dyDescent="0.2">
      <c r="A145" s="17"/>
      <c r="B145" s="9"/>
      <c r="C145" s="17"/>
      <c r="D145" s="17"/>
      <c r="E145" s="17"/>
      <c r="F145" s="17"/>
      <c r="G145" s="17"/>
      <c r="H145" s="17"/>
      <c r="I145" s="17"/>
      <c r="J145" s="17"/>
      <c r="K145" s="17"/>
      <c r="L145" s="17"/>
      <c r="M145" s="17"/>
      <c r="N145" s="17"/>
      <c r="O145" s="17"/>
      <c r="P145" s="17"/>
      <c r="Q145" s="17"/>
      <c r="R145" s="17"/>
      <c r="S145" s="17"/>
      <c r="T145" s="17"/>
      <c r="U145" s="17"/>
      <c r="V145" s="17"/>
      <c r="W145" s="17"/>
      <c r="X145" s="17"/>
      <c r="Y145" s="17"/>
    </row>
    <row r="146" spans="1:25" x14ac:dyDescent="0.2">
      <c r="A146" s="17"/>
      <c r="B146" s="9"/>
      <c r="C146" s="17"/>
      <c r="D146" s="17"/>
      <c r="E146" s="17"/>
      <c r="F146" s="17"/>
      <c r="G146" s="17"/>
      <c r="H146" s="17"/>
      <c r="I146" s="17"/>
      <c r="J146" s="17"/>
      <c r="K146" s="17"/>
      <c r="L146" s="17"/>
      <c r="M146" s="17"/>
      <c r="N146" s="17"/>
      <c r="O146" s="17"/>
      <c r="P146" s="17"/>
      <c r="Q146" s="17"/>
      <c r="R146" s="17"/>
      <c r="S146" s="17"/>
      <c r="T146" s="17"/>
      <c r="U146" s="17"/>
      <c r="V146" s="17"/>
      <c r="W146" s="17"/>
      <c r="X146" s="17"/>
      <c r="Y146" s="17"/>
    </row>
    <row r="147" spans="1:25" x14ac:dyDescent="0.2">
      <c r="A147" s="17"/>
      <c r="B147" s="9"/>
      <c r="C147" s="17"/>
      <c r="D147" s="17"/>
      <c r="E147" s="17"/>
      <c r="F147" s="17"/>
      <c r="G147" s="17"/>
      <c r="H147" s="17"/>
      <c r="I147" s="17"/>
      <c r="J147" s="17"/>
      <c r="K147" s="17"/>
      <c r="L147" s="17"/>
      <c r="M147" s="17"/>
      <c r="N147" s="17"/>
      <c r="O147" s="17"/>
      <c r="P147" s="17"/>
      <c r="Q147" s="17"/>
      <c r="R147" s="17"/>
      <c r="S147" s="17"/>
      <c r="T147" s="17"/>
      <c r="U147" s="17"/>
      <c r="V147" s="17"/>
      <c r="W147" s="17"/>
      <c r="X147" s="17"/>
      <c r="Y147" s="17"/>
    </row>
    <row r="148" spans="1:25" x14ac:dyDescent="0.2">
      <c r="A148" s="17"/>
      <c r="B148" s="9"/>
      <c r="C148" s="17"/>
      <c r="D148" s="17"/>
      <c r="E148" s="17"/>
      <c r="F148" s="17"/>
      <c r="G148" s="17"/>
      <c r="H148" s="17"/>
      <c r="I148" s="17"/>
      <c r="J148" s="17"/>
      <c r="K148" s="17"/>
      <c r="L148" s="17"/>
      <c r="M148" s="17"/>
      <c r="N148" s="17"/>
      <c r="O148" s="17"/>
      <c r="P148" s="17"/>
      <c r="Q148" s="17"/>
      <c r="R148" s="17"/>
      <c r="S148" s="17"/>
      <c r="T148" s="17"/>
      <c r="U148" s="17"/>
      <c r="V148" s="17"/>
      <c r="W148" s="17"/>
      <c r="X148" s="17"/>
      <c r="Y148" s="17"/>
    </row>
    <row r="149" spans="1:25" x14ac:dyDescent="0.2">
      <c r="A149" s="17"/>
      <c r="B149" s="9"/>
      <c r="C149" s="17"/>
      <c r="D149" s="17"/>
      <c r="E149" s="17"/>
      <c r="F149" s="17"/>
      <c r="G149" s="17"/>
      <c r="H149" s="17"/>
      <c r="I149" s="17"/>
      <c r="J149" s="17"/>
      <c r="K149" s="17"/>
      <c r="L149" s="17"/>
      <c r="M149" s="17"/>
      <c r="N149" s="17"/>
      <c r="O149" s="17"/>
      <c r="P149" s="17"/>
      <c r="Q149" s="17"/>
      <c r="R149" s="17"/>
      <c r="S149" s="17"/>
      <c r="T149" s="17"/>
      <c r="U149" s="17"/>
      <c r="V149" s="17"/>
      <c r="W149" s="17"/>
      <c r="X149" s="17"/>
      <c r="Y149" s="17"/>
    </row>
    <row r="150" spans="1:25" x14ac:dyDescent="0.2">
      <c r="A150" s="17"/>
      <c r="B150" s="9"/>
      <c r="C150" s="17"/>
      <c r="D150" s="17"/>
      <c r="E150" s="17"/>
      <c r="F150" s="17"/>
      <c r="G150" s="17"/>
      <c r="H150" s="17"/>
      <c r="I150" s="17"/>
      <c r="J150" s="17"/>
      <c r="K150" s="17"/>
      <c r="L150" s="17"/>
      <c r="M150" s="17"/>
      <c r="N150" s="17"/>
      <c r="O150" s="17"/>
      <c r="P150" s="17"/>
      <c r="Q150" s="17"/>
      <c r="R150" s="17"/>
      <c r="S150" s="17"/>
      <c r="T150" s="17"/>
      <c r="U150" s="17"/>
      <c r="V150" s="17"/>
      <c r="W150" s="17"/>
      <c r="X150" s="17"/>
      <c r="Y150" s="17"/>
    </row>
    <row r="151" spans="1:25" x14ac:dyDescent="0.2">
      <c r="A151" s="17"/>
      <c r="B151" s="9"/>
      <c r="C151" s="17"/>
      <c r="D151" s="17"/>
      <c r="E151" s="17"/>
      <c r="F151" s="17"/>
      <c r="G151" s="17"/>
      <c r="H151" s="17"/>
      <c r="I151" s="17"/>
      <c r="J151" s="17"/>
      <c r="K151" s="17"/>
      <c r="L151" s="17"/>
      <c r="M151" s="17"/>
      <c r="N151" s="17"/>
      <c r="O151" s="17"/>
      <c r="P151" s="17"/>
      <c r="Q151" s="17"/>
      <c r="R151" s="17"/>
      <c r="S151" s="17"/>
      <c r="T151" s="17"/>
      <c r="U151" s="17"/>
      <c r="V151" s="17"/>
      <c r="W151" s="17"/>
      <c r="X151" s="17"/>
      <c r="Y151" s="17"/>
    </row>
    <row r="152" spans="1:25" x14ac:dyDescent="0.2">
      <c r="A152" s="17"/>
      <c r="B152" s="9"/>
      <c r="C152" s="17"/>
      <c r="D152" s="17"/>
      <c r="E152" s="17"/>
      <c r="F152" s="17"/>
      <c r="G152" s="17"/>
      <c r="H152" s="17"/>
      <c r="I152" s="17"/>
      <c r="J152" s="17"/>
      <c r="K152" s="17"/>
      <c r="L152" s="17"/>
      <c r="M152" s="17"/>
      <c r="N152" s="17"/>
      <c r="O152" s="17"/>
      <c r="P152" s="17"/>
      <c r="Q152" s="17"/>
      <c r="R152" s="17"/>
      <c r="S152" s="17"/>
      <c r="T152" s="17"/>
      <c r="U152" s="17"/>
      <c r="V152" s="17"/>
      <c r="W152" s="17"/>
      <c r="X152" s="17"/>
      <c r="Y152" s="17"/>
    </row>
    <row r="153" spans="1:25" x14ac:dyDescent="0.2">
      <c r="A153" s="17"/>
      <c r="B153" s="9"/>
      <c r="C153" s="17"/>
      <c r="D153" s="17"/>
      <c r="E153" s="17"/>
      <c r="F153" s="17"/>
      <c r="G153" s="17"/>
      <c r="H153" s="17"/>
      <c r="I153" s="17"/>
      <c r="J153" s="17"/>
      <c r="K153" s="17"/>
      <c r="L153" s="17"/>
      <c r="M153" s="17"/>
      <c r="N153" s="17"/>
      <c r="O153" s="17"/>
      <c r="P153" s="17"/>
      <c r="Q153" s="17"/>
      <c r="R153" s="17"/>
      <c r="S153" s="17"/>
      <c r="T153" s="17"/>
      <c r="U153" s="17"/>
      <c r="V153" s="17"/>
      <c r="W153" s="17"/>
      <c r="X153" s="17"/>
      <c r="Y153" s="17"/>
    </row>
    <row r="154" spans="1:25" x14ac:dyDescent="0.2">
      <c r="A154" s="17"/>
      <c r="B154" s="9"/>
      <c r="C154" s="17"/>
      <c r="D154" s="17"/>
      <c r="E154" s="17"/>
      <c r="F154" s="17"/>
      <c r="G154" s="17"/>
      <c r="H154" s="17"/>
      <c r="I154" s="17"/>
      <c r="J154" s="17"/>
      <c r="K154" s="17"/>
      <c r="L154" s="17"/>
      <c r="M154" s="17"/>
      <c r="N154" s="17"/>
      <c r="O154" s="17"/>
      <c r="P154" s="17"/>
      <c r="Q154" s="17"/>
      <c r="R154" s="17"/>
      <c r="S154" s="17"/>
      <c r="T154" s="17"/>
      <c r="U154" s="17"/>
      <c r="V154" s="17"/>
      <c r="W154" s="17"/>
      <c r="X154" s="17"/>
      <c r="Y154" s="17"/>
    </row>
    <row r="155" spans="1:25" x14ac:dyDescent="0.2">
      <c r="A155" s="17"/>
      <c r="B155" s="9"/>
      <c r="C155" s="17"/>
      <c r="D155" s="17"/>
      <c r="E155" s="17"/>
      <c r="F155" s="17"/>
      <c r="G155" s="17"/>
      <c r="H155" s="17"/>
      <c r="I155" s="17"/>
      <c r="J155" s="17"/>
      <c r="K155" s="17"/>
      <c r="L155" s="17"/>
      <c r="M155" s="17"/>
      <c r="N155" s="17"/>
      <c r="O155" s="17"/>
      <c r="P155" s="17"/>
      <c r="Q155" s="17"/>
      <c r="R155" s="17"/>
      <c r="S155" s="17"/>
      <c r="T155" s="17"/>
      <c r="U155" s="17"/>
      <c r="V155" s="17"/>
      <c r="W155" s="17"/>
      <c r="X155" s="17"/>
      <c r="Y155" s="17"/>
    </row>
    <row r="156" spans="1:25" x14ac:dyDescent="0.2">
      <c r="A156" s="17"/>
      <c r="B156" s="9"/>
      <c r="C156" s="17"/>
      <c r="D156" s="17"/>
      <c r="E156" s="17"/>
      <c r="F156" s="17"/>
      <c r="G156" s="17"/>
      <c r="H156" s="17"/>
      <c r="I156" s="17"/>
      <c r="J156" s="17"/>
      <c r="K156" s="17"/>
      <c r="L156" s="17"/>
      <c r="M156" s="17"/>
      <c r="N156" s="17"/>
      <c r="O156" s="17"/>
      <c r="P156" s="17"/>
      <c r="Q156" s="17"/>
      <c r="R156" s="17"/>
      <c r="S156" s="17"/>
      <c r="T156" s="17"/>
      <c r="U156" s="17"/>
      <c r="V156" s="17"/>
      <c r="W156" s="17"/>
      <c r="X156" s="17"/>
      <c r="Y156" s="17"/>
    </row>
    <row r="157" spans="1:25" x14ac:dyDescent="0.2">
      <c r="A157" s="17"/>
      <c r="B157" s="9"/>
      <c r="C157" s="17"/>
      <c r="D157" s="17"/>
      <c r="E157" s="17"/>
      <c r="F157" s="17"/>
      <c r="G157" s="17"/>
      <c r="H157" s="17"/>
      <c r="I157" s="17"/>
      <c r="J157" s="17"/>
      <c r="K157" s="17"/>
      <c r="L157" s="17"/>
      <c r="M157" s="17"/>
      <c r="N157" s="17"/>
      <c r="O157" s="17"/>
      <c r="P157" s="17"/>
      <c r="Q157" s="17"/>
      <c r="R157" s="17"/>
      <c r="S157" s="17"/>
      <c r="T157" s="17"/>
      <c r="U157" s="17"/>
      <c r="V157" s="17"/>
      <c r="W157" s="17"/>
      <c r="X157" s="17"/>
      <c r="Y157" s="17"/>
    </row>
    <row r="158" spans="1:25" x14ac:dyDescent="0.2">
      <c r="A158" s="17"/>
      <c r="B158" s="9"/>
      <c r="C158" s="17"/>
      <c r="D158" s="17"/>
      <c r="E158" s="17"/>
      <c r="F158" s="17"/>
      <c r="G158" s="17"/>
      <c r="H158" s="17"/>
      <c r="I158" s="17"/>
      <c r="J158" s="17"/>
      <c r="K158" s="17"/>
      <c r="L158" s="17"/>
      <c r="M158" s="17"/>
      <c r="N158" s="17"/>
      <c r="O158" s="17"/>
      <c r="P158" s="17"/>
      <c r="Q158" s="17"/>
      <c r="R158" s="17"/>
      <c r="S158" s="17"/>
      <c r="T158" s="17"/>
      <c r="U158" s="17"/>
      <c r="V158" s="17"/>
      <c r="W158" s="17"/>
      <c r="X158" s="17"/>
      <c r="Y158" s="17"/>
    </row>
    <row r="159" spans="1:25" x14ac:dyDescent="0.2">
      <c r="A159" s="17"/>
      <c r="B159" s="9"/>
      <c r="C159" s="17"/>
      <c r="D159" s="17"/>
      <c r="E159" s="17"/>
      <c r="F159" s="17"/>
      <c r="G159" s="17"/>
      <c r="H159" s="17"/>
      <c r="I159" s="17"/>
      <c r="J159" s="17"/>
      <c r="K159" s="17"/>
      <c r="L159" s="17"/>
      <c r="M159" s="17"/>
      <c r="N159" s="17"/>
      <c r="O159" s="17"/>
      <c r="P159" s="17"/>
      <c r="Q159" s="17"/>
      <c r="R159" s="17"/>
      <c r="S159" s="17"/>
      <c r="T159" s="17"/>
      <c r="U159" s="17"/>
      <c r="V159" s="17"/>
      <c r="W159" s="17"/>
      <c r="X159" s="17"/>
      <c r="Y159" s="17"/>
    </row>
    <row r="160" spans="1:25" x14ac:dyDescent="0.2">
      <c r="A160" s="17"/>
      <c r="B160" s="9"/>
      <c r="C160" s="17"/>
      <c r="D160" s="17"/>
      <c r="E160" s="17"/>
      <c r="F160" s="17"/>
      <c r="G160" s="17"/>
      <c r="H160" s="17"/>
      <c r="I160" s="17"/>
      <c r="J160" s="17"/>
      <c r="K160" s="17"/>
      <c r="L160" s="17"/>
      <c r="M160" s="17"/>
      <c r="N160" s="17"/>
      <c r="O160" s="17"/>
      <c r="P160" s="17"/>
      <c r="Q160" s="17"/>
      <c r="R160" s="17"/>
      <c r="S160" s="17"/>
      <c r="T160" s="17"/>
      <c r="U160" s="17"/>
      <c r="V160" s="17"/>
      <c r="W160" s="17"/>
      <c r="X160" s="17"/>
      <c r="Y160" s="17"/>
    </row>
    <row r="161" spans="1:25" x14ac:dyDescent="0.2">
      <c r="A161" s="17"/>
      <c r="B161" s="9"/>
      <c r="C161" s="17"/>
      <c r="D161" s="17"/>
      <c r="E161" s="17"/>
      <c r="F161" s="17"/>
      <c r="G161" s="17"/>
      <c r="H161" s="17"/>
      <c r="I161" s="17"/>
      <c r="J161" s="17"/>
      <c r="K161" s="17"/>
      <c r="L161" s="17"/>
      <c r="M161" s="17"/>
      <c r="N161" s="17"/>
      <c r="O161" s="17"/>
      <c r="P161" s="17"/>
      <c r="Q161" s="17"/>
      <c r="R161" s="17"/>
      <c r="S161" s="17"/>
      <c r="T161" s="17"/>
      <c r="U161" s="17"/>
      <c r="V161" s="17"/>
      <c r="W161" s="17"/>
      <c r="X161" s="17"/>
      <c r="Y161" s="17"/>
    </row>
    <row r="162" spans="1:25" x14ac:dyDescent="0.2">
      <c r="A162" s="17"/>
      <c r="B162" s="9"/>
      <c r="C162" s="17"/>
      <c r="D162" s="17"/>
      <c r="E162" s="17"/>
      <c r="F162" s="17"/>
      <c r="G162" s="17"/>
      <c r="H162" s="17"/>
      <c r="I162" s="17"/>
      <c r="J162" s="17"/>
      <c r="K162" s="17"/>
      <c r="L162" s="17"/>
      <c r="M162" s="17"/>
      <c r="N162" s="17"/>
      <c r="O162" s="17"/>
      <c r="P162" s="17"/>
      <c r="Q162" s="17"/>
      <c r="R162" s="17"/>
      <c r="S162" s="17"/>
      <c r="T162" s="17"/>
      <c r="U162" s="17"/>
      <c r="V162" s="17"/>
      <c r="W162" s="17"/>
      <c r="X162" s="17"/>
      <c r="Y162" s="17"/>
    </row>
    <row r="163" spans="1:25" x14ac:dyDescent="0.2">
      <c r="A163" s="17"/>
      <c r="B163" s="9"/>
      <c r="C163" s="17"/>
      <c r="D163" s="17"/>
      <c r="E163" s="17"/>
      <c r="F163" s="17"/>
      <c r="G163" s="17"/>
      <c r="H163" s="17"/>
      <c r="I163" s="17"/>
      <c r="J163" s="17"/>
      <c r="K163" s="17"/>
      <c r="L163" s="17"/>
      <c r="M163" s="17"/>
      <c r="N163" s="17"/>
      <c r="O163" s="17"/>
      <c r="P163" s="17"/>
      <c r="Q163" s="17"/>
      <c r="R163" s="17"/>
      <c r="S163" s="17"/>
      <c r="T163" s="17"/>
      <c r="U163" s="17"/>
      <c r="V163" s="17"/>
      <c r="W163" s="17"/>
      <c r="X163" s="17"/>
      <c r="Y163" s="17"/>
    </row>
    <row r="164" spans="1:25" x14ac:dyDescent="0.2">
      <c r="A164" s="17"/>
      <c r="B164" s="9"/>
      <c r="C164" s="17"/>
      <c r="D164" s="17"/>
      <c r="E164" s="17"/>
      <c r="F164" s="17"/>
      <c r="G164" s="17"/>
      <c r="H164" s="17"/>
      <c r="I164" s="17"/>
      <c r="J164" s="17"/>
      <c r="K164" s="17"/>
      <c r="L164" s="17"/>
      <c r="M164" s="17"/>
      <c r="N164" s="17"/>
      <c r="O164" s="17"/>
      <c r="P164" s="17"/>
      <c r="Q164" s="17"/>
      <c r="R164" s="17"/>
      <c r="S164" s="17"/>
      <c r="T164" s="17"/>
      <c r="U164" s="17"/>
      <c r="V164" s="17"/>
      <c r="W164" s="17"/>
      <c r="X164" s="17"/>
      <c r="Y164" s="17"/>
    </row>
    <row r="165" spans="1:25" x14ac:dyDescent="0.2">
      <c r="A165" s="17"/>
      <c r="B165" s="9"/>
      <c r="C165" s="17"/>
      <c r="D165" s="17"/>
      <c r="E165" s="17"/>
      <c r="F165" s="17"/>
      <c r="G165" s="17"/>
      <c r="H165" s="17"/>
      <c r="I165" s="17"/>
      <c r="J165" s="17"/>
      <c r="K165" s="17"/>
      <c r="L165" s="17"/>
      <c r="M165" s="17"/>
      <c r="N165" s="17"/>
      <c r="O165" s="17"/>
      <c r="P165" s="17"/>
      <c r="Q165" s="17"/>
      <c r="R165" s="17"/>
      <c r="S165" s="17"/>
      <c r="T165" s="17"/>
      <c r="U165" s="17"/>
      <c r="V165" s="17"/>
      <c r="W165" s="17"/>
      <c r="X165" s="17"/>
      <c r="Y165" s="17"/>
    </row>
    <row r="166" spans="1:25" x14ac:dyDescent="0.2">
      <c r="A166" s="17"/>
      <c r="B166" s="9"/>
      <c r="C166" s="17"/>
      <c r="D166" s="17"/>
      <c r="E166" s="17"/>
      <c r="F166" s="17"/>
      <c r="G166" s="17"/>
      <c r="H166" s="17"/>
      <c r="I166" s="17"/>
      <c r="J166" s="17"/>
      <c r="K166" s="17"/>
      <c r="L166" s="17"/>
      <c r="M166" s="17"/>
      <c r="N166" s="17"/>
      <c r="O166" s="17"/>
      <c r="P166" s="17"/>
      <c r="Q166" s="17"/>
      <c r="R166" s="17"/>
      <c r="S166" s="17"/>
      <c r="T166" s="17"/>
      <c r="U166" s="17"/>
      <c r="V166" s="17"/>
      <c r="W166" s="17"/>
      <c r="X166" s="17"/>
      <c r="Y166" s="17"/>
    </row>
    <row r="167" spans="1:25" x14ac:dyDescent="0.2">
      <c r="A167" s="17"/>
      <c r="B167" s="9"/>
      <c r="C167" s="17"/>
      <c r="D167" s="17"/>
      <c r="E167" s="17"/>
      <c r="F167" s="17"/>
      <c r="G167" s="17"/>
      <c r="H167" s="17"/>
      <c r="I167" s="17"/>
      <c r="J167" s="17"/>
      <c r="K167" s="17"/>
      <c r="L167" s="17"/>
      <c r="M167" s="17"/>
      <c r="N167" s="17"/>
      <c r="O167" s="17"/>
      <c r="P167" s="17"/>
      <c r="Q167" s="17"/>
      <c r="R167" s="17"/>
      <c r="S167" s="17"/>
      <c r="T167" s="17"/>
      <c r="U167" s="17"/>
      <c r="V167" s="17"/>
      <c r="W167" s="17"/>
      <c r="X167" s="17"/>
      <c r="Y167" s="17"/>
    </row>
    <row r="168" spans="1:25" x14ac:dyDescent="0.2">
      <c r="A168" s="17"/>
      <c r="B168" s="9"/>
      <c r="C168" s="17"/>
      <c r="D168" s="17"/>
      <c r="E168" s="17"/>
      <c r="F168" s="17"/>
      <c r="G168" s="17"/>
      <c r="H168" s="17"/>
      <c r="I168" s="17"/>
      <c r="J168" s="17"/>
      <c r="K168" s="17"/>
      <c r="L168" s="17"/>
      <c r="M168" s="17"/>
      <c r="N168" s="17"/>
      <c r="O168" s="17"/>
      <c r="P168" s="17"/>
      <c r="Q168" s="17"/>
      <c r="R168" s="17"/>
      <c r="S168" s="17"/>
      <c r="T168" s="17"/>
      <c r="U168" s="17"/>
      <c r="V168" s="17"/>
      <c r="W168" s="17"/>
      <c r="X168" s="17"/>
      <c r="Y168" s="17"/>
    </row>
    <row r="169" spans="1:25" x14ac:dyDescent="0.2">
      <c r="A169" s="17"/>
      <c r="B169" s="9"/>
      <c r="C169" s="17"/>
      <c r="D169" s="17"/>
      <c r="E169" s="17"/>
      <c r="F169" s="17"/>
      <c r="G169" s="17"/>
      <c r="H169" s="17"/>
      <c r="I169" s="17"/>
      <c r="J169" s="17"/>
      <c r="K169" s="17"/>
      <c r="L169" s="17"/>
      <c r="M169" s="17"/>
      <c r="N169" s="17"/>
      <c r="O169" s="17"/>
      <c r="P169" s="17"/>
      <c r="Q169" s="17"/>
      <c r="R169" s="17"/>
      <c r="S169" s="17"/>
      <c r="T169" s="17"/>
      <c r="U169" s="17"/>
      <c r="V169" s="17"/>
      <c r="W169" s="17"/>
      <c r="X169" s="17"/>
      <c r="Y169" s="17"/>
    </row>
    <row r="170" spans="1:25" x14ac:dyDescent="0.2">
      <c r="A170" s="17"/>
      <c r="B170" s="9"/>
      <c r="C170" s="17"/>
      <c r="D170" s="17"/>
      <c r="E170" s="17"/>
      <c r="F170" s="17"/>
      <c r="G170" s="17"/>
      <c r="H170" s="17"/>
      <c r="I170" s="17"/>
      <c r="J170" s="17"/>
      <c r="K170" s="17"/>
      <c r="L170" s="17"/>
      <c r="M170" s="17"/>
      <c r="N170" s="17"/>
      <c r="O170" s="17"/>
      <c r="P170" s="17"/>
      <c r="Q170" s="17"/>
      <c r="R170" s="17"/>
      <c r="S170" s="17"/>
      <c r="T170" s="17"/>
      <c r="U170" s="17"/>
      <c r="V170" s="17"/>
      <c r="W170" s="17"/>
      <c r="X170" s="17"/>
      <c r="Y170" s="17"/>
    </row>
    <row r="171" spans="1:25" x14ac:dyDescent="0.2">
      <c r="A171" s="17"/>
      <c r="B171" s="9"/>
      <c r="C171" s="17"/>
      <c r="D171" s="17"/>
      <c r="E171" s="17"/>
      <c r="F171" s="17"/>
      <c r="G171" s="17"/>
      <c r="H171" s="17"/>
      <c r="I171" s="17"/>
      <c r="J171" s="17"/>
      <c r="K171" s="17"/>
      <c r="L171" s="17"/>
      <c r="M171" s="17"/>
      <c r="N171" s="17"/>
      <c r="O171" s="17"/>
      <c r="P171" s="17"/>
      <c r="Q171" s="17"/>
      <c r="R171" s="17"/>
      <c r="S171" s="17"/>
      <c r="T171" s="17"/>
      <c r="U171" s="17"/>
      <c r="V171" s="17"/>
      <c r="W171" s="17"/>
      <c r="X171" s="17"/>
      <c r="Y171" s="17"/>
    </row>
    <row r="172" spans="1:25" x14ac:dyDescent="0.2">
      <c r="A172" s="17"/>
      <c r="B172" s="9"/>
      <c r="C172" s="17"/>
      <c r="D172" s="17"/>
      <c r="E172" s="17"/>
      <c r="F172" s="17"/>
      <c r="G172" s="17"/>
      <c r="H172" s="17"/>
      <c r="I172" s="17"/>
      <c r="J172" s="17"/>
      <c r="K172" s="17"/>
      <c r="L172" s="17"/>
      <c r="M172" s="17"/>
      <c r="N172" s="17"/>
      <c r="O172" s="17"/>
      <c r="P172" s="17"/>
      <c r="Q172" s="17"/>
      <c r="R172" s="17"/>
      <c r="S172" s="17"/>
      <c r="T172" s="17"/>
      <c r="U172" s="17"/>
      <c r="V172" s="17"/>
      <c r="W172" s="17"/>
      <c r="X172" s="17"/>
      <c r="Y172" s="17"/>
    </row>
    <row r="173" spans="1:25" x14ac:dyDescent="0.2">
      <c r="A173" s="17"/>
      <c r="B173" s="9"/>
      <c r="C173" s="17"/>
      <c r="D173" s="17"/>
      <c r="E173" s="17"/>
      <c r="F173" s="17"/>
      <c r="G173" s="17"/>
      <c r="H173" s="17"/>
      <c r="I173" s="17"/>
      <c r="J173" s="17"/>
      <c r="K173" s="17"/>
      <c r="L173" s="17"/>
      <c r="M173" s="17"/>
      <c r="N173" s="17"/>
      <c r="O173" s="17"/>
      <c r="P173" s="17"/>
      <c r="Q173" s="17"/>
      <c r="R173" s="17"/>
      <c r="S173" s="17"/>
      <c r="T173" s="17"/>
      <c r="U173" s="17"/>
      <c r="V173" s="17"/>
      <c r="W173" s="17"/>
      <c r="X173" s="17"/>
      <c r="Y173" s="17"/>
    </row>
    <row r="174" spans="1:25" x14ac:dyDescent="0.2">
      <c r="A174" s="17"/>
      <c r="B174" s="9"/>
      <c r="C174" s="17"/>
      <c r="D174" s="17"/>
      <c r="E174" s="17"/>
      <c r="F174" s="17"/>
      <c r="G174" s="17"/>
      <c r="H174" s="17"/>
      <c r="I174" s="17"/>
      <c r="J174" s="17"/>
      <c r="K174" s="17"/>
      <c r="L174" s="17"/>
      <c r="M174" s="17"/>
      <c r="N174" s="17"/>
      <c r="O174" s="17"/>
      <c r="P174" s="17"/>
      <c r="Q174" s="17"/>
      <c r="R174" s="17"/>
      <c r="S174" s="17"/>
      <c r="T174" s="17"/>
      <c r="U174" s="17"/>
      <c r="V174" s="17"/>
      <c r="W174" s="17"/>
      <c r="X174" s="17"/>
      <c r="Y174" s="17"/>
    </row>
    <row r="175" spans="1:25" x14ac:dyDescent="0.2">
      <c r="A175" s="17"/>
      <c r="B175" s="9"/>
      <c r="C175" s="17"/>
      <c r="D175" s="17"/>
      <c r="E175" s="17"/>
      <c r="F175" s="17"/>
      <c r="G175" s="17"/>
      <c r="H175" s="17"/>
      <c r="I175" s="17"/>
      <c r="J175" s="17"/>
      <c r="K175" s="17"/>
      <c r="L175" s="17"/>
      <c r="M175" s="17"/>
      <c r="N175" s="17"/>
      <c r="O175" s="17"/>
      <c r="P175" s="17"/>
      <c r="Q175" s="17"/>
      <c r="R175" s="17"/>
      <c r="S175" s="17"/>
      <c r="T175" s="17"/>
      <c r="U175" s="17"/>
      <c r="V175" s="17"/>
      <c r="W175" s="17"/>
      <c r="X175" s="17"/>
      <c r="Y175" s="17"/>
    </row>
    <row r="176" spans="1:25" x14ac:dyDescent="0.2">
      <c r="A176" s="17"/>
      <c r="B176" s="9"/>
      <c r="C176" s="17"/>
      <c r="D176" s="17"/>
      <c r="E176" s="17"/>
      <c r="F176" s="17"/>
      <c r="G176" s="17"/>
      <c r="H176" s="17"/>
      <c r="I176" s="17"/>
      <c r="J176" s="17"/>
      <c r="K176" s="17"/>
      <c r="L176" s="17"/>
      <c r="M176" s="17"/>
      <c r="N176" s="17"/>
      <c r="O176" s="17"/>
      <c r="P176" s="17"/>
      <c r="Q176" s="17"/>
      <c r="R176" s="17"/>
      <c r="S176" s="17"/>
      <c r="T176" s="17"/>
      <c r="U176" s="17"/>
      <c r="V176" s="17"/>
      <c r="W176" s="17"/>
      <c r="X176" s="17"/>
      <c r="Y176" s="17"/>
    </row>
    <row r="177" spans="1:25" x14ac:dyDescent="0.2">
      <c r="A177" s="17"/>
      <c r="B177" s="9"/>
      <c r="C177" s="17"/>
      <c r="D177" s="17"/>
      <c r="E177" s="17"/>
      <c r="F177" s="17"/>
      <c r="G177" s="17"/>
      <c r="H177" s="17"/>
      <c r="I177" s="17"/>
      <c r="J177" s="17"/>
      <c r="K177" s="17"/>
      <c r="L177" s="17"/>
      <c r="M177" s="17"/>
      <c r="N177" s="17"/>
      <c r="O177" s="17"/>
      <c r="P177" s="17"/>
      <c r="Q177" s="17"/>
      <c r="R177" s="17"/>
      <c r="S177" s="17"/>
      <c r="T177" s="17"/>
      <c r="U177" s="17"/>
      <c r="V177" s="17"/>
      <c r="W177" s="17"/>
      <c r="X177" s="17"/>
      <c r="Y177" s="17"/>
    </row>
    <row r="178" spans="1:25" x14ac:dyDescent="0.2">
      <c r="A178" s="17"/>
      <c r="B178" s="9"/>
      <c r="C178" s="17"/>
      <c r="D178" s="17"/>
      <c r="E178" s="17"/>
      <c r="F178" s="17"/>
      <c r="G178" s="17"/>
      <c r="H178" s="17"/>
      <c r="I178" s="17"/>
      <c r="J178" s="17"/>
      <c r="K178" s="17"/>
      <c r="L178" s="17"/>
      <c r="M178" s="17"/>
      <c r="N178" s="17"/>
      <c r="O178" s="17"/>
      <c r="P178" s="17"/>
      <c r="Q178" s="17"/>
      <c r="R178" s="17"/>
      <c r="S178" s="17"/>
      <c r="T178" s="17"/>
      <c r="U178" s="17"/>
      <c r="V178" s="17"/>
      <c r="W178" s="17"/>
      <c r="X178" s="17"/>
      <c r="Y178" s="17"/>
    </row>
    <row r="179" spans="1:25" x14ac:dyDescent="0.2">
      <c r="A179" s="17"/>
      <c r="B179" s="9"/>
      <c r="C179" s="17"/>
      <c r="D179" s="17"/>
      <c r="E179" s="17"/>
      <c r="F179" s="17"/>
      <c r="G179" s="17"/>
      <c r="H179" s="17"/>
      <c r="I179" s="17"/>
      <c r="J179" s="17"/>
      <c r="K179" s="17"/>
      <c r="L179" s="17"/>
      <c r="M179" s="17"/>
      <c r="N179" s="17"/>
      <c r="O179" s="17"/>
      <c r="P179" s="17"/>
      <c r="Q179" s="17"/>
      <c r="R179" s="17"/>
      <c r="S179" s="17"/>
      <c r="T179" s="17"/>
      <c r="U179" s="17"/>
      <c r="V179" s="17"/>
      <c r="W179" s="17"/>
      <c r="X179" s="17"/>
      <c r="Y179" s="17"/>
    </row>
    <row r="180" spans="1:25" x14ac:dyDescent="0.2">
      <c r="A180" s="17"/>
      <c r="B180" s="9"/>
      <c r="C180" s="17"/>
      <c r="D180" s="17"/>
      <c r="E180" s="17"/>
      <c r="F180" s="17"/>
      <c r="G180" s="17"/>
      <c r="H180" s="17"/>
      <c r="I180" s="17"/>
      <c r="J180" s="17"/>
      <c r="K180" s="17"/>
      <c r="L180" s="17"/>
      <c r="M180" s="17"/>
      <c r="N180" s="17"/>
      <c r="O180" s="17"/>
      <c r="P180" s="17"/>
      <c r="Q180" s="17"/>
      <c r="R180" s="17"/>
      <c r="S180" s="17"/>
      <c r="T180" s="17"/>
      <c r="U180" s="17"/>
      <c r="V180" s="17"/>
      <c r="W180" s="17"/>
      <c r="X180" s="17"/>
      <c r="Y180" s="17"/>
    </row>
    <row r="181" spans="1:25" x14ac:dyDescent="0.2">
      <c r="A181" s="17"/>
      <c r="B181" s="9"/>
      <c r="C181" s="17"/>
      <c r="D181" s="17"/>
      <c r="E181" s="17"/>
      <c r="F181" s="17"/>
      <c r="G181" s="17"/>
      <c r="H181" s="17"/>
      <c r="I181" s="17"/>
      <c r="J181" s="17"/>
      <c r="K181" s="17"/>
      <c r="L181" s="17"/>
      <c r="M181" s="17"/>
      <c r="N181" s="17"/>
      <c r="O181" s="17"/>
      <c r="P181" s="17"/>
      <c r="Q181" s="17"/>
      <c r="R181" s="17"/>
      <c r="S181" s="17"/>
      <c r="T181" s="17"/>
      <c r="U181" s="17"/>
      <c r="V181" s="17"/>
      <c r="W181" s="17"/>
      <c r="X181" s="17"/>
      <c r="Y181" s="17"/>
    </row>
    <row r="182" spans="1:25" x14ac:dyDescent="0.2">
      <c r="A182" s="17"/>
      <c r="B182" s="9"/>
      <c r="C182" s="17"/>
      <c r="D182" s="17"/>
      <c r="E182" s="17"/>
      <c r="F182" s="17"/>
      <c r="G182" s="17"/>
      <c r="H182" s="17"/>
      <c r="I182" s="17"/>
      <c r="J182" s="17"/>
      <c r="K182" s="17"/>
      <c r="L182" s="17"/>
      <c r="M182" s="17"/>
      <c r="N182" s="17"/>
      <c r="O182" s="17"/>
      <c r="P182" s="17"/>
      <c r="Q182" s="17"/>
      <c r="R182" s="17"/>
      <c r="S182" s="17"/>
      <c r="T182" s="17"/>
      <c r="U182" s="17"/>
      <c r="V182" s="17"/>
      <c r="W182" s="17"/>
      <c r="X182" s="17"/>
      <c r="Y182" s="17"/>
    </row>
    <row r="183" spans="1:25" x14ac:dyDescent="0.2">
      <c r="A183" s="17"/>
      <c r="B183" s="9"/>
      <c r="C183" s="17"/>
      <c r="D183" s="17"/>
      <c r="E183" s="17"/>
      <c r="F183" s="17"/>
      <c r="G183" s="17"/>
      <c r="H183" s="17"/>
      <c r="I183" s="17"/>
      <c r="J183" s="17"/>
      <c r="K183" s="17"/>
      <c r="L183" s="17"/>
      <c r="M183" s="17"/>
      <c r="N183" s="17"/>
      <c r="O183" s="17"/>
      <c r="P183" s="17"/>
      <c r="Q183" s="17"/>
      <c r="R183" s="17"/>
      <c r="S183" s="17"/>
      <c r="T183" s="17"/>
      <c r="U183" s="17"/>
      <c r="V183" s="17"/>
      <c r="W183" s="17"/>
      <c r="X183" s="17"/>
      <c r="Y183" s="17"/>
    </row>
    <row r="184" spans="1:25" x14ac:dyDescent="0.2">
      <c r="A184" s="17"/>
      <c r="B184" s="9"/>
      <c r="C184" s="17"/>
      <c r="D184" s="17"/>
      <c r="E184" s="17"/>
      <c r="F184" s="17"/>
      <c r="G184" s="17"/>
      <c r="H184" s="17"/>
      <c r="I184" s="17"/>
      <c r="J184" s="17"/>
      <c r="K184" s="17"/>
      <c r="L184" s="17"/>
      <c r="M184" s="17"/>
      <c r="N184" s="17"/>
      <c r="O184" s="17"/>
      <c r="P184" s="17"/>
      <c r="Q184" s="17"/>
      <c r="R184" s="17"/>
      <c r="S184" s="17"/>
      <c r="T184" s="17"/>
      <c r="U184" s="17"/>
      <c r="V184" s="17"/>
      <c r="W184" s="17"/>
      <c r="X184" s="17"/>
      <c r="Y184" s="17"/>
    </row>
    <row r="185" spans="1:25" x14ac:dyDescent="0.2">
      <c r="A185" s="17"/>
      <c r="B185" s="9"/>
      <c r="C185" s="17"/>
      <c r="D185" s="17"/>
      <c r="E185" s="17"/>
      <c r="F185" s="17"/>
      <c r="G185" s="17"/>
      <c r="H185" s="17"/>
      <c r="I185" s="17"/>
      <c r="J185" s="17"/>
      <c r="K185" s="17"/>
      <c r="L185" s="17"/>
      <c r="M185" s="17"/>
      <c r="N185" s="17"/>
      <c r="O185" s="17"/>
      <c r="P185" s="17"/>
      <c r="Q185" s="17"/>
      <c r="R185" s="17"/>
      <c r="S185" s="17"/>
      <c r="T185" s="17"/>
      <c r="U185" s="17"/>
      <c r="V185" s="17"/>
      <c r="W185" s="17"/>
      <c r="X185" s="17"/>
      <c r="Y185" s="17"/>
    </row>
    <row r="186" spans="1:25" x14ac:dyDescent="0.2">
      <c r="A186" s="17"/>
      <c r="B186" s="9"/>
      <c r="C186" s="17"/>
      <c r="D186" s="17"/>
      <c r="E186" s="17"/>
      <c r="F186" s="17"/>
      <c r="G186" s="17"/>
      <c r="H186" s="17"/>
      <c r="I186" s="17"/>
      <c r="J186" s="17"/>
      <c r="K186" s="17"/>
      <c r="L186" s="17"/>
      <c r="M186" s="17"/>
      <c r="N186" s="17"/>
      <c r="O186" s="17"/>
      <c r="P186" s="17"/>
      <c r="Q186" s="17"/>
      <c r="R186" s="17"/>
      <c r="S186" s="17"/>
      <c r="T186" s="17"/>
      <c r="U186" s="17"/>
      <c r="V186" s="17"/>
      <c r="W186" s="17"/>
      <c r="X186" s="17"/>
      <c r="Y186" s="17"/>
    </row>
    <row r="187" spans="1:25" x14ac:dyDescent="0.2">
      <c r="A187" s="17"/>
      <c r="B187" s="9"/>
      <c r="C187" s="17"/>
      <c r="D187" s="17"/>
      <c r="E187" s="17"/>
      <c r="F187" s="17"/>
      <c r="G187" s="17"/>
      <c r="H187" s="17"/>
      <c r="I187" s="17"/>
      <c r="J187" s="17"/>
      <c r="K187" s="17"/>
      <c r="L187" s="17"/>
      <c r="M187" s="17"/>
      <c r="N187" s="17"/>
      <c r="O187" s="17"/>
      <c r="P187" s="17"/>
      <c r="Q187" s="17"/>
      <c r="R187" s="17"/>
      <c r="S187" s="17"/>
      <c r="T187" s="17"/>
      <c r="U187" s="17"/>
      <c r="V187" s="17"/>
      <c r="W187" s="17"/>
      <c r="X187" s="17"/>
      <c r="Y187" s="17"/>
    </row>
    <row r="188" spans="1:25" x14ac:dyDescent="0.2">
      <c r="A188" s="17"/>
      <c r="B188" s="49" t="s">
        <v>82</v>
      </c>
      <c r="C188" s="17"/>
      <c r="D188" s="17"/>
      <c r="E188" s="17"/>
      <c r="F188" s="17"/>
      <c r="G188" s="17"/>
      <c r="H188" s="17"/>
      <c r="I188" s="17"/>
      <c r="J188" s="17"/>
      <c r="K188" s="17"/>
      <c r="L188" s="17"/>
      <c r="M188" s="17"/>
      <c r="N188" s="17"/>
      <c r="O188" s="17"/>
      <c r="P188" s="17"/>
      <c r="Q188" s="17"/>
      <c r="R188" s="17"/>
      <c r="S188" s="17"/>
      <c r="T188" s="17"/>
      <c r="U188" s="17"/>
      <c r="V188" s="17"/>
      <c r="W188" s="17"/>
      <c r="X188" s="17"/>
      <c r="Y188" s="17"/>
    </row>
    <row r="189" spans="1:25" x14ac:dyDescent="0.2">
      <c r="A189" s="9"/>
      <c r="B189" s="9"/>
      <c r="C189" s="9" t="s">
        <v>83</v>
      </c>
      <c r="D189" s="9" t="s">
        <v>84</v>
      </c>
      <c r="E189" s="9" t="s">
        <v>85</v>
      </c>
      <c r="F189" s="9"/>
      <c r="G189" s="9"/>
      <c r="H189" s="9" t="s">
        <v>76</v>
      </c>
      <c r="I189" s="9"/>
      <c r="J189" s="9" t="s">
        <v>75</v>
      </c>
      <c r="K189" s="9"/>
      <c r="L189" s="9"/>
      <c r="M189" s="9"/>
      <c r="N189" s="9"/>
      <c r="O189" s="9"/>
      <c r="P189" s="9"/>
      <c r="Q189" s="9"/>
      <c r="R189" s="9"/>
      <c r="S189" s="9"/>
      <c r="T189" s="9"/>
      <c r="U189" s="9"/>
      <c r="V189" s="9"/>
      <c r="W189" s="9"/>
      <c r="X189" s="9"/>
      <c r="Y189" s="9"/>
    </row>
    <row r="190" spans="1:25" x14ac:dyDescent="0.2">
      <c r="A190" s="17"/>
      <c r="B190" s="9"/>
      <c r="C190" s="50" t="s">
        <v>79</v>
      </c>
      <c r="D190" s="50" t="s">
        <v>79</v>
      </c>
      <c r="E190" s="50" t="s">
        <v>79</v>
      </c>
      <c r="F190" s="17"/>
      <c r="G190" s="17"/>
      <c r="H190" s="50" t="s">
        <v>79</v>
      </c>
      <c r="I190" s="17"/>
      <c r="J190" s="17"/>
      <c r="K190" s="17"/>
      <c r="L190" s="17"/>
      <c r="M190" s="17"/>
      <c r="N190" s="17"/>
      <c r="O190" s="17"/>
      <c r="P190" s="17"/>
      <c r="Q190" s="17"/>
      <c r="R190" s="17"/>
      <c r="S190" s="17"/>
      <c r="T190" s="17"/>
      <c r="U190" s="17"/>
      <c r="V190" s="17"/>
      <c r="W190" s="17"/>
      <c r="X190" s="17"/>
      <c r="Y190" s="17"/>
    </row>
    <row r="191" spans="1:25" x14ac:dyDescent="0.2">
      <c r="A191" s="17"/>
      <c r="B191" s="9"/>
      <c r="C191" s="17" t="s">
        <v>86</v>
      </c>
      <c r="D191" s="17" t="s">
        <v>87</v>
      </c>
      <c r="E191" s="17" t="s">
        <v>88</v>
      </c>
      <c r="F191" s="17"/>
      <c r="G191" s="17"/>
      <c r="H191" s="17" t="s">
        <v>89</v>
      </c>
      <c r="I191" s="17"/>
      <c r="J191" s="17" t="s">
        <v>90</v>
      </c>
      <c r="K191" s="17"/>
      <c r="L191" s="17"/>
      <c r="M191" s="17"/>
      <c r="N191" s="17"/>
      <c r="O191" s="17"/>
      <c r="P191" s="17"/>
      <c r="Q191" s="17"/>
      <c r="R191" s="17"/>
      <c r="S191" s="17"/>
      <c r="T191" s="17"/>
      <c r="U191" s="17"/>
      <c r="V191" s="17"/>
      <c r="W191" s="17"/>
      <c r="X191" s="17"/>
      <c r="Y191" s="17"/>
    </row>
    <row r="192" spans="1:25" x14ac:dyDescent="0.2">
      <c r="A192" s="17"/>
      <c r="B192" s="9"/>
      <c r="C192" s="17" t="s">
        <v>91</v>
      </c>
      <c r="D192" s="17" t="s">
        <v>92</v>
      </c>
      <c r="E192" s="17" t="s">
        <v>93</v>
      </c>
      <c r="F192" s="17"/>
      <c r="G192" s="17"/>
      <c r="H192" s="17" t="s">
        <v>94</v>
      </c>
      <c r="I192" s="17"/>
      <c r="J192" s="17" t="s">
        <v>95</v>
      </c>
      <c r="K192" s="17"/>
      <c r="L192" s="17"/>
      <c r="M192" s="17"/>
      <c r="N192" s="17"/>
      <c r="O192" s="17"/>
      <c r="P192" s="17"/>
      <c r="Q192" s="17"/>
      <c r="R192" s="17"/>
      <c r="S192" s="17"/>
      <c r="T192" s="17"/>
      <c r="U192" s="17"/>
      <c r="V192" s="17"/>
      <c r="W192" s="17"/>
      <c r="X192" s="17"/>
      <c r="Y192" s="17"/>
    </row>
    <row r="193" spans="1:25" x14ac:dyDescent="0.2">
      <c r="A193" s="17"/>
      <c r="B193" s="9"/>
      <c r="C193" s="17" t="s">
        <v>96</v>
      </c>
      <c r="D193" s="17" t="s">
        <v>97</v>
      </c>
      <c r="E193" s="17" t="s">
        <v>98</v>
      </c>
      <c r="F193" s="17"/>
      <c r="G193" s="17"/>
      <c r="H193" s="17" t="s">
        <v>99</v>
      </c>
      <c r="I193" s="17"/>
      <c r="J193" s="17"/>
      <c r="K193" s="17"/>
      <c r="L193" s="17"/>
      <c r="M193" s="17"/>
      <c r="N193" s="17"/>
      <c r="O193" s="17"/>
      <c r="P193" s="17"/>
      <c r="Q193" s="17"/>
      <c r="R193" s="17"/>
      <c r="S193" s="17"/>
      <c r="T193" s="17"/>
      <c r="U193" s="17"/>
      <c r="V193" s="17"/>
      <c r="W193" s="17"/>
      <c r="X193" s="17"/>
      <c r="Y193" s="17"/>
    </row>
    <row r="194" spans="1:25" x14ac:dyDescent="0.2">
      <c r="A194" s="17"/>
      <c r="B194" s="9"/>
      <c r="C194" s="17" t="s">
        <v>100</v>
      </c>
      <c r="D194" s="17" t="s">
        <v>101</v>
      </c>
      <c r="E194" s="17" t="s">
        <v>102</v>
      </c>
      <c r="F194" s="17"/>
      <c r="G194" s="17"/>
      <c r="H194" s="17" t="s">
        <v>103</v>
      </c>
      <c r="I194" s="17"/>
      <c r="J194" s="17"/>
      <c r="K194" s="17"/>
      <c r="L194" s="17"/>
      <c r="M194" s="17"/>
      <c r="N194" s="17"/>
      <c r="O194" s="17"/>
      <c r="P194" s="17"/>
      <c r="Q194" s="17"/>
      <c r="R194" s="17"/>
      <c r="S194" s="17"/>
      <c r="T194" s="17"/>
      <c r="U194" s="17"/>
      <c r="V194" s="17"/>
      <c r="W194" s="17"/>
      <c r="X194" s="17"/>
      <c r="Y194" s="17"/>
    </row>
    <row r="195" spans="1:25" x14ac:dyDescent="0.2">
      <c r="A195" s="17"/>
      <c r="B195" s="9"/>
      <c r="C195" s="17" t="s">
        <v>104</v>
      </c>
      <c r="D195" s="17"/>
      <c r="E195" s="17" t="s">
        <v>105</v>
      </c>
      <c r="F195" s="17"/>
      <c r="G195" s="17"/>
      <c r="H195" s="17" t="s">
        <v>105</v>
      </c>
      <c r="I195" s="17"/>
      <c r="J195" s="17"/>
      <c r="K195" s="17"/>
      <c r="L195" s="17"/>
      <c r="M195" s="17"/>
      <c r="N195" s="17"/>
      <c r="O195" s="17"/>
      <c r="P195" s="17"/>
      <c r="Q195" s="17"/>
      <c r="R195" s="17"/>
      <c r="S195" s="17"/>
      <c r="T195" s="17"/>
      <c r="U195" s="17"/>
      <c r="V195" s="17"/>
      <c r="W195" s="17"/>
      <c r="X195" s="17"/>
      <c r="Y195" s="17"/>
    </row>
    <row r="196" spans="1:25" x14ac:dyDescent="0.2">
      <c r="A196" s="17"/>
      <c r="B196" s="9"/>
      <c r="C196" s="17" t="s">
        <v>106</v>
      </c>
      <c r="D196" s="17"/>
      <c r="E196" s="17"/>
      <c r="F196" s="17"/>
      <c r="G196" s="17"/>
      <c r="H196" s="17"/>
      <c r="I196" s="17"/>
      <c r="J196" s="17"/>
      <c r="K196" s="17"/>
      <c r="L196" s="17"/>
      <c r="M196" s="17"/>
      <c r="N196" s="17"/>
      <c r="O196" s="17"/>
      <c r="P196" s="17"/>
      <c r="Q196" s="17"/>
      <c r="R196" s="17"/>
      <c r="S196" s="17"/>
      <c r="T196" s="17"/>
      <c r="U196" s="17"/>
      <c r="V196" s="17"/>
      <c r="W196" s="17"/>
      <c r="X196" s="17"/>
      <c r="Y196" s="17"/>
    </row>
    <row r="197" spans="1:25" x14ac:dyDescent="0.2">
      <c r="A197" s="17"/>
      <c r="B197" s="9"/>
      <c r="C197" s="17" t="s">
        <v>107</v>
      </c>
      <c r="D197" s="17"/>
      <c r="E197" s="17"/>
      <c r="F197" s="17"/>
      <c r="G197" s="17"/>
      <c r="H197" s="17"/>
      <c r="I197" s="17"/>
      <c r="J197" s="17"/>
      <c r="K197" s="17"/>
      <c r="L197" s="17"/>
      <c r="M197" s="17"/>
      <c r="N197" s="17"/>
      <c r="O197" s="17"/>
      <c r="P197" s="17"/>
      <c r="Q197" s="17"/>
      <c r="R197" s="17"/>
      <c r="S197" s="17"/>
      <c r="T197" s="17"/>
      <c r="U197" s="17"/>
      <c r="V197" s="17"/>
      <c r="W197" s="17"/>
      <c r="X197" s="17"/>
      <c r="Y197" s="17"/>
    </row>
    <row r="198" spans="1:25" x14ac:dyDescent="0.2">
      <c r="A198" s="17"/>
      <c r="B198" s="9"/>
      <c r="C198" s="17" t="s">
        <v>108</v>
      </c>
      <c r="D198" s="17"/>
      <c r="E198" s="17"/>
      <c r="F198" s="17"/>
      <c r="G198" s="17"/>
      <c r="H198" s="17"/>
      <c r="I198" s="17"/>
      <c r="J198" s="17"/>
      <c r="K198" s="17"/>
      <c r="L198" s="17"/>
      <c r="M198" s="17"/>
      <c r="N198" s="17"/>
      <c r="O198" s="17"/>
      <c r="P198" s="17"/>
      <c r="Q198" s="17"/>
      <c r="R198" s="17"/>
      <c r="S198" s="17"/>
      <c r="T198" s="17"/>
      <c r="U198" s="17"/>
      <c r="V198" s="17"/>
      <c r="W198" s="17"/>
      <c r="X198" s="17"/>
      <c r="Y198" s="17"/>
    </row>
    <row r="199" spans="1:25" x14ac:dyDescent="0.2">
      <c r="A199" s="17"/>
      <c r="B199" s="9"/>
      <c r="C199" s="17" t="s">
        <v>109</v>
      </c>
      <c r="D199" s="17"/>
      <c r="E199" s="17"/>
      <c r="F199" s="17"/>
      <c r="G199" s="17"/>
      <c r="H199" s="17"/>
      <c r="I199" s="17"/>
      <c r="J199" s="17"/>
      <c r="K199" s="17"/>
      <c r="L199" s="17"/>
      <c r="M199" s="17"/>
      <c r="N199" s="17"/>
      <c r="O199" s="17"/>
      <c r="P199" s="17"/>
      <c r="Q199" s="17"/>
      <c r="R199" s="17"/>
      <c r="S199" s="17"/>
      <c r="T199" s="17"/>
      <c r="U199" s="17"/>
      <c r="V199" s="17"/>
      <c r="W199" s="17"/>
      <c r="X199" s="17"/>
      <c r="Y199" s="17"/>
    </row>
  </sheetData>
  <sheetProtection formatCells="0" formatRows="0" insertRows="0" insertHyperlinks="0" deleteRows="0" selectLockedCells="1"/>
  <mergeCells count="132">
    <mergeCell ref="N132:P132"/>
    <mergeCell ref="N129:P129"/>
    <mergeCell ref="N130:P130"/>
    <mergeCell ref="J32:P32"/>
    <mergeCell ref="J33:P33"/>
    <mergeCell ref="J34:P34"/>
    <mergeCell ref="J35:P35"/>
    <mergeCell ref="J36:P36"/>
    <mergeCell ref="J37:P37"/>
    <mergeCell ref="J40:P40"/>
    <mergeCell ref="J39:P39"/>
    <mergeCell ref="J41:P41"/>
    <mergeCell ref="J43:P43"/>
    <mergeCell ref="J42:P42"/>
    <mergeCell ref="J44:P44"/>
    <mergeCell ref="J45:P45"/>
    <mergeCell ref="J46:P46"/>
    <mergeCell ref="J47:P47"/>
    <mergeCell ref="J48:P48"/>
    <mergeCell ref="J58:P58"/>
    <mergeCell ref="J59:P59"/>
    <mergeCell ref="J49:P49"/>
    <mergeCell ref="N128:P128"/>
    <mergeCell ref="J107:P107"/>
    <mergeCell ref="N124:P124"/>
    <mergeCell ref="B126:P126"/>
    <mergeCell ref="N131:P131"/>
    <mergeCell ref="B17:C17"/>
    <mergeCell ref="D17:E17"/>
    <mergeCell ref="B20:P20"/>
    <mergeCell ref="J22:P22"/>
    <mergeCell ref="J86:P86"/>
    <mergeCell ref="B113:P113"/>
    <mergeCell ref="J23:P23"/>
    <mergeCell ref="J24:P24"/>
    <mergeCell ref="J25:P25"/>
    <mergeCell ref="J26:P26"/>
    <mergeCell ref="J27:P27"/>
    <mergeCell ref="J28:P28"/>
    <mergeCell ref="J29:P29"/>
    <mergeCell ref="J30:P30"/>
    <mergeCell ref="J31:P31"/>
    <mergeCell ref="J50:P50"/>
    <mergeCell ref="J108:P108"/>
    <mergeCell ref="J109:P109"/>
    <mergeCell ref="J110:P110"/>
    <mergeCell ref="N123:P123"/>
    <mergeCell ref="N121:P121"/>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 ref="N122:P122"/>
    <mergeCell ref="J69:P69"/>
    <mergeCell ref="J70:P70"/>
    <mergeCell ref="J71:P71"/>
    <mergeCell ref="J72:P72"/>
    <mergeCell ref="J73:P73"/>
    <mergeCell ref="J74:P74"/>
    <mergeCell ref="J75:P75"/>
    <mergeCell ref="J76:P76"/>
    <mergeCell ref="J77:P77"/>
    <mergeCell ref="N115:P115"/>
    <mergeCell ref="J83:P83"/>
    <mergeCell ref="N117:P117"/>
    <mergeCell ref="N116:P116"/>
    <mergeCell ref="N118:P118"/>
    <mergeCell ref="N119:P119"/>
    <mergeCell ref="N120:P120"/>
    <mergeCell ref="J78:P78"/>
    <mergeCell ref="J79:P79"/>
    <mergeCell ref="J80:P80"/>
    <mergeCell ref="J81:P81"/>
    <mergeCell ref="J82:P82"/>
    <mergeCell ref="J87:P87"/>
    <mergeCell ref="J100:P100"/>
    <mergeCell ref="J57:P57"/>
    <mergeCell ref="J88:P88"/>
    <mergeCell ref="J51:P51"/>
    <mergeCell ref="J52:P52"/>
    <mergeCell ref="J53:P53"/>
    <mergeCell ref="J54:P54"/>
    <mergeCell ref="J38:P38"/>
    <mergeCell ref="J65:P65"/>
    <mergeCell ref="J66:P66"/>
    <mergeCell ref="J67:P67"/>
    <mergeCell ref="J68:P68"/>
    <mergeCell ref="J60:P60"/>
    <mergeCell ref="J61:P61"/>
    <mergeCell ref="J62:P62"/>
    <mergeCell ref="J63:P63"/>
    <mergeCell ref="J64:P64"/>
    <mergeCell ref="J55:P55"/>
    <mergeCell ref="J56:P56"/>
    <mergeCell ref="J101:P101"/>
    <mergeCell ref="J102:P102"/>
    <mergeCell ref="J106:P106"/>
    <mergeCell ref="J84:P84"/>
    <mergeCell ref="J85:P85"/>
    <mergeCell ref="J89:P89"/>
    <mergeCell ref="J91:P91"/>
    <mergeCell ref="J90:P90"/>
    <mergeCell ref="J92:P92"/>
    <mergeCell ref="J93:P93"/>
    <mergeCell ref="J94:P94"/>
    <mergeCell ref="J95:P95"/>
    <mergeCell ref="J96:P96"/>
    <mergeCell ref="J97:P97"/>
    <mergeCell ref="J98:P98"/>
    <mergeCell ref="J99:P99"/>
    <mergeCell ref="J103:P103"/>
    <mergeCell ref="J104:P104"/>
    <mergeCell ref="J105:P105"/>
  </mergeCells>
  <conditionalFormatting sqref="H116:H123 H129:H132">
    <cfRule type="cellIs" dxfId="3" priority="6" stopIfTrue="1" operator="equal">
      <formula>0</formula>
    </cfRule>
  </conditionalFormatting>
  <conditionalFormatting sqref="E84 G116:G123 G129:G132">
    <cfRule type="cellIs" dxfId="2" priority="5" stopIfTrue="1" operator="equal">
      <formula>1</formula>
    </cfRule>
  </conditionalFormatting>
  <dataValidations count="7">
    <dataValidation type="list" allowBlank="1" showInputMessage="1" showErrorMessage="1" sqref="L116:L123 L129:L131">
      <formula1>$H$190:$H$195</formula1>
    </dataValidation>
    <dataValidation type="list" allowBlank="1" showInputMessage="1" showErrorMessage="1" sqref="K116:K123 K129:K131">
      <formula1>$J$190:$J$192</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$C$190:$C$199</formula1>
    </dataValidation>
    <dataValidation type="list" allowBlank="1" showInputMessage="1" showErrorMessage="1" sqref="D14:E14">
      <formula1>$D$190:$D$194</formula1>
    </dataValidation>
    <dataValidation type="list" allowBlank="1" showInputMessage="1" showErrorMessage="1" sqref="D16:E16">
      <formula1>$E$190:$E$195</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activeCell="A7" sqref="A7"/>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472" t="s">
        <v>13</v>
      </c>
      <c r="B1" s="472"/>
      <c r="C1" s="472"/>
      <c r="D1" s="472"/>
      <c r="E1" s="472"/>
      <c r="F1" s="472"/>
      <c r="G1" s="472"/>
      <c r="H1" s="472"/>
      <c r="I1" s="472"/>
      <c r="J1" s="472"/>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51"/>
      <c r="B2" s="51"/>
      <c r="C2" s="51"/>
      <c r="D2" s="51"/>
      <c r="E2" s="51"/>
      <c r="F2" s="51"/>
      <c r="G2" s="51"/>
      <c r="H2" s="51"/>
      <c r="I2" s="51"/>
      <c r="J2" s="5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51"/>
      <c r="B3" s="473" t="s">
        <v>58</v>
      </c>
      <c r="C3" s="52" t="s">
        <v>110</v>
      </c>
      <c r="D3" s="475" t="s">
        <v>111</v>
      </c>
      <c r="E3" s="476"/>
      <c r="F3" s="477"/>
      <c r="G3" s="478" t="s">
        <v>112</v>
      </c>
      <c r="H3" s="51"/>
      <c r="I3" s="51"/>
      <c r="J3" s="5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474"/>
      <c r="C4" s="53">
        <v>3</v>
      </c>
      <c r="D4" s="54">
        <v>1</v>
      </c>
      <c r="E4" s="55">
        <v>2</v>
      </c>
      <c r="F4" s="56">
        <v>3</v>
      </c>
      <c r="G4" s="479"/>
    </row>
    <row r="5" spans="1:38" ht="15" customHeight="1" x14ac:dyDescent="0.25">
      <c r="B5" s="474"/>
      <c r="C5" s="57" t="str">
        <f>D5</f>
        <v>Separation of rare earth elements using ion exchange</v>
      </c>
      <c r="D5" s="480" t="str">
        <f>'Data Summary'!D4</f>
        <v>Separation of rare earth elements using ion exchange</v>
      </c>
      <c r="E5" s="481"/>
      <c r="F5" s="482"/>
      <c r="G5" s="479"/>
    </row>
    <row r="6" spans="1:38" x14ac:dyDescent="0.25">
      <c r="B6" s="474"/>
      <c r="C6" s="58" t="str">
        <f>HLOOKUP($C$4,$D$4:$F$13,3,FALSE)</f>
        <v>Scenario 3 Name</v>
      </c>
      <c r="D6" s="59" t="s">
        <v>113</v>
      </c>
      <c r="E6" s="60" t="s">
        <v>114</v>
      </c>
      <c r="F6" s="61" t="s">
        <v>115</v>
      </c>
      <c r="G6" s="479"/>
    </row>
    <row r="7" spans="1:38" ht="15" customHeight="1" x14ac:dyDescent="0.25">
      <c r="B7" s="62" t="s">
        <v>116</v>
      </c>
      <c r="C7" s="63">
        <f>HLOOKUP($C$4,$D$4:$F$13,4,FALSE)</f>
        <v>0</v>
      </c>
      <c r="D7" s="64"/>
      <c r="E7" s="65"/>
      <c r="F7" s="66"/>
      <c r="G7" s="67" t="s">
        <v>117</v>
      </c>
    </row>
    <row r="8" spans="1:38" ht="15" customHeight="1" x14ac:dyDescent="0.25">
      <c r="B8" s="68" t="s">
        <v>118</v>
      </c>
      <c r="C8" s="69">
        <f>HLOOKUP($C$4,$D$4:$F$13,5,FALSE)</f>
        <v>0</v>
      </c>
      <c r="D8" s="70"/>
      <c r="E8" s="71"/>
      <c r="F8" s="72"/>
      <c r="G8" s="73"/>
    </row>
    <row r="9" spans="1:38" ht="15" customHeight="1" x14ac:dyDescent="0.25">
      <c r="B9" s="74"/>
      <c r="C9" s="75">
        <f>HLOOKUP($C$4,$D$4:$F$13,6,FALSE)</f>
        <v>0</v>
      </c>
      <c r="D9" s="76"/>
      <c r="E9" s="77"/>
      <c r="F9" s="78"/>
      <c r="G9" s="73"/>
    </row>
    <row r="10" spans="1:38" ht="15" customHeight="1" x14ac:dyDescent="0.25">
      <c r="B10" s="74"/>
      <c r="C10" s="75">
        <f>HLOOKUP($C$4,$D$4:$F$13,7,FALSE)</f>
        <v>0</v>
      </c>
      <c r="D10" s="76"/>
      <c r="E10" s="77"/>
      <c r="F10" s="78"/>
      <c r="G10" s="73"/>
    </row>
    <row r="11" spans="1:38" ht="15" customHeight="1" x14ac:dyDescent="0.25">
      <c r="B11" s="74"/>
      <c r="C11" s="79">
        <f>HLOOKUP($C$4,$D$4:$F$13,8,FALSE)</f>
        <v>0</v>
      </c>
      <c r="D11" s="80"/>
      <c r="E11" s="81"/>
      <c r="F11" s="82"/>
      <c r="G11" s="73"/>
    </row>
    <row r="12" spans="1:38" ht="15" customHeight="1" x14ac:dyDescent="0.25">
      <c r="B12" s="74"/>
      <c r="C12" s="79">
        <f>HLOOKUP($C$4,$D$4:$F$13,9,FALSE)</f>
        <v>0</v>
      </c>
      <c r="D12" s="80"/>
      <c r="E12" s="81"/>
      <c r="F12" s="82"/>
      <c r="G12" s="73"/>
    </row>
    <row r="13" spans="1:38" ht="15" customHeight="1" thickBot="1" x14ac:dyDescent="0.3">
      <c r="B13" s="83"/>
      <c r="C13" s="84">
        <f>HLOOKUP($C$4,$D$4:$F$13,10,FALSE)</f>
        <v>0</v>
      </c>
      <c r="D13" s="85"/>
      <c r="E13" s="86"/>
      <c r="F13" s="87"/>
      <c r="G13" s="88"/>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89" t="s">
        <v>119</v>
      </c>
    </row>
    <row r="20" spans="2:7" x14ac:dyDescent="0.25">
      <c r="B20" s="90" t="s">
        <v>111</v>
      </c>
      <c r="C20" s="483" t="s">
        <v>9</v>
      </c>
      <c r="D20" s="483"/>
      <c r="E20" s="483"/>
      <c r="F20" s="483"/>
      <c r="G20" s="483"/>
    </row>
    <row r="21" spans="2:7" ht="30" customHeight="1" x14ac:dyDescent="0.25">
      <c r="B21" s="91">
        <v>1</v>
      </c>
      <c r="C21" s="469" t="s">
        <v>120</v>
      </c>
      <c r="D21" s="469"/>
      <c r="E21" s="469"/>
      <c r="F21" s="469"/>
      <c r="G21" s="469"/>
    </row>
    <row r="22" spans="2:7" ht="30" customHeight="1" x14ac:dyDescent="0.25">
      <c r="B22" s="91">
        <v>2</v>
      </c>
      <c r="C22" s="470"/>
      <c r="D22" s="470"/>
      <c r="E22" s="470"/>
      <c r="F22" s="470"/>
      <c r="G22" s="470"/>
    </row>
    <row r="23" spans="2:7" ht="30" customHeight="1" x14ac:dyDescent="0.25">
      <c r="B23" s="92">
        <v>3</v>
      </c>
      <c r="C23" s="471"/>
      <c r="D23" s="471"/>
      <c r="E23" s="471"/>
      <c r="F23" s="471"/>
      <c r="G23" s="471"/>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M60"/>
  <sheetViews>
    <sheetView zoomScale="80" zoomScaleNormal="80" workbookViewId="0">
      <pane xSplit="1" topLeftCell="B1" activePane="topRight" state="frozen"/>
      <selection activeCell="D16" sqref="D16:M16"/>
      <selection pane="topRight" activeCell="B20" sqref="B20"/>
    </sheetView>
  </sheetViews>
  <sheetFormatPr defaultColWidth="36.85546875" defaultRowHeight="12.75" customHeight="1" x14ac:dyDescent="0.25"/>
  <cols>
    <col min="1" max="1" width="18.5703125" style="147" customWidth="1"/>
    <col min="2" max="9" width="31.42578125" style="146" customWidth="1"/>
    <col min="10" max="11" width="36.85546875" style="146" customWidth="1"/>
    <col min="12" max="12" width="31.42578125" style="146" customWidth="1"/>
    <col min="13" max="29" width="36.85546875" style="146" customWidth="1"/>
    <col min="30" max="30" width="37" style="146" customWidth="1"/>
    <col min="31" max="37" width="36.85546875" style="146" customWidth="1"/>
    <col min="38" max="46" width="36.85546875" style="147" customWidth="1"/>
    <col min="47" max="47" width="37.140625" style="147" customWidth="1"/>
    <col min="48" max="49" width="36.85546875" style="147" customWidth="1"/>
    <col min="50" max="50" width="36.5703125" style="147" customWidth="1"/>
    <col min="51" max="52" width="36.85546875" style="147" customWidth="1"/>
    <col min="53" max="53" width="36.5703125" style="147" customWidth="1"/>
    <col min="54" max="54" width="37" style="147" customWidth="1"/>
    <col min="55" max="73" width="36.85546875" style="147" customWidth="1"/>
    <col min="74" max="74" width="37" style="147" customWidth="1"/>
    <col min="75" max="92" width="36.85546875" style="147" customWidth="1"/>
    <col min="93" max="93" width="36.5703125" style="147" customWidth="1"/>
    <col min="94" max="106" width="36.85546875" style="147" customWidth="1"/>
    <col min="107" max="107" width="36.5703125" style="147" customWidth="1"/>
    <col min="108" max="110" width="36.85546875" style="147" customWidth="1"/>
    <col min="111" max="111" width="36.5703125" style="147" customWidth="1"/>
    <col min="112" max="119" width="36.85546875" style="147" customWidth="1"/>
    <col min="120" max="120" width="36.5703125" style="147" customWidth="1"/>
    <col min="121" max="258" width="36.85546875" style="147"/>
    <col min="259" max="259" width="18.5703125" style="147" customWidth="1"/>
    <col min="260" max="268" width="31.42578125" style="147" customWidth="1"/>
    <col min="269" max="285" width="36.85546875" style="147" customWidth="1"/>
    <col min="286" max="286" width="37" style="147" customWidth="1"/>
    <col min="287" max="302" width="36.85546875" style="147" customWidth="1"/>
    <col min="303" max="303" width="37.140625" style="147" customWidth="1"/>
    <col min="304" max="305" width="36.85546875" style="147" customWidth="1"/>
    <col min="306" max="306" width="36.5703125" style="147" customWidth="1"/>
    <col min="307" max="308" width="36.85546875" style="147" customWidth="1"/>
    <col min="309" max="309" width="36.5703125" style="147" customWidth="1"/>
    <col min="310" max="310" width="37" style="147" customWidth="1"/>
    <col min="311" max="329" width="36.85546875" style="147" customWidth="1"/>
    <col min="330" max="330" width="37" style="147" customWidth="1"/>
    <col min="331" max="348" width="36.85546875" style="147" customWidth="1"/>
    <col min="349" max="349" width="36.5703125" style="147" customWidth="1"/>
    <col min="350" max="362" width="36.85546875" style="147" customWidth="1"/>
    <col min="363" max="363" width="36.5703125" style="147" customWidth="1"/>
    <col min="364" max="366" width="36.85546875" style="147" customWidth="1"/>
    <col min="367" max="367" width="36.5703125" style="147" customWidth="1"/>
    <col min="368" max="375" width="36.85546875" style="147" customWidth="1"/>
    <col min="376" max="376" width="36.5703125" style="147" customWidth="1"/>
    <col min="377" max="514" width="36.85546875" style="147"/>
    <col min="515" max="515" width="18.5703125" style="147" customWidth="1"/>
    <col min="516" max="524" width="31.42578125" style="147" customWidth="1"/>
    <col min="525" max="541" width="36.85546875" style="147" customWidth="1"/>
    <col min="542" max="542" width="37" style="147" customWidth="1"/>
    <col min="543" max="558" width="36.85546875" style="147" customWidth="1"/>
    <col min="559" max="559" width="37.140625" style="147" customWidth="1"/>
    <col min="560" max="561" width="36.85546875" style="147" customWidth="1"/>
    <col min="562" max="562" width="36.5703125" style="147" customWidth="1"/>
    <col min="563" max="564" width="36.85546875" style="147" customWidth="1"/>
    <col min="565" max="565" width="36.5703125" style="147" customWidth="1"/>
    <col min="566" max="566" width="37" style="147" customWidth="1"/>
    <col min="567" max="585" width="36.85546875" style="147" customWidth="1"/>
    <col min="586" max="586" width="37" style="147" customWidth="1"/>
    <col min="587" max="604" width="36.85546875" style="147" customWidth="1"/>
    <col min="605" max="605" width="36.5703125" style="147" customWidth="1"/>
    <col min="606" max="618" width="36.85546875" style="147" customWidth="1"/>
    <col min="619" max="619" width="36.5703125" style="147" customWidth="1"/>
    <col min="620" max="622" width="36.85546875" style="147" customWidth="1"/>
    <col min="623" max="623" width="36.5703125" style="147" customWidth="1"/>
    <col min="624" max="631" width="36.85546875" style="147" customWidth="1"/>
    <col min="632" max="632" width="36.5703125" style="147" customWidth="1"/>
    <col min="633" max="770" width="36.85546875" style="147"/>
    <col min="771" max="771" width="18.5703125" style="147" customWidth="1"/>
    <col min="772" max="780" width="31.42578125" style="147" customWidth="1"/>
    <col min="781" max="797" width="36.85546875" style="147" customWidth="1"/>
    <col min="798" max="798" width="37" style="147" customWidth="1"/>
    <col min="799" max="814" width="36.85546875" style="147" customWidth="1"/>
    <col min="815" max="815" width="37.140625" style="147" customWidth="1"/>
    <col min="816" max="817" width="36.85546875" style="147" customWidth="1"/>
    <col min="818" max="818" width="36.5703125" style="147" customWidth="1"/>
    <col min="819" max="820" width="36.85546875" style="147" customWidth="1"/>
    <col min="821" max="821" width="36.5703125" style="147" customWidth="1"/>
    <col min="822" max="822" width="37" style="147" customWidth="1"/>
    <col min="823" max="841" width="36.85546875" style="147" customWidth="1"/>
    <col min="842" max="842" width="37" style="147" customWidth="1"/>
    <col min="843" max="860" width="36.85546875" style="147" customWidth="1"/>
    <col min="861" max="861" width="36.5703125" style="147" customWidth="1"/>
    <col min="862" max="874" width="36.85546875" style="147" customWidth="1"/>
    <col min="875" max="875" width="36.5703125" style="147" customWidth="1"/>
    <col min="876" max="878" width="36.85546875" style="147" customWidth="1"/>
    <col min="879" max="879" width="36.5703125" style="147" customWidth="1"/>
    <col min="880" max="887" width="36.85546875" style="147" customWidth="1"/>
    <col min="888" max="888" width="36.5703125" style="147" customWidth="1"/>
    <col min="889" max="1026" width="36.85546875" style="147"/>
    <col min="1027" max="1027" width="18.5703125" style="147" customWidth="1"/>
    <col min="1028" max="1036" width="31.42578125" style="147" customWidth="1"/>
    <col min="1037" max="1053" width="36.85546875" style="147" customWidth="1"/>
    <col min="1054" max="1054" width="37" style="147" customWidth="1"/>
    <col min="1055" max="1070" width="36.85546875" style="147" customWidth="1"/>
    <col min="1071" max="1071" width="37.140625" style="147" customWidth="1"/>
    <col min="1072" max="1073" width="36.85546875" style="147" customWidth="1"/>
    <col min="1074" max="1074" width="36.5703125" style="147" customWidth="1"/>
    <col min="1075" max="1076" width="36.85546875" style="147" customWidth="1"/>
    <col min="1077" max="1077" width="36.5703125" style="147" customWidth="1"/>
    <col min="1078" max="1078" width="37" style="147" customWidth="1"/>
    <col min="1079" max="1097" width="36.85546875" style="147" customWidth="1"/>
    <col min="1098" max="1098" width="37" style="147" customWidth="1"/>
    <col min="1099" max="1116" width="36.85546875" style="147" customWidth="1"/>
    <col min="1117" max="1117" width="36.5703125" style="147" customWidth="1"/>
    <col min="1118" max="1130" width="36.85546875" style="147" customWidth="1"/>
    <col min="1131" max="1131" width="36.5703125" style="147" customWidth="1"/>
    <col min="1132" max="1134" width="36.85546875" style="147" customWidth="1"/>
    <col min="1135" max="1135" width="36.5703125" style="147" customWidth="1"/>
    <col min="1136" max="1143" width="36.85546875" style="147" customWidth="1"/>
    <col min="1144" max="1144" width="36.5703125" style="147" customWidth="1"/>
    <col min="1145" max="1282" width="36.85546875" style="147"/>
    <col min="1283" max="1283" width="18.5703125" style="147" customWidth="1"/>
    <col min="1284" max="1292" width="31.42578125" style="147" customWidth="1"/>
    <col min="1293" max="1309" width="36.85546875" style="147" customWidth="1"/>
    <col min="1310" max="1310" width="37" style="147" customWidth="1"/>
    <col min="1311" max="1326" width="36.85546875" style="147" customWidth="1"/>
    <col min="1327" max="1327" width="37.140625" style="147" customWidth="1"/>
    <col min="1328" max="1329" width="36.85546875" style="147" customWidth="1"/>
    <col min="1330" max="1330" width="36.5703125" style="147" customWidth="1"/>
    <col min="1331" max="1332" width="36.85546875" style="147" customWidth="1"/>
    <col min="1333" max="1333" width="36.5703125" style="147" customWidth="1"/>
    <col min="1334" max="1334" width="37" style="147" customWidth="1"/>
    <col min="1335" max="1353" width="36.85546875" style="147" customWidth="1"/>
    <col min="1354" max="1354" width="37" style="147" customWidth="1"/>
    <col min="1355" max="1372" width="36.85546875" style="147" customWidth="1"/>
    <col min="1373" max="1373" width="36.5703125" style="147" customWidth="1"/>
    <col min="1374" max="1386" width="36.85546875" style="147" customWidth="1"/>
    <col min="1387" max="1387" width="36.5703125" style="147" customWidth="1"/>
    <col min="1388" max="1390" width="36.85546875" style="147" customWidth="1"/>
    <col min="1391" max="1391" width="36.5703125" style="147" customWidth="1"/>
    <col min="1392" max="1399" width="36.85546875" style="147" customWidth="1"/>
    <col min="1400" max="1400" width="36.5703125" style="147" customWidth="1"/>
    <col min="1401" max="1538" width="36.85546875" style="147"/>
    <col min="1539" max="1539" width="18.5703125" style="147" customWidth="1"/>
    <col min="1540" max="1548" width="31.42578125" style="147" customWidth="1"/>
    <col min="1549" max="1565" width="36.85546875" style="147" customWidth="1"/>
    <col min="1566" max="1566" width="37" style="147" customWidth="1"/>
    <col min="1567" max="1582" width="36.85546875" style="147" customWidth="1"/>
    <col min="1583" max="1583" width="37.140625" style="147" customWidth="1"/>
    <col min="1584" max="1585" width="36.85546875" style="147" customWidth="1"/>
    <col min="1586" max="1586" width="36.5703125" style="147" customWidth="1"/>
    <col min="1587" max="1588" width="36.85546875" style="147" customWidth="1"/>
    <col min="1589" max="1589" width="36.5703125" style="147" customWidth="1"/>
    <col min="1590" max="1590" width="37" style="147" customWidth="1"/>
    <col min="1591" max="1609" width="36.85546875" style="147" customWidth="1"/>
    <col min="1610" max="1610" width="37" style="147" customWidth="1"/>
    <col min="1611" max="1628" width="36.85546875" style="147" customWidth="1"/>
    <col min="1629" max="1629" width="36.5703125" style="147" customWidth="1"/>
    <col min="1630" max="1642" width="36.85546875" style="147" customWidth="1"/>
    <col min="1643" max="1643" width="36.5703125" style="147" customWidth="1"/>
    <col min="1644" max="1646" width="36.85546875" style="147" customWidth="1"/>
    <col min="1647" max="1647" width="36.5703125" style="147" customWidth="1"/>
    <col min="1648" max="1655" width="36.85546875" style="147" customWidth="1"/>
    <col min="1656" max="1656" width="36.5703125" style="147" customWidth="1"/>
    <col min="1657" max="1794" width="36.85546875" style="147"/>
    <col min="1795" max="1795" width="18.5703125" style="147" customWidth="1"/>
    <col min="1796" max="1804" width="31.42578125" style="147" customWidth="1"/>
    <col min="1805" max="1821" width="36.85546875" style="147" customWidth="1"/>
    <col min="1822" max="1822" width="37" style="147" customWidth="1"/>
    <col min="1823" max="1838" width="36.85546875" style="147" customWidth="1"/>
    <col min="1839" max="1839" width="37.140625" style="147" customWidth="1"/>
    <col min="1840" max="1841" width="36.85546875" style="147" customWidth="1"/>
    <col min="1842" max="1842" width="36.5703125" style="147" customWidth="1"/>
    <col min="1843" max="1844" width="36.85546875" style="147" customWidth="1"/>
    <col min="1845" max="1845" width="36.5703125" style="147" customWidth="1"/>
    <col min="1846" max="1846" width="37" style="147" customWidth="1"/>
    <col min="1847" max="1865" width="36.85546875" style="147" customWidth="1"/>
    <col min="1866" max="1866" width="37" style="147" customWidth="1"/>
    <col min="1867" max="1884" width="36.85546875" style="147" customWidth="1"/>
    <col min="1885" max="1885" width="36.5703125" style="147" customWidth="1"/>
    <col min="1886" max="1898" width="36.85546875" style="147" customWidth="1"/>
    <col min="1899" max="1899" width="36.5703125" style="147" customWidth="1"/>
    <col min="1900" max="1902" width="36.85546875" style="147" customWidth="1"/>
    <col min="1903" max="1903" width="36.5703125" style="147" customWidth="1"/>
    <col min="1904" max="1911" width="36.85546875" style="147" customWidth="1"/>
    <col min="1912" max="1912" width="36.5703125" style="147" customWidth="1"/>
    <col min="1913" max="2050" width="36.85546875" style="147"/>
    <col min="2051" max="2051" width="18.5703125" style="147" customWidth="1"/>
    <col min="2052" max="2060" width="31.42578125" style="147" customWidth="1"/>
    <col min="2061" max="2077" width="36.85546875" style="147" customWidth="1"/>
    <col min="2078" max="2078" width="37" style="147" customWidth="1"/>
    <col min="2079" max="2094" width="36.85546875" style="147" customWidth="1"/>
    <col min="2095" max="2095" width="37.140625" style="147" customWidth="1"/>
    <col min="2096" max="2097" width="36.85546875" style="147" customWidth="1"/>
    <col min="2098" max="2098" width="36.5703125" style="147" customWidth="1"/>
    <col min="2099" max="2100" width="36.85546875" style="147" customWidth="1"/>
    <col min="2101" max="2101" width="36.5703125" style="147" customWidth="1"/>
    <col min="2102" max="2102" width="37" style="147" customWidth="1"/>
    <col min="2103" max="2121" width="36.85546875" style="147" customWidth="1"/>
    <col min="2122" max="2122" width="37" style="147" customWidth="1"/>
    <col min="2123" max="2140" width="36.85546875" style="147" customWidth="1"/>
    <col min="2141" max="2141" width="36.5703125" style="147" customWidth="1"/>
    <col min="2142" max="2154" width="36.85546875" style="147" customWidth="1"/>
    <col min="2155" max="2155" width="36.5703125" style="147" customWidth="1"/>
    <col min="2156" max="2158" width="36.85546875" style="147" customWidth="1"/>
    <col min="2159" max="2159" width="36.5703125" style="147" customWidth="1"/>
    <col min="2160" max="2167" width="36.85546875" style="147" customWidth="1"/>
    <col min="2168" max="2168" width="36.5703125" style="147" customWidth="1"/>
    <col min="2169" max="2306" width="36.85546875" style="147"/>
    <col min="2307" max="2307" width="18.5703125" style="147" customWidth="1"/>
    <col min="2308" max="2316" width="31.42578125" style="147" customWidth="1"/>
    <col min="2317" max="2333" width="36.85546875" style="147" customWidth="1"/>
    <col min="2334" max="2334" width="37" style="147" customWidth="1"/>
    <col min="2335" max="2350" width="36.85546875" style="147" customWidth="1"/>
    <col min="2351" max="2351" width="37.140625" style="147" customWidth="1"/>
    <col min="2352" max="2353" width="36.85546875" style="147" customWidth="1"/>
    <col min="2354" max="2354" width="36.5703125" style="147" customWidth="1"/>
    <col min="2355" max="2356" width="36.85546875" style="147" customWidth="1"/>
    <col min="2357" max="2357" width="36.5703125" style="147" customWidth="1"/>
    <col min="2358" max="2358" width="37" style="147" customWidth="1"/>
    <col min="2359" max="2377" width="36.85546875" style="147" customWidth="1"/>
    <col min="2378" max="2378" width="37" style="147" customWidth="1"/>
    <col min="2379" max="2396" width="36.85546875" style="147" customWidth="1"/>
    <col min="2397" max="2397" width="36.5703125" style="147" customWidth="1"/>
    <col min="2398" max="2410" width="36.85546875" style="147" customWidth="1"/>
    <col min="2411" max="2411" width="36.5703125" style="147" customWidth="1"/>
    <col min="2412" max="2414" width="36.85546875" style="147" customWidth="1"/>
    <col min="2415" max="2415" width="36.5703125" style="147" customWidth="1"/>
    <col min="2416" max="2423" width="36.85546875" style="147" customWidth="1"/>
    <col min="2424" max="2424" width="36.5703125" style="147" customWidth="1"/>
    <col min="2425" max="2562" width="36.85546875" style="147"/>
    <col min="2563" max="2563" width="18.5703125" style="147" customWidth="1"/>
    <col min="2564" max="2572" width="31.42578125" style="147" customWidth="1"/>
    <col min="2573" max="2589" width="36.85546875" style="147" customWidth="1"/>
    <col min="2590" max="2590" width="37" style="147" customWidth="1"/>
    <col min="2591" max="2606" width="36.85546875" style="147" customWidth="1"/>
    <col min="2607" max="2607" width="37.140625" style="147" customWidth="1"/>
    <col min="2608" max="2609" width="36.85546875" style="147" customWidth="1"/>
    <col min="2610" max="2610" width="36.5703125" style="147" customWidth="1"/>
    <col min="2611" max="2612" width="36.85546875" style="147" customWidth="1"/>
    <col min="2613" max="2613" width="36.5703125" style="147" customWidth="1"/>
    <col min="2614" max="2614" width="37" style="147" customWidth="1"/>
    <col min="2615" max="2633" width="36.85546875" style="147" customWidth="1"/>
    <col min="2634" max="2634" width="37" style="147" customWidth="1"/>
    <col min="2635" max="2652" width="36.85546875" style="147" customWidth="1"/>
    <col min="2653" max="2653" width="36.5703125" style="147" customWidth="1"/>
    <col min="2654" max="2666" width="36.85546875" style="147" customWidth="1"/>
    <col min="2667" max="2667" width="36.5703125" style="147" customWidth="1"/>
    <col min="2668" max="2670" width="36.85546875" style="147" customWidth="1"/>
    <col min="2671" max="2671" width="36.5703125" style="147" customWidth="1"/>
    <col min="2672" max="2679" width="36.85546875" style="147" customWidth="1"/>
    <col min="2680" max="2680" width="36.5703125" style="147" customWidth="1"/>
    <col min="2681" max="2818" width="36.85546875" style="147"/>
    <col min="2819" max="2819" width="18.5703125" style="147" customWidth="1"/>
    <col min="2820" max="2828" width="31.42578125" style="147" customWidth="1"/>
    <col min="2829" max="2845" width="36.85546875" style="147" customWidth="1"/>
    <col min="2846" max="2846" width="37" style="147" customWidth="1"/>
    <col min="2847" max="2862" width="36.85546875" style="147" customWidth="1"/>
    <col min="2863" max="2863" width="37.140625" style="147" customWidth="1"/>
    <col min="2864" max="2865" width="36.85546875" style="147" customWidth="1"/>
    <col min="2866" max="2866" width="36.5703125" style="147" customWidth="1"/>
    <col min="2867" max="2868" width="36.85546875" style="147" customWidth="1"/>
    <col min="2869" max="2869" width="36.5703125" style="147" customWidth="1"/>
    <col min="2870" max="2870" width="37" style="147" customWidth="1"/>
    <col min="2871" max="2889" width="36.85546875" style="147" customWidth="1"/>
    <col min="2890" max="2890" width="37" style="147" customWidth="1"/>
    <col min="2891" max="2908" width="36.85546875" style="147" customWidth="1"/>
    <col min="2909" max="2909" width="36.5703125" style="147" customWidth="1"/>
    <col min="2910" max="2922" width="36.85546875" style="147" customWidth="1"/>
    <col min="2923" max="2923" width="36.5703125" style="147" customWidth="1"/>
    <col min="2924" max="2926" width="36.85546875" style="147" customWidth="1"/>
    <col min="2927" max="2927" width="36.5703125" style="147" customWidth="1"/>
    <col min="2928" max="2935" width="36.85546875" style="147" customWidth="1"/>
    <col min="2936" max="2936" width="36.5703125" style="147" customWidth="1"/>
    <col min="2937" max="3074" width="36.85546875" style="147"/>
    <col min="3075" max="3075" width="18.5703125" style="147" customWidth="1"/>
    <col min="3076" max="3084" width="31.42578125" style="147" customWidth="1"/>
    <col min="3085" max="3101" width="36.85546875" style="147" customWidth="1"/>
    <col min="3102" max="3102" width="37" style="147" customWidth="1"/>
    <col min="3103" max="3118" width="36.85546875" style="147" customWidth="1"/>
    <col min="3119" max="3119" width="37.140625" style="147" customWidth="1"/>
    <col min="3120" max="3121" width="36.85546875" style="147" customWidth="1"/>
    <col min="3122" max="3122" width="36.5703125" style="147" customWidth="1"/>
    <col min="3123" max="3124" width="36.85546875" style="147" customWidth="1"/>
    <col min="3125" max="3125" width="36.5703125" style="147" customWidth="1"/>
    <col min="3126" max="3126" width="37" style="147" customWidth="1"/>
    <col min="3127" max="3145" width="36.85546875" style="147" customWidth="1"/>
    <col min="3146" max="3146" width="37" style="147" customWidth="1"/>
    <col min="3147" max="3164" width="36.85546875" style="147" customWidth="1"/>
    <col min="3165" max="3165" width="36.5703125" style="147" customWidth="1"/>
    <col min="3166" max="3178" width="36.85546875" style="147" customWidth="1"/>
    <col min="3179" max="3179" width="36.5703125" style="147" customWidth="1"/>
    <col min="3180" max="3182" width="36.85546875" style="147" customWidth="1"/>
    <col min="3183" max="3183" width="36.5703125" style="147" customWidth="1"/>
    <col min="3184" max="3191" width="36.85546875" style="147" customWidth="1"/>
    <col min="3192" max="3192" width="36.5703125" style="147" customWidth="1"/>
    <col min="3193" max="3330" width="36.85546875" style="147"/>
    <col min="3331" max="3331" width="18.5703125" style="147" customWidth="1"/>
    <col min="3332" max="3340" width="31.42578125" style="147" customWidth="1"/>
    <col min="3341" max="3357" width="36.85546875" style="147" customWidth="1"/>
    <col min="3358" max="3358" width="37" style="147" customWidth="1"/>
    <col min="3359" max="3374" width="36.85546875" style="147" customWidth="1"/>
    <col min="3375" max="3375" width="37.140625" style="147" customWidth="1"/>
    <col min="3376" max="3377" width="36.85546875" style="147" customWidth="1"/>
    <col min="3378" max="3378" width="36.5703125" style="147" customWidth="1"/>
    <col min="3379" max="3380" width="36.85546875" style="147" customWidth="1"/>
    <col min="3381" max="3381" width="36.5703125" style="147" customWidth="1"/>
    <col min="3382" max="3382" width="37" style="147" customWidth="1"/>
    <col min="3383" max="3401" width="36.85546875" style="147" customWidth="1"/>
    <col min="3402" max="3402" width="37" style="147" customWidth="1"/>
    <col min="3403" max="3420" width="36.85546875" style="147" customWidth="1"/>
    <col min="3421" max="3421" width="36.5703125" style="147" customWidth="1"/>
    <col min="3422" max="3434" width="36.85546875" style="147" customWidth="1"/>
    <col min="3435" max="3435" width="36.5703125" style="147" customWidth="1"/>
    <col min="3436" max="3438" width="36.85546875" style="147" customWidth="1"/>
    <col min="3439" max="3439" width="36.5703125" style="147" customWidth="1"/>
    <col min="3440" max="3447" width="36.85546875" style="147" customWidth="1"/>
    <col min="3448" max="3448" width="36.5703125" style="147" customWidth="1"/>
    <col min="3449" max="3586" width="36.85546875" style="147"/>
    <col min="3587" max="3587" width="18.5703125" style="147" customWidth="1"/>
    <col min="3588" max="3596" width="31.42578125" style="147" customWidth="1"/>
    <col min="3597" max="3613" width="36.85546875" style="147" customWidth="1"/>
    <col min="3614" max="3614" width="37" style="147" customWidth="1"/>
    <col min="3615" max="3630" width="36.85546875" style="147" customWidth="1"/>
    <col min="3631" max="3631" width="37.140625" style="147" customWidth="1"/>
    <col min="3632" max="3633" width="36.85546875" style="147" customWidth="1"/>
    <col min="3634" max="3634" width="36.5703125" style="147" customWidth="1"/>
    <col min="3635" max="3636" width="36.85546875" style="147" customWidth="1"/>
    <col min="3637" max="3637" width="36.5703125" style="147" customWidth="1"/>
    <col min="3638" max="3638" width="37" style="147" customWidth="1"/>
    <col min="3639" max="3657" width="36.85546875" style="147" customWidth="1"/>
    <col min="3658" max="3658" width="37" style="147" customWidth="1"/>
    <col min="3659" max="3676" width="36.85546875" style="147" customWidth="1"/>
    <col min="3677" max="3677" width="36.5703125" style="147" customWidth="1"/>
    <col min="3678" max="3690" width="36.85546875" style="147" customWidth="1"/>
    <col min="3691" max="3691" width="36.5703125" style="147" customWidth="1"/>
    <col min="3692" max="3694" width="36.85546875" style="147" customWidth="1"/>
    <col min="3695" max="3695" width="36.5703125" style="147" customWidth="1"/>
    <col min="3696" max="3703" width="36.85546875" style="147" customWidth="1"/>
    <col min="3704" max="3704" width="36.5703125" style="147" customWidth="1"/>
    <col min="3705" max="3842" width="36.85546875" style="147"/>
    <col min="3843" max="3843" width="18.5703125" style="147" customWidth="1"/>
    <col min="3844" max="3852" width="31.42578125" style="147" customWidth="1"/>
    <col min="3853" max="3869" width="36.85546875" style="147" customWidth="1"/>
    <col min="3870" max="3870" width="37" style="147" customWidth="1"/>
    <col min="3871" max="3886" width="36.85546875" style="147" customWidth="1"/>
    <col min="3887" max="3887" width="37.140625" style="147" customWidth="1"/>
    <col min="3888" max="3889" width="36.85546875" style="147" customWidth="1"/>
    <col min="3890" max="3890" width="36.5703125" style="147" customWidth="1"/>
    <col min="3891" max="3892" width="36.85546875" style="147" customWidth="1"/>
    <col min="3893" max="3893" width="36.5703125" style="147" customWidth="1"/>
    <col min="3894" max="3894" width="37" style="147" customWidth="1"/>
    <col min="3895" max="3913" width="36.85546875" style="147" customWidth="1"/>
    <col min="3914" max="3914" width="37" style="147" customWidth="1"/>
    <col min="3915" max="3932" width="36.85546875" style="147" customWidth="1"/>
    <col min="3933" max="3933" width="36.5703125" style="147" customWidth="1"/>
    <col min="3934" max="3946" width="36.85546875" style="147" customWidth="1"/>
    <col min="3947" max="3947" width="36.5703125" style="147" customWidth="1"/>
    <col min="3948" max="3950" width="36.85546875" style="147" customWidth="1"/>
    <col min="3951" max="3951" width="36.5703125" style="147" customWidth="1"/>
    <col min="3952" max="3959" width="36.85546875" style="147" customWidth="1"/>
    <col min="3960" max="3960" width="36.5703125" style="147" customWidth="1"/>
    <col min="3961" max="4098" width="36.85546875" style="147"/>
    <col min="4099" max="4099" width="18.5703125" style="147" customWidth="1"/>
    <col min="4100" max="4108" width="31.42578125" style="147" customWidth="1"/>
    <col min="4109" max="4125" width="36.85546875" style="147" customWidth="1"/>
    <col min="4126" max="4126" width="37" style="147" customWidth="1"/>
    <col min="4127" max="4142" width="36.85546875" style="147" customWidth="1"/>
    <col min="4143" max="4143" width="37.140625" style="147" customWidth="1"/>
    <col min="4144" max="4145" width="36.85546875" style="147" customWidth="1"/>
    <col min="4146" max="4146" width="36.5703125" style="147" customWidth="1"/>
    <col min="4147" max="4148" width="36.85546875" style="147" customWidth="1"/>
    <col min="4149" max="4149" width="36.5703125" style="147" customWidth="1"/>
    <col min="4150" max="4150" width="37" style="147" customWidth="1"/>
    <col min="4151" max="4169" width="36.85546875" style="147" customWidth="1"/>
    <col min="4170" max="4170" width="37" style="147" customWidth="1"/>
    <col min="4171" max="4188" width="36.85546875" style="147" customWidth="1"/>
    <col min="4189" max="4189" width="36.5703125" style="147" customWidth="1"/>
    <col min="4190" max="4202" width="36.85546875" style="147" customWidth="1"/>
    <col min="4203" max="4203" width="36.5703125" style="147" customWidth="1"/>
    <col min="4204" max="4206" width="36.85546875" style="147" customWidth="1"/>
    <col min="4207" max="4207" width="36.5703125" style="147" customWidth="1"/>
    <col min="4208" max="4215" width="36.85546875" style="147" customWidth="1"/>
    <col min="4216" max="4216" width="36.5703125" style="147" customWidth="1"/>
    <col min="4217" max="4354" width="36.85546875" style="147"/>
    <col min="4355" max="4355" width="18.5703125" style="147" customWidth="1"/>
    <col min="4356" max="4364" width="31.42578125" style="147" customWidth="1"/>
    <col min="4365" max="4381" width="36.85546875" style="147" customWidth="1"/>
    <col min="4382" max="4382" width="37" style="147" customWidth="1"/>
    <col min="4383" max="4398" width="36.85546875" style="147" customWidth="1"/>
    <col min="4399" max="4399" width="37.140625" style="147" customWidth="1"/>
    <col min="4400" max="4401" width="36.85546875" style="147" customWidth="1"/>
    <col min="4402" max="4402" width="36.5703125" style="147" customWidth="1"/>
    <col min="4403" max="4404" width="36.85546875" style="147" customWidth="1"/>
    <col min="4405" max="4405" width="36.5703125" style="147" customWidth="1"/>
    <col min="4406" max="4406" width="37" style="147" customWidth="1"/>
    <col min="4407" max="4425" width="36.85546875" style="147" customWidth="1"/>
    <col min="4426" max="4426" width="37" style="147" customWidth="1"/>
    <col min="4427" max="4444" width="36.85546875" style="147" customWidth="1"/>
    <col min="4445" max="4445" width="36.5703125" style="147" customWidth="1"/>
    <col min="4446" max="4458" width="36.85546875" style="147" customWidth="1"/>
    <col min="4459" max="4459" width="36.5703125" style="147" customWidth="1"/>
    <col min="4460" max="4462" width="36.85546875" style="147" customWidth="1"/>
    <col min="4463" max="4463" width="36.5703125" style="147" customWidth="1"/>
    <col min="4464" max="4471" width="36.85546875" style="147" customWidth="1"/>
    <col min="4472" max="4472" width="36.5703125" style="147" customWidth="1"/>
    <col min="4473" max="4610" width="36.85546875" style="147"/>
    <col min="4611" max="4611" width="18.5703125" style="147" customWidth="1"/>
    <col min="4612" max="4620" width="31.42578125" style="147" customWidth="1"/>
    <col min="4621" max="4637" width="36.85546875" style="147" customWidth="1"/>
    <col min="4638" max="4638" width="37" style="147" customWidth="1"/>
    <col min="4639" max="4654" width="36.85546875" style="147" customWidth="1"/>
    <col min="4655" max="4655" width="37.140625" style="147" customWidth="1"/>
    <col min="4656" max="4657" width="36.85546875" style="147" customWidth="1"/>
    <col min="4658" max="4658" width="36.5703125" style="147" customWidth="1"/>
    <col min="4659" max="4660" width="36.85546875" style="147" customWidth="1"/>
    <col min="4661" max="4661" width="36.5703125" style="147" customWidth="1"/>
    <col min="4662" max="4662" width="37" style="147" customWidth="1"/>
    <col min="4663" max="4681" width="36.85546875" style="147" customWidth="1"/>
    <col min="4682" max="4682" width="37" style="147" customWidth="1"/>
    <col min="4683" max="4700" width="36.85546875" style="147" customWidth="1"/>
    <col min="4701" max="4701" width="36.5703125" style="147" customWidth="1"/>
    <col min="4702" max="4714" width="36.85546875" style="147" customWidth="1"/>
    <col min="4715" max="4715" width="36.5703125" style="147" customWidth="1"/>
    <col min="4716" max="4718" width="36.85546875" style="147" customWidth="1"/>
    <col min="4719" max="4719" width="36.5703125" style="147" customWidth="1"/>
    <col min="4720" max="4727" width="36.85546875" style="147" customWidth="1"/>
    <col min="4728" max="4728" width="36.5703125" style="147" customWidth="1"/>
    <col min="4729" max="4866" width="36.85546875" style="147"/>
    <col min="4867" max="4867" width="18.5703125" style="147" customWidth="1"/>
    <col min="4868" max="4876" width="31.42578125" style="147" customWidth="1"/>
    <col min="4877" max="4893" width="36.85546875" style="147" customWidth="1"/>
    <col min="4894" max="4894" width="37" style="147" customWidth="1"/>
    <col min="4895" max="4910" width="36.85546875" style="147" customWidth="1"/>
    <col min="4911" max="4911" width="37.140625" style="147" customWidth="1"/>
    <col min="4912" max="4913" width="36.85546875" style="147" customWidth="1"/>
    <col min="4914" max="4914" width="36.5703125" style="147" customWidth="1"/>
    <col min="4915" max="4916" width="36.85546875" style="147" customWidth="1"/>
    <col min="4917" max="4917" width="36.5703125" style="147" customWidth="1"/>
    <col min="4918" max="4918" width="37" style="147" customWidth="1"/>
    <col min="4919" max="4937" width="36.85546875" style="147" customWidth="1"/>
    <col min="4938" max="4938" width="37" style="147" customWidth="1"/>
    <col min="4939" max="4956" width="36.85546875" style="147" customWidth="1"/>
    <col min="4957" max="4957" width="36.5703125" style="147" customWidth="1"/>
    <col min="4958" max="4970" width="36.85546875" style="147" customWidth="1"/>
    <col min="4971" max="4971" width="36.5703125" style="147" customWidth="1"/>
    <col min="4972" max="4974" width="36.85546875" style="147" customWidth="1"/>
    <col min="4975" max="4975" width="36.5703125" style="147" customWidth="1"/>
    <col min="4976" max="4983" width="36.85546875" style="147" customWidth="1"/>
    <col min="4984" max="4984" width="36.5703125" style="147" customWidth="1"/>
    <col min="4985" max="5122" width="36.85546875" style="147"/>
    <col min="5123" max="5123" width="18.5703125" style="147" customWidth="1"/>
    <col min="5124" max="5132" width="31.42578125" style="147" customWidth="1"/>
    <col min="5133" max="5149" width="36.85546875" style="147" customWidth="1"/>
    <col min="5150" max="5150" width="37" style="147" customWidth="1"/>
    <col min="5151" max="5166" width="36.85546875" style="147" customWidth="1"/>
    <col min="5167" max="5167" width="37.140625" style="147" customWidth="1"/>
    <col min="5168" max="5169" width="36.85546875" style="147" customWidth="1"/>
    <col min="5170" max="5170" width="36.5703125" style="147" customWidth="1"/>
    <col min="5171" max="5172" width="36.85546875" style="147" customWidth="1"/>
    <col min="5173" max="5173" width="36.5703125" style="147" customWidth="1"/>
    <col min="5174" max="5174" width="37" style="147" customWidth="1"/>
    <col min="5175" max="5193" width="36.85546875" style="147" customWidth="1"/>
    <col min="5194" max="5194" width="37" style="147" customWidth="1"/>
    <col min="5195" max="5212" width="36.85546875" style="147" customWidth="1"/>
    <col min="5213" max="5213" width="36.5703125" style="147" customWidth="1"/>
    <col min="5214" max="5226" width="36.85546875" style="147" customWidth="1"/>
    <col min="5227" max="5227" width="36.5703125" style="147" customWidth="1"/>
    <col min="5228" max="5230" width="36.85546875" style="147" customWidth="1"/>
    <col min="5231" max="5231" width="36.5703125" style="147" customWidth="1"/>
    <col min="5232" max="5239" width="36.85546875" style="147" customWidth="1"/>
    <col min="5240" max="5240" width="36.5703125" style="147" customWidth="1"/>
    <col min="5241" max="5378" width="36.85546875" style="147"/>
    <col min="5379" max="5379" width="18.5703125" style="147" customWidth="1"/>
    <col min="5380" max="5388" width="31.42578125" style="147" customWidth="1"/>
    <col min="5389" max="5405" width="36.85546875" style="147" customWidth="1"/>
    <col min="5406" max="5406" width="37" style="147" customWidth="1"/>
    <col min="5407" max="5422" width="36.85546875" style="147" customWidth="1"/>
    <col min="5423" max="5423" width="37.140625" style="147" customWidth="1"/>
    <col min="5424" max="5425" width="36.85546875" style="147" customWidth="1"/>
    <col min="5426" max="5426" width="36.5703125" style="147" customWidth="1"/>
    <col min="5427" max="5428" width="36.85546875" style="147" customWidth="1"/>
    <col min="5429" max="5429" width="36.5703125" style="147" customWidth="1"/>
    <col min="5430" max="5430" width="37" style="147" customWidth="1"/>
    <col min="5431" max="5449" width="36.85546875" style="147" customWidth="1"/>
    <col min="5450" max="5450" width="37" style="147" customWidth="1"/>
    <col min="5451" max="5468" width="36.85546875" style="147" customWidth="1"/>
    <col min="5469" max="5469" width="36.5703125" style="147" customWidth="1"/>
    <col min="5470" max="5482" width="36.85546875" style="147" customWidth="1"/>
    <col min="5483" max="5483" width="36.5703125" style="147" customWidth="1"/>
    <col min="5484" max="5486" width="36.85546875" style="147" customWidth="1"/>
    <col min="5487" max="5487" width="36.5703125" style="147" customWidth="1"/>
    <col min="5488" max="5495" width="36.85546875" style="147" customWidth="1"/>
    <col min="5496" max="5496" width="36.5703125" style="147" customWidth="1"/>
    <col min="5497" max="5634" width="36.85546875" style="147"/>
    <col min="5635" max="5635" width="18.5703125" style="147" customWidth="1"/>
    <col min="5636" max="5644" width="31.42578125" style="147" customWidth="1"/>
    <col min="5645" max="5661" width="36.85546875" style="147" customWidth="1"/>
    <col min="5662" max="5662" width="37" style="147" customWidth="1"/>
    <col min="5663" max="5678" width="36.85546875" style="147" customWidth="1"/>
    <col min="5679" max="5679" width="37.140625" style="147" customWidth="1"/>
    <col min="5680" max="5681" width="36.85546875" style="147" customWidth="1"/>
    <col min="5682" max="5682" width="36.5703125" style="147" customWidth="1"/>
    <col min="5683" max="5684" width="36.85546875" style="147" customWidth="1"/>
    <col min="5685" max="5685" width="36.5703125" style="147" customWidth="1"/>
    <col min="5686" max="5686" width="37" style="147" customWidth="1"/>
    <col min="5687" max="5705" width="36.85546875" style="147" customWidth="1"/>
    <col min="5706" max="5706" width="37" style="147" customWidth="1"/>
    <col min="5707" max="5724" width="36.85546875" style="147" customWidth="1"/>
    <col min="5725" max="5725" width="36.5703125" style="147" customWidth="1"/>
    <col min="5726" max="5738" width="36.85546875" style="147" customWidth="1"/>
    <col min="5739" max="5739" width="36.5703125" style="147" customWidth="1"/>
    <col min="5740" max="5742" width="36.85546875" style="147" customWidth="1"/>
    <col min="5743" max="5743" width="36.5703125" style="147" customWidth="1"/>
    <col min="5744" max="5751" width="36.85546875" style="147" customWidth="1"/>
    <col min="5752" max="5752" width="36.5703125" style="147" customWidth="1"/>
    <col min="5753" max="5890" width="36.85546875" style="147"/>
    <col min="5891" max="5891" width="18.5703125" style="147" customWidth="1"/>
    <col min="5892" max="5900" width="31.42578125" style="147" customWidth="1"/>
    <col min="5901" max="5917" width="36.85546875" style="147" customWidth="1"/>
    <col min="5918" max="5918" width="37" style="147" customWidth="1"/>
    <col min="5919" max="5934" width="36.85546875" style="147" customWidth="1"/>
    <col min="5935" max="5935" width="37.140625" style="147" customWidth="1"/>
    <col min="5936" max="5937" width="36.85546875" style="147" customWidth="1"/>
    <col min="5938" max="5938" width="36.5703125" style="147" customWidth="1"/>
    <col min="5939" max="5940" width="36.85546875" style="147" customWidth="1"/>
    <col min="5941" max="5941" width="36.5703125" style="147" customWidth="1"/>
    <col min="5942" max="5942" width="37" style="147" customWidth="1"/>
    <col min="5943" max="5961" width="36.85546875" style="147" customWidth="1"/>
    <col min="5962" max="5962" width="37" style="147" customWidth="1"/>
    <col min="5963" max="5980" width="36.85546875" style="147" customWidth="1"/>
    <col min="5981" max="5981" width="36.5703125" style="147" customWidth="1"/>
    <col min="5982" max="5994" width="36.85546875" style="147" customWidth="1"/>
    <col min="5995" max="5995" width="36.5703125" style="147" customWidth="1"/>
    <col min="5996" max="5998" width="36.85546875" style="147" customWidth="1"/>
    <col min="5999" max="5999" width="36.5703125" style="147" customWidth="1"/>
    <col min="6000" max="6007" width="36.85546875" style="147" customWidth="1"/>
    <col min="6008" max="6008" width="36.5703125" style="147" customWidth="1"/>
    <col min="6009" max="6146" width="36.85546875" style="147"/>
    <col min="6147" max="6147" width="18.5703125" style="147" customWidth="1"/>
    <col min="6148" max="6156" width="31.42578125" style="147" customWidth="1"/>
    <col min="6157" max="6173" width="36.85546875" style="147" customWidth="1"/>
    <col min="6174" max="6174" width="37" style="147" customWidth="1"/>
    <col min="6175" max="6190" width="36.85546875" style="147" customWidth="1"/>
    <col min="6191" max="6191" width="37.140625" style="147" customWidth="1"/>
    <col min="6192" max="6193" width="36.85546875" style="147" customWidth="1"/>
    <col min="6194" max="6194" width="36.5703125" style="147" customWidth="1"/>
    <col min="6195" max="6196" width="36.85546875" style="147" customWidth="1"/>
    <col min="6197" max="6197" width="36.5703125" style="147" customWidth="1"/>
    <col min="6198" max="6198" width="37" style="147" customWidth="1"/>
    <col min="6199" max="6217" width="36.85546875" style="147" customWidth="1"/>
    <col min="6218" max="6218" width="37" style="147" customWidth="1"/>
    <col min="6219" max="6236" width="36.85546875" style="147" customWidth="1"/>
    <col min="6237" max="6237" width="36.5703125" style="147" customWidth="1"/>
    <col min="6238" max="6250" width="36.85546875" style="147" customWidth="1"/>
    <col min="6251" max="6251" width="36.5703125" style="147" customWidth="1"/>
    <col min="6252" max="6254" width="36.85546875" style="147" customWidth="1"/>
    <col min="6255" max="6255" width="36.5703125" style="147" customWidth="1"/>
    <col min="6256" max="6263" width="36.85546875" style="147" customWidth="1"/>
    <col min="6264" max="6264" width="36.5703125" style="147" customWidth="1"/>
    <col min="6265" max="6402" width="36.85546875" style="147"/>
    <col min="6403" max="6403" width="18.5703125" style="147" customWidth="1"/>
    <col min="6404" max="6412" width="31.42578125" style="147" customWidth="1"/>
    <col min="6413" max="6429" width="36.85546875" style="147" customWidth="1"/>
    <col min="6430" max="6430" width="37" style="147" customWidth="1"/>
    <col min="6431" max="6446" width="36.85546875" style="147" customWidth="1"/>
    <col min="6447" max="6447" width="37.140625" style="147" customWidth="1"/>
    <col min="6448" max="6449" width="36.85546875" style="147" customWidth="1"/>
    <col min="6450" max="6450" width="36.5703125" style="147" customWidth="1"/>
    <col min="6451" max="6452" width="36.85546875" style="147" customWidth="1"/>
    <col min="6453" max="6453" width="36.5703125" style="147" customWidth="1"/>
    <col min="6454" max="6454" width="37" style="147" customWidth="1"/>
    <col min="6455" max="6473" width="36.85546875" style="147" customWidth="1"/>
    <col min="6474" max="6474" width="37" style="147" customWidth="1"/>
    <col min="6475" max="6492" width="36.85546875" style="147" customWidth="1"/>
    <col min="6493" max="6493" width="36.5703125" style="147" customWidth="1"/>
    <col min="6494" max="6506" width="36.85546875" style="147" customWidth="1"/>
    <col min="6507" max="6507" width="36.5703125" style="147" customWidth="1"/>
    <col min="6508" max="6510" width="36.85546875" style="147" customWidth="1"/>
    <col min="6511" max="6511" width="36.5703125" style="147" customWidth="1"/>
    <col min="6512" max="6519" width="36.85546875" style="147" customWidth="1"/>
    <col min="6520" max="6520" width="36.5703125" style="147" customWidth="1"/>
    <col min="6521" max="6658" width="36.85546875" style="147"/>
    <col min="6659" max="6659" width="18.5703125" style="147" customWidth="1"/>
    <col min="6660" max="6668" width="31.42578125" style="147" customWidth="1"/>
    <col min="6669" max="6685" width="36.85546875" style="147" customWidth="1"/>
    <col min="6686" max="6686" width="37" style="147" customWidth="1"/>
    <col min="6687" max="6702" width="36.85546875" style="147" customWidth="1"/>
    <col min="6703" max="6703" width="37.140625" style="147" customWidth="1"/>
    <col min="6704" max="6705" width="36.85546875" style="147" customWidth="1"/>
    <col min="6706" max="6706" width="36.5703125" style="147" customWidth="1"/>
    <col min="6707" max="6708" width="36.85546875" style="147" customWidth="1"/>
    <col min="6709" max="6709" width="36.5703125" style="147" customWidth="1"/>
    <col min="6710" max="6710" width="37" style="147" customWidth="1"/>
    <col min="6711" max="6729" width="36.85546875" style="147" customWidth="1"/>
    <col min="6730" max="6730" width="37" style="147" customWidth="1"/>
    <col min="6731" max="6748" width="36.85546875" style="147" customWidth="1"/>
    <col min="6749" max="6749" width="36.5703125" style="147" customWidth="1"/>
    <col min="6750" max="6762" width="36.85546875" style="147" customWidth="1"/>
    <col min="6763" max="6763" width="36.5703125" style="147" customWidth="1"/>
    <col min="6764" max="6766" width="36.85546875" style="147" customWidth="1"/>
    <col min="6767" max="6767" width="36.5703125" style="147" customWidth="1"/>
    <col min="6768" max="6775" width="36.85546875" style="147" customWidth="1"/>
    <col min="6776" max="6776" width="36.5703125" style="147" customWidth="1"/>
    <col min="6777" max="6914" width="36.85546875" style="147"/>
    <col min="6915" max="6915" width="18.5703125" style="147" customWidth="1"/>
    <col min="6916" max="6924" width="31.42578125" style="147" customWidth="1"/>
    <col min="6925" max="6941" width="36.85546875" style="147" customWidth="1"/>
    <col min="6942" max="6942" width="37" style="147" customWidth="1"/>
    <col min="6943" max="6958" width="36.85546875" style="147" customWidth="1"/>
    <col min="6959" max="6959" width="37.140625" style="147" customWidth="1"/>
    <col min="6960" max="6961" width="36.85546875" style="147" customWidth="1"/>
    <col min="6962" max="6962" width="36.5703125" style="147" customWidth="1"/>
    <col min="6963" max="6964" width="36.85546875" style="147" customWidth="1"/>
    <col min="6965" max="6965" width="36.5703125" style="147" customWidth="1"/>
    <col min="6966" max="6966" width="37" style="147" customWidth="1"/>
    <col min="6967" max="6985" width="36.85546875" style="147" customWidth="1"/>
    <col min="6986" max="6986" width="37" style="147" customWidth="1"/>
    <col min="6987" max="7004" width="36.85546875" style="147" customWidth="1"/>
    <col min="7005" max="7005" width="36.5703125" style="147" customWidth="1"/>
    <col min="7006" max="7018" width="36.85546875" style="147" customWidth="1"/>
    <col min="7019" max="7019" width="36.5703125" style="147" customWidth="1"/>
    <col min="7020" max="7022" width="36.85546875" style="147" customWidth="1"/>
    <col min="7023" max="7023" width="36.5703125" style="147" customWidth="1"/>
    <col min="7024" max="7031" width="36.85546875" style="147" customWidth="1"/>
    <col min="7032" max="7032" width="36.5703125" style="147" customWidth="1"/>
    <col min="7033" max="7170" width="36.85546875" style="147"/>
    <col min="7171" max="7171" width="18.5703125" style="147" customWidth="1"/>
    <col min="7172" max="7180" width="31.42578125" style="147" customWidth="1"/>
    <col min="7181" max="7197" width="36.85546875" style="147" customWidth="1"/>
    <col min="7198" max="7198" width="37" style="147" customWidth="1"/>
    <col min="7199" max="7214" width="36.85546875" style="147" customWidth="1"/>
    <col min="7215" max="7215" width="37.140625" style="147" customWidth="1"/>
    <col min="7216" max="7217" width="36.85546875" style="147" customWidth="1"/>
    <col min="7218" max="7218" width="36.5703125" style="147" customWidth="1"/>
    <col min="7219" max="7220" width="36.85546875" style="147" customWidth="1"/>
    <col min="7221" max="7221" width="36.5703125" style="147" customWidth="1"/>
    <col min="7222" max="7222" width="37" style="147" customWidth="1"/>
    <col min="7223" max="7241" width="36.85546875" style="147" customWidth="1"/>
    <col min="7242" max="7242" width="37" style="147" customWidth="1"/>
    <col min="7243" max="7260" width="36.85546875" style="147" customWidth="1"/>
    <col min="7261" max="7261" width="36.5703125" style="147" customWidth="1"/>
    <col min="7262" max="7274" width="36.85546875" style="147" customWidth="1"/>
    <col min="7275" max="7275" width="36.5703125" style="147" customWidth="1"/>
    <col min="7276" max="7278" width="36.85546875" style="147" customWidth="1"/>
    <col min="7279" max="7279" width="36.5703125" style="147" customWidth="1"/>
    <col min="7280" max="7287" width="36.85546875" style="147" customWidth="1"/>
    <col min="7288" max="7288" width="36.5703125" style="147" customWidth="1"/>
    <col min="7289" max="7426" width="36.85546875" style="147"/>
    <col min="7427" max="7427" width="18.5703125" style="147" customWidth="1"/>
    <col min="7428" max="7436" width="31.42578125" style="147" customWidth="1"/>
    <col min="7437" max="7453" width="36.85546875" style="147" customWidth="1"/>
    <col min="7454" max="7454" width="37" style="147" customWidth="1"/>
    <col min="7455" max="7470" width="36.85546875" style="147" customWidth="1"/>
    <col min="7471" max="7471" width="37.140625" style="147" customWidth="1"/>
    <col min="7472" max="7473" width="36.85546875" style="147" customWidth="1"/>
    <col min="7474" max="7474" width="36.5703125" style="147" customWidth="1"/>
    <col min="7475" max="7476" width="36.85546875" style="147" customWidth="1"/>
    <col min="7477" max="7477" width="36.5703125" style="147" customWidth="1"/>
    <col min="7478" max="7478" width="37" style="147" customWidth="1"/>
    <col min="7479" max="7497" width="36.85546875" style="147" customWidth="1"/>
    <col min="7498" max="7498" width="37" style="147" customWidth="1"/>
    <col min="7499" max="7516" width="36.85546875" style="147" customWidth="1"/>
    <col min="7517" max="7517" width="36.5703125" style="147" customWidth="1"/>
    <col min="7518" max="7530" width="36.85546875" style="147" customWidth="1"/>
    <col min="7531" max="7531" width="36.5703125" style="147" customWidth="1"/>
    <col min="7532" max="7534" width="36.85546875" style="147" customWidth="1"/>
    <col min="7535" max="7535" width="36.5703125" style="147" customWidth="1"/>
    <col min="7536" max="7543" width="36.85546875" style="147" customWidth="1"/>
    <col min="7544" max="7544" width="36.5703125" style="147" customWidth="1"/>
    <col min="7545" max="7682" width="36.85546875" style="147"/>
    <col min="7683" max="7683" width="18.5703125" style="147" customWidth="1"/>
    <col min="7684" max="7692" width="31.42578125" style="147" customWidth="1"/>
    <col min="7693" max="7709" width="36.85546875" style="147" customWidth="1"/>
    <col min="7710" max="7710" width="37" style="147" customWidth="1"/>
    <col min="7711" max="7726" width="36.85546875" style="147" customWidth="1"/>
    <col min="7727" max="7727" width="37.140625" style="147" customWidth="1"/>
    <col min="7728" max="7729" width="36.85546875" style="147" customWidth="1"/>
    <col min="7730" max="7730" width="36.5703125" style="147" customWidth="1"/>
    <col min="7731" max="7732" width="36.85546875" style="147" customWidth="1"/>
    <col min="7733" max="7733" width="36.5703125" style="147" customWidth="1"/>
    <col min="7734" max="7734" width="37" style="147" customWidth="1"/>
    <col min="7735" max="7753" width="36.85546875" style="147" customWidth="1"/>
    <col min="7754" max="7754" width="37" style="147" customWidth="1"/>
    <col min="7755" max="7772" width="36.85546875" style="147" customWidth="1"/>
    <col min="7773" max="7773" width="36.5703125" style="147" customWidth="1"/>
    <col min="7774" max="7786" width="36.85546875" style="147" customWidth="1"/>
    <col min="7787" max="7787" width="36.5703125" style="147" customWidth="1"/>
    <col min="7788" max="7790" width="36.85546875" style="147" customWidth="1"/>
    <col min="7791" max="7791" width="36.5703125" style="147" customWidth="1"/>
    <col min="7792" max="7799" width="36.85546875" style="147" customWidth="1"/>
    <col min="7800" max="7800" width="36.5703125" style="147" customWidth="1"/>
    <col min="7801" max="7938" width="36.85546875" style="147"/>
    <col min="7939" max="7939" width="18.5703125" style="147" customWidth="1"/>
    <col min="7940" max="7948" width="31.42578125" style="147" customWidth="1"/>
    <col min="7949" max="7965" width="36.85546875" style="147" customWidth="1"/>
    <col min="7966" max="7966" width="37" style="147" customWidth="1"/>
    <col min="7967" max="7982" width="36.85546875" style="147" customWidth="1"/>
    <col min="7983" max="7983" width="37.140625" style="147" customWidth="1"/>
    <col min="7984" max="7985" width="36.85546875" style="147" customWidth="1"/>
    <col min="7986" max="7986" width="36.5703125" style="147" customWidth="1"/>
    <col min="7987" max="7988" width="36.85546875" style="147" customWidth="1"/>
    <col min="7989" max="7989" width="36.5703125" style="147" customWidth="1"/>
    <col min="7990" max="7990" width="37" style="147" customWidth="1"/>
    <col min="7991" max="8009" width="36.85546875" style="147" customWidth="1"/>
    <col min="8010" max="8010" width="37" style="147" customWidth="1"/>
    <col min="8011" max="8028" width="36.85546875" style="147" customWidth="1"/>
    <col min="8029" max="8029" width="36.5703125" style="147" customWidth="1"/>
    <col min="8030" max="8042" width="36.85546875" style="147" customWidth="1"/>
    <col min="8043" max="8043" width="36.5703125" style="147" customWidth="1"/>
    <col min="8044" max="8046" width="36.85546875" style="147" customWidth="1"/>
    <col min="8047" max="8047" width="36.5703125" style="147" customWidth="1"/>
    <col min="8048" max="8055" width="36.85546875" style="147" customWidth="1"/>
    <col min="8056" max="8056" width="36.5703125" style="147" customWidth="1"/>
    <col min="8057" max="8194" width="36.85546875" style="147"/>
    <col min="8195" max="8195" width="18.5703125" style="147" customWidth="1"/>
    <col min="8196" max="8204" width="31.42578125" style="147" customWidth="1"/>
    <col min="8205" max="8221" width="36.85546875" style="147" customWidth="1"/>
    <col min="8222" max="8222" width="37" style="147" customWidth="1"/>
    <col min="8223" max="8238" width="36.85546875" style="147" customWidth="1"/>
    <col min="8239" max="8239" width="37.140625" style="147" customWidth="1"/>
    <col min="8240" max="8241" width="36.85546875" style="147" customWidth="1"/>
    <col min="8242" max="8242" width="36.5703125" style="147" customWidth="1"/>
    <col min="8243" max="8244" width="36.85546875" style="147" customWidth="1"/>
    <col min="8245" max="8245" width="36.5703125" style="147" customWidth="1"/>
    <col min="8246" max="8246" width="37" style="147" customWidth="1"/>
    <col min="8247" max="8265" width="36.85546875" style="147" customWidth="1"/>
    <col min="8266" max="8266" width="37" style="147" customWidth="1"/>
    <col min="8267" max="8284" width="36.85546875" style="147" customWidth="1"/>
    <col min="8285" max="8285" width="36.5703125" style="147" customWidth="1"/>
    <col min="8286" max="8298" width="36.85546875" style="147" customWidth="1"/>
    <col min="8299" max="8299" width="36.5703125" style="147" customWidth="1"/>
    <col min="8300" max="8302" width="36.85546875" style="147" customWidth="1"/>
    <col min="8303" max="8303" width="36.5703125" style="147" customWidth="1"/>
    <col min="8304" max="8311" width="36.85546875" style="147" customWidth="1"/>
    <col min="8312" max="8312" width="36.5703125" style="147" customWidth="1"/>
    <col min="8313" max="8450" width="36.85546875" style="147"/>
    <col min="8451" max="8451" width="18.5703125" style="147" customWidth="1"/>
    <col min="8452" max="8460" width="31.42578125" style="147" customWidth="1"/>
    <col min="8461" max="8477" width="36.85546875" style="147" customWidth="1"/>
    <col min="8478" max="8478" width="37" style="147" customWidth="1"/>
    <col min="8479" max="8494" width="36.85546875" style="147" customWidth="1"/>
    <col min="8495" max="8495" width="37.140625" style="147" customWidth="1"/>
    <col min="8496" max="8497" width="36.85546875" style="147" customWidth="1"/>
    <col min="8498" max="8498" width="36.5703125" style="147" customWidth="1"/>
    <col min="8499" max="8500" width="36.85546875" style="147" customWidth="1"/>
    <col min="8501" max="8501" width="36.5703125" style="147" customWidth="1"/>
    <col min="8502" max="8502" width="37" style="147" customWidth="1"/>
    <col min="8503" max="8521" width="36.85546875" style="147" customWidth="1"/>
    <col min="8522" max="8522" width="37" style="147" customWidth="1"/>
    <col min="8523" max="8540" width="36.85546875" style="147" customWidth="1"/>
    <col min="8541" max="8541" width="36.5703125" style="147" customWidth="1"/>
    <col min="8542" max="8554" width="36.85546875" style="147" customWidth="1"/>
    <col min="8555" max="8555" width="36.5703125" style="147" customWidth="1"/>
    <col min="8556" max="8558" width="36.85546875" style="147" customWidth="1"/>
    <col min="8559" max="8559" width="36.5703125" style="147" customWidth="1"/>
    <col min="8560" max="8567" width="36.85546875" style="147" customWidth="1"/>
    <col min="8568" max="8568" width="36.5703125" style="147" customWidth="1"/>
    <col min="8569" max="8706" width="36.85546875" style="147"/>
    <col min="8707" max="8707" width="18.5703125" style="147" customWidth="1"/>
    <col min="8708" max="8716" width="31.42578125" style="147" customWidth="1"/>
    <col min="8717" max="8733" width="36.85546875" style="147" customWidth="1"/>
    <col min="8734" max="8734" width="37" style="147" customWidth="1"/>
    <col min="8735" max="8750" width="36.85546875" style="147" customWidth="1"/>
    <col min="8751" max="8751" width="37.140625" style="147" customWidth="1"/>
    <col min="8752" max="8753" width="36.85546875" style="147" customWidth="1"/>
    <col min="8754" max="8754" width="36.5703125" style="147" customWidth="1"/>
    <col min="8755" max="8756" width="36.85546875" style="147" customWidth="1"/>
    <col min="8757" max="8757" width="36.5703125" style="147" customWidth="1"/>
    <col min="8758" max="8758" width="37" style="147" customWidth="1"/>
    <col min="8759" max="8777" width="36.85546875" style="147" customWidth="1"/>
    <col min="8778" max="8778" width="37" style="147" customWidth="1"/>
    <col min="8779" max="8796" width="36.85546875" style="147" customWidth="1"/>
    <col min="8797" max="8797" width="36.5703125" style="147" customWidth="1"/>
    <col min="8798" max="8810" width="36.85546875" style="147" customWidth="1"/>
    <col min="8811" max="8811" width="36.5703125" style="147" customWidth="1"/>
    <col min="8812" max="8814" width="36.85546875" style="147" customWidth="1"/>
    <col min="8815" max="8815" width="36.5703125" style="147" customWidth="1"/>
    <col min="8816" max="8823" width="36.85546875" style="147" customWidth="1"/>
    <col min="8824" max="8824" width="36.5703125" style="147" customWidth="1"/>
    <col min="8825" max="8962" width="36.85546875" style="147"/>
    <col min="8963" max="8963" width="18.5703125" style="147" customWidth="1"/>
    <col min="8964" max="8972" width="31.42578125" style="147" customWidth="1"/>
    <col min="8973" max="8989" width="36.85546875" style="147" customWidth="1"/>
    <col min="8990" max="8990" width="37" style="147" customWidth="1"/>
    <col min="8991" max="9006" width="36.85546875" style="147" customWidth="1"/>
    <col min="9007" max="9007" width="37.140625" style="147" customWidth="1"/>
    <col min="9008" max="9009" width="36.85546875" style="147" customWidth="1"/>
    <col min="9010" max="9010" width="36.5703125" style="147" customWidth="1"/>
    <col min="9011" max="9012" width="36.85546875" style="147" customWidth="1"/>
    <col min="9013" max="9013" width="36.5703125" style="147" customWidth="1"/>
    <col min="9014" max="9014" width="37" style="147" customWidth="1"/>
    <col min="9015" max="9033" width="36.85546875" style="147" customWidth="1"/>
    <col min="9034" max="9034" width="37" style="147" customWidth="1"/>
    <col min="9035" max="9052" width="36.85546875" style="147" customWidth="1"/>
    <col min="9053" max="9053" width="36.5703125" style="147" customWidth="1"/>
    <col min="9054" max="9066" width="36.85546875" style="147" customWidth="1"/>
    <col min="9067" max="9067" width="36.5703125" style="147" customWidth="1"/>
    <col min="9068" max="9070" width="36.85546875" style="147" customWidth="1"/>
    <col min="9071" max="9071" width="36.5703125" style="147" customWidth="1"/>
    <col min="9072" max="9079" width="36.85546875" style="147" customWidth="1"/>
    <col min="9080" max="9080" width="36.5703125" style="147" customWidth="1"/>
    <col min="9081" max="9218" width="36.85546875" style="147"/>
    <col min="9219" max="9219" width="18.5703125" style="147" customWidth="1"/>
    <col min="9220" max="9228" width="31.42578125" style="147" customWidth="1"/>
    <col min="9229" max="9245" width="36.85546875" style="147" customWidth="1"/>
    <col min="9246" max="9246" width="37" style="147" customWidth="1"/>
    <col min="9247" max="9262" width="36.85546875" style="147" customWidth="1"/>
    <col min="9263" max="9263" width="37.140625" style="147" customWidth="1"/>
    <col min="9264" max="9265" width="36.85546875" style="147" customWidth="1"/>
    <col min="9266" max="9266" width="36.5703125" style="147" customWidth="1"/>
    <col min="9267" max="9268" width="36.85546875" style="147" customWidth="1"/>
    <col min="9269" max="9269" width="36.5703125" style="147" customWidth="1"/>
    <col min="9270" max="9270" width="37" style="147" customWidth="1"/>
    <col min="9271" max="9289" width="36.85546875" style="147" customWidth="1"/>
    <col min="9290" max="9290" width="37" style="147" customWidth="1"/>
    <col min="9291" max="9308" width="36.85546875" style="147" customWidth="1"/>
    <col min="9309" max="9309" width="36.5703125" style="147" customWidth="1"/>
    <col min="9310" max="9322" width="36.85546875" style="147" customWidth="1"/>
    <col min="9323" max="9323" width="36.5703125" style="147" customWidth="1"/>
    <col min="9324" max="9326" width="36.85546875" style="147" customWidth="1"/>
    <col min="9327" max="9327" width="36.5703125" style="147" customWidth="1"/>
    <col min="9328" max="9335" width="36.85546875" style="147" customWidth="1"/>
    <col min="9336" max="9336" width="36.5703125" style="147" customWidth="1"/>
    <col min="9337" max="9474" width="36.85546875" style="147"/>
    <col min="9475" max="9475" width="18.5703125" style="147" customWidth="1"/>
    <col min="9476" max="9484" width="31.42578125" style="147" customWidth="1"/>
    <col min="9485" max="9501" width="36.85546875" style="147" customWidth="1"/>
    <col min="9502" max="9502" width="37" style="147" customWidth="1"/>
    <col min="9503" max="9518" width="36.85546875" style="147" customWidth="1"/>
    <col min="9519" max="9519" width="37.140625" style="147" customWidth="1"/>
    <col min="9520" max="9521" width="36.85546875" style="147" customWidth="1"/>
    <col min="9522" max="9522" width="36.5703125" style="147" customWidth="1"/>
    <col min="9523" max="9524" width="36.85546875" style="147" customWidth="1"/>
    <col min="9525" max="9525" width="36.5703125" style="147" customWidth="1"/>
    <col min="9526" max="9526" width="37" style="147" customWidth="1"/>
    <col min="9527" max="9545" width="36.85546875" style="147" customWidth="1"/>
    <col min="9546" max="9546" width="37" style="147" customWidth="1"/>
    <col min="9547" max="9564" width="36.85546875" style="147" customWidth="1"/>
    <col min="9565" max="9565" width="36.5703125" style="147" customWidth="1"/>
    <col min="9566" max="9578" width="36.85546875" style="147" customWidth="1"/>
    <col min="9579" max="9579" width="36.5703125" style="147" customWidth="1"/>
    <col min="9580" max="9582" width="36.85546875" style="147" customWidth="1"/>
    <col min="9583" max="9583" width="36.5703125" style="147" customWidth="1"/>
    <col min="9584" max="9591" width="36.85546875" style="147" customWidth="1"/>
    <col min="9592" max="9592" width="36.5703125" style="147" customWidth="1"/>
    <col min="9593" max="9730" width="36.85546875" style="147"/>
    <col min="9731" max="9731" width="18.5703125" style="147" customWidth="1"/>
    <col min="9732" max="9740" width="31.42578125" style="147" customWidth="1"/>
    <col min="9741" max="9757" width="36.85546875" style="147" customWidth="1"/>
    <col min="9758" max="9758" width="37" style="147" customWidth="1"/>
    <col min="9759" max="9774" width="36.85546875" style="147" customWidth="1"/>
    <col min="9775" max="9775" width="37.140625" style="147" customWidth="1"/>
    <col min="9776" max="9777" width="36.85546875" style="147" customWidth="1"/>
    <col min="9778" max="9778" width="36.5703125" style="147" customWidth="1"/>
    <col min="9779" max="9780" width="36.85546875" style="147" customWidth="1"/>
    <col min="9781" max="9781" width="36.5703125" style="147" customWidth="1"/>
    <col min="9782" max="9782" width="37" style="147" customWidth="1"/>
    <col min="9783" max="9801" width="36.85546875" style="147" customWidth="1"/>
    <col min="9802" max="9802" width="37" style="147" customWidth="1"/>
    <col min="9803" max="9820" width="36.85546875" style="147" customWidth="1"/>
    <col min="9821" max="9821" width="36.5703125" style="147" customWidth="1"/>
    <col min="9822" max="9834" width="36.85546875" style="147" customWidth="1"/>
    <col min="9835" max="9835" width="36.5703125" style="147" customWidth="1"/>
    <col min="9836" max="9838" width="36.85546875" style="147" customWidth="1"/>
    <col min="9839" max="9839" width="36.5703125" style="147" customWidth="1"/>
    <col min="9840" max="9847" width="36.85546875" style="147" customWidth="1"/>
    <col min="9848" max="9848" width="36.5703125" style="147" customWidth="1"/>
    <col min="9849" max="9986" width="36.85546875" style="147"/>
    <col min="9987" max="9987" width="18.5703125" style="147" customWidth="1"/>
    <col min="9988" max="9996" width="31.42578125" style="147" customWidth="1"/>
    <col min="9997" max="10013" width="36.85546875" style="147" customWidth="1"/>
    <col min="10014" max="10014" width="37" style="147" customWidth="1"/>
    <col min="10015" max="10030" width="36.85546875" style="147" customWidth="1"/>
    <col min="10031" max="10031" width="37.140625" style="147" customWidth="1"/>
    <col min="10032" max="10033" width="36.85546875" style="147" customWidth="1"/>
    <col min="10034" max="10034" width="36.5703125" style="147" customWidth="1"/>
    <col min="10035" max="10036" width="36.85546875" style="147" customWidth="1"/>
    <col min="10037" max="10037" width="36.5703125" style="147" customWidth="1"/>
    <col min="10038" max="10038" width="37" style="147" customWidth="1"/>
    <col min="10039" max="10057" width="36.85546875" style="147" customWidth="1"/>
    <col min="10058" max="10058" width="37" style="147" customWidth="1"/>
    <col min="10059" max="10076" width="36.85546875" style="147" customWidth="1"/>
    <col min="10077" max="10077" width="36.5703125" style="147" customWidth="1"/>
    <col min="10078" max="10090" width="36.85546875" style="147" customWidth="1"/>
    <col min="10091" max="10091" width="36.5703125" style="147" customWidth="1"/>
    <col min="10092" max="10094" width="36.85546875" style="147" customWidth="1"/>
    <col min="10095" max="10095" width="36.5703125" style="147" customWidth="1"/>
    <col min="10096" max="10103" width="36.85546875" style="147" customWidth="1"/>
    <col min="10104" max="10104" width="36.5703125" style="147" customWidth="1"/>
    <col min="10105" max="10242" width="36.85546875" style="147"/>
    <col min="10243" max="10243" width="18.5703125" style="147" customWidth="1"/>
    <col min="10244" max="10252" width="31.42578125" style="147" customWidth="1"/>
    <col min="10253" max="10269" width="36.85546875" style="147" customWidth="1"/>
    <col min="10270" max="10270" width="37" style="147" customWidth="1"/>
    <col min="10271" max="10286" width="36.85546875" style="147" customWidth="1"/>
    <col min="10287" max="10287" width="37.140625" style="147" customWidth="1"/>
    <col min="10288" max="10289" width="36.85546875" style="147" customWidth="1"/>
    <col min="10290" max="10290" width="36.5703125" style="147" customWidth="1"/>
    <col min="10291" max="10292" width="36.85546875" style="147" customWidth="1"/>
    <col min="10293" max="10293" width="36.5703125" style="147" customWidth="1"/>
    <col min="10294" max="10294" width="37" style="147" customWidth="1"/>
    <col min="10295" max="10313" width="36.85546875" style="147" customWidth="1"/>
    <col min="10314" max="10314" width="37" style="147" customWidth="1"/>
    <col min="10315" max="10332" width="36.85546875" style="147" customWidth="1"/>
    <col min="10333" max="10333" width="36.5703125" style="147" customWidth="1"/>
    <col min="10334" max="10346" width="36.85546875" style="147" customWidth="1"/>
    <col min="10347" max="10347" width="36.5703125" style="147" customWidth="1"/>
    <col min="10348" max="10350" width="36.85546875" style="147" customWidth="1"/>
    <col min="10351" max="10351" width="36.5703125" style="147" customWidth="1"/>
    <col min="10352" max="10359" width="36.85546875" style="147" customWidth="1"/>
    <col min="10360" max="10360" width="36.5703125" style="147" customWidth="1"/>
    <col min="10361" max="10498" width="36.85546875" style="147"/>
    <col min="10499" max="10499" width="18.5703125" style="147" customWidth="1"/>
    <col min="10500" max="10508" width="31.42578125" style="147" customWidth="1"/>
    <col min="10509" max="10525" width="36.85546875" style="147" customWidth="1"/>
    <col min="10526" max="10526" width="37" style="147" customWidth="1"/>
    <col min="10527" max="10542" width="36.85546875" style="147" customWidth="1"/>
    <col min="10543" max="10543" width="37.140625" style="147" customWidth="1"/>
    <col min="10544" max="10545" width="36.85546875" style="147" customWidth="1"/>
    <col min="10546" max="10546" width="36.5703125" style="147" customWidth="1"/>
    <col min="10547" max="10548" width="36.85546875" style="147" customWidth="1"/>
    <col min="10549" max="10549" width="36.5703125" style="147" customWidth="1"/>
    <col min="10550" max="10550" width="37" style="147" customWidth="1"/>
    <col min="10551" max="10569" width="36.85546875" style="147" customWidth="1"/>
    <col min="10570" max="10570" width="37" style="147" customWidth="1"/>
    <col min="10571" max="10588" width="36.85546875" style="147" customWidth="1"/>
    <col min="10589" max="10589" width="36.5703125" style="147" customWidth="1"/>
    <col min="10590" max="10602" width="36.85546875" style="147" customWidth="1"/>
    <col min="10603" max="10603" width="36.5703125" style="147" customWidth="1"/>
    <col min="10604" max="10606" width="36.85546875" style="147" customWidth="1"/>
    <col min="10607" max="10607" width="36.5703125" style="147" customWidth="1"/>
    <col min="10608" max="10615" width="36.85546875" style="147" customWidth="1"/>
    <col min="10616" max="10616" width="36.5703125" style="147" customWidth="1"/>
    <col min="10617" max="10754" width="36.85546875" style="147"/>
    <col min="10755" max="10755" width="18.5703125" style="147" customWidth="1"/>
    <col min="10756" max="10764" width="31.42578125" style="147" customWidth="1"/>
    <col min="10765" max="10781" width="36.85546875" style="147" customWidth="1"/>
    <col min="10782" max="10782" width="37" style="147" customWidth="1"/>
    <col min="10783" max="10798" width="36.85546875" style="147" customWidth="1"/>
    <col min="10799" max="10799" width="37.140625" style="147" customWidth="1"/>
    <col min="10800" max="10801" width="36.85546875" style="147" customWidth="1"/>
    <col min="10802" max="10802" width="36.5703125" style="147" customWidth="1"/>
    <col min="10803" max="10804" width="36.85546875" style="147" customWidth="1"/>
    <col min="10805" max="10805" width="36.5703125" style="147" customWidth="1"/>
    <col min="10806" max="10806" width="37" style="147" customWidth="1"/>
    <col min="10807" max="10825" width="36.85546875" style="147" customWidth="1"/>
    <col min="10826" max="10826" width="37" style="147" customWidth="1"/>
    <col min="10827" max="10844" width="36.85546875" style="147" customWidth="1"/>
    <col min="10845" max="10845" width="36.5703125" style="147" customWidth="1"/>
    <col min="10846" max="10858" width="36.85546875" style="147" customWidth="1"/>
    <col min="10859" max="10859" width="36.5703125" style="147" customWidth="1"/>
    <col min="10860" max="10862" width="36.85546875" style="147" customWidth="1"/>
    <col min="10863" max="10863" width="36.5703125" style="147" customWidth="1"/>
    <col min="10864" max="10871" width="36.85546875" style="147" customWidth="1"/>
    <col min="10872" max="10872" width="36.5703125" style="147" customWidth="1"/>
    <col min="10873" max="11010" width="36.85546875" style="147"/>
    <col min="11011" max="11011" width="18.5703125" style="147" customWidth="1"/>
    <col min="11012" max="11020" width="31.42578125" style="147" customWidth="1"/>
    <col min="11021" max="11037" width="36.85546875" style="147" customWidth="1"/>
    <col min="11038" max="11038" width="37" style="147" customWidth="1"/>
    <col min="11039" max="11054" width="36.85546875" style="147" customWidth="1"/>
    <col min="11055" max="11055" width="37.140625" style="147" customWidth="1"/>
    <col min="11056" max="11057" width="36.85546875" style="147" customWidth="1"/>
    <col min="11058" max="11058" width="36.5703125" style="147" customWidth="1"/>
    <col min="11059" max="11060" width="36.85546875" style="147" customWidth="1"/>
    <col min="11061" max="11061" width="36.5703125" style="147" customWidth="1"/>
    <col min="11062" max="11062" width="37" style="147" customWidth="1"/>
    <col min="11063" max="11081" width="36.85546875" style="147" customWidth="1"/>
    <col min="11082" max="11082" width="37" style="147" customWidth="1"/>
    <col min="11083" max="11100" width="36.85546875" style="147" customWidth="1"/>
    <col min="11101" max="11101" width="36.5703125" style="147" customWidth="1"/>
    <col min="11102" max="11114" width="36.85546875" style="147" customWidth="1"/>
    <col min="11115" max="11115" width="36.5703125" style="147" customWidth="1"/>
    <col min="11116" max="11118" width="36.85546875" style="147" customWidth="1"/>
    <col min="11119" max="11119" width="36.5703125" style="147" customWidth="1"/>
    <col min="11120" max="11127" width="36.85546875" style="147" customWidth="1"/>
    <col min="11128" max="11128" width="36.5703125" style="147" customWidth="1"/>
    <col min="11129" max="11266" width="36.85546875" style="147"/>
    <col min="11267" max="11267" width="18.5703125" style="147" customWidth="1"/>
    <col min="11268" max="11276" width="31.42578125" style="147" customWidth="1"/>
    <col min="11277" max="11293" width="36.85546875" style="147" customWidth="1"/>
    <col min="11294" max="11294" width="37" style="147" customWidth="1"/>
    <col min="11295" max="11310" width="36.85546875" style="147" customWidth="1"/>
    <col min="11311" max="11311" width="37.140625" style="147" customWidth="1"/>
    <col min="11312" max="11313" width="36.85546875" style="147" customWidth="1"/>
    <col min="11314" max="11314" width="36.5703125" style="147" customWidth="1"/>
    <col min="11315" max="11316" width="36.85546875" style="147" customWidth="1"/>
    <col min="11317" max="11317" width="36.5703125" style="147" customWidth="1"/>
    <col min="11318" max="11318" width="37" style="147" customWidth="1"/>
    <col min="11319" max="11337" width="36.85546875" style="147" customWidth="1"/>
    <col min="11338" max="11338" width="37" style="147" customWidth="1"/>
    <col min="11339" max="11356" width="36.85546875" style="147" customWidth="1"/>
    <col min="11357" max="11357" width="36.5703125" style="147" customWidth="1"/>
    <col min="11358" max="11370" width="36.85546875" style="147" customWidth="1"/>
    <col min="11371" max="11371" width="36.5703125" style="147" customWidth="1"/>
    <col min="11372" max="11374" width="36.85546875" style="147" customWidth="1"/>
    <col min="11375" max="11375" width="36.5703125" style="147" customWidth="1"/>
    <col min="11376" max="11383" width="36.85546875" style="147" customWidth="1"/>
    <col min="11384" max="11384" width="36.5703125" style="147" customWidth="1"/>
    <col min="11385" max="11522" width="36.85546875" style="147"/>
    <col min="11523" max="11523" width="18.5703125" style="147" customWidth="1"/>
    <col min="11524" max="11532" width="31.42578125" style="147" customWidth="1"/>
    <col min="11533" max="11549" width="36.85546875" style="147" customWidth="1"/>
    <col min="11550" max="11550" width="37" style="147" customWidth="1"/>
    <col min="11551" max="11566" width="36.85546875" style="147" customWidth="1"/>
    <col min="11567" max="11567" width="37.140625" style="147" customWidth="1"/>
    <col min="11568" max="11569" width="36.85546875" style="147" customWidth="1"/>
    <col min="11570" max="11570" width="36.5703125" style="147" customWidth="1"/>
    <col min="11571" max="11572" width="36.85546875" style="147" customWidth="1"/>
    <col min="11573" max="11573" width="36.5703125" style="147" customWidth="1"/>
    <col min="11574" max="11574" width="37" style="147" customWidth="1"/>
    <col min="11575" max="11593" width="36.85546875" style="147" customWidth="1"/>
    <col min="11594" max="11594" width="37" style="147" customWidth="1"/>
    <col min="11595" max="11612" width="36.85546875" style="147" customWidth="1"/>
    <col min="11613" max="11613" width="36.5703125" style="147" customWidth="1"/>
    <col min="11614" max="11626" width="36.85546875" style="147" customWidth="1"/>
    <col min="11627" max="11627" width="36.5703125" style="147" customWidth="1"/>
    <col min="11628" max="11630" width="36.85546875" style="147" customWidth="1"/>
    <col min="11631" max="11631" width="36.5703125" style="147" customWidth="1"/>
    <col min="11632" max="11639" width="36.85546875" style="147" customWidth="1"/>
    <col min="11640" max="11640" width="36.5703125" style="147" customWidth="1"/>
    <col min="11641" max="11778" width="36.85546875" style="147"/>
    <col min="11779" max="11779" width="18.5703125" style="147" customWidth="1"/>
    <col min="11780" max="11788" width="31.42578125" style="147" customWidth="1"/>
    <col min="11789" max="11805" width="36.85546875" style="147" customWidth="1"/>
    <col min="11806" max="11806" width="37" style="147" customWidth="1"/>
    <col min="11807" max="11822" width="36.85546875" style="147" customWidth="1"/>
    <col min="11823" max="11823" width="37.140625" style="147" customWidth="1"/>
    <col min="11824" max="11825" width="36.85546875" style="147" customWidth="1"/>
    <col min="11826" max="11826" width="36.5703125" style="147" customWidth="1"/>
    <col min="11827" max="11828" width="36.85546875" style="147" customWidth="1"/>
    <col min="11829" max="11829" width="36.5703125" style="147" customWidth="1"/>
    <col min="11830" max="11830" width="37" style="147" customWidth="1"/>
    <col min="11831" max="11849" width="36.85546875" style="147" customWidth="1"/>
    <col min="11850" max="11850" width="37" style="147" customWidth="1"/>
    <col min="11851" max="11868" width="36.85546875" style="147" customWidth="1"/>
    <col min="11869" max="11869" width="36.5703125" style="147" customWidth="1"/>
    <col min="11870" max="11882" width="36.85546875" style="147" customWidth="1"/>
    <col min="11883" max="11883" width="36.5703125" style="147" customWidth="1"/>
    <col min="11884" max="11886" width="36.85546875" style="147" customWidth="1"/>
    <col min="11887" max="11887" width="36.5703125" style="147" customWidth="1"/>
    <col min="11888" max="11895" width="36.85546875" style="147" customWidth="1"/>
    <col min="11896" max="11896" width="36.5703125" style="147" customWidth="1"/>
    <col min="11897" max="12034" width="36.85546875" style="147"/>
    <col min="12035" max="12035" width="18.5703125" style="147" customWidth="1"/>
    <col min="12036" max="12044" width="31.42578125" style="147" customWidth="1"/>
    <col min="12045" max="12061" width="36.85546875" style="147" customWidth="1"/>
    <col min="12062" max="12062" width="37" style="147" customWidth="1"/>
    <col min="12063" max="12078" width="36.85546875" style="147" customWidth="1"/>
    <col min="12079" max="12079" width="37.140625" style="147" customWidth="1"/>
    <col min="12080" max="12081" width="36.85546875" style="147" customWidth="1"/>
    <col min="12082" max="12082" width="36.5703125" style="147" customWidth="1"/>
    <col min="12083" max="12084" width="36.85546875" style="147" customWidth="1"/>
    <col min="12085" max="12085" width="36.5703125" style="147" customWidth="1"/>
    <col min="12086" max="12086" width="37" style="147" customWidth="1"/>
    <col min="12087" max="12105" width="36.85546875" style="147" customWidth="1"/>
    <col min="12106" max="12106" width="37" style="147" customWidth="1"/>
    <col min="12107" max="12124" width="36.85546875" style="147" customWidth="1"/>
    <col min="12125" max="12125" width="36.5703125" style="147" customWidth="1"/>
    <col min="12126" max="12138" width="36.85546875" style="147" customWidth="1"/>
    <col min="12139" max="12139" width="36.5703125" style="147" customWidth="1"/>
    <col min="12140" max="12142" width="36.85546875" style="147" customWidth="1"/>
    <col min="12143" max="12143" width="36.5703125" style="147" customWidth="1"/>
    <col min="12144" max="12151" width="36.85546875" style="147" customWidth="1"/>
    <col min="12152" max="12152" width="36.5703125" style="147" customWidth="1"/>
    <col min="12153" max="12290" width="36.85546875" style="147"/>
    <col min="12291" max="12291" width="18.5703125" style="147" customWidth="1"/>
    <col min="12292" max="12300" width="31.42578125" style="147" customWidth="1"/>
    <col min="12301" max="12317" width="36.85546875" style="147" customWidth="1"/>
    <col min="12318" max="12318" width="37" style="147" customWidth="1"/>
    <col min="12319" max="12334" width="36.85546875" style="147" customWidth="1"/>
    <col min="12335" max="12335" width="37.140625" style="147" customWidth="1"/>
    <col min="12336" max="12337" width="36.85546875" style="147" customWidth="1"/>
    <col min="12338" max="12338" width="36.5703125" style="147" customWidth="1"/>
    <col min="12339" max="12340" width="36.85546875" style="147" customWidth="1"/>
    <col min="12341" max="12341" width="36.5703125" style="147" customWidth="1"/>
    <col min="12342" max="12342" width="37" style="147" customWidth="1"/>
    <col min="12343" max="12361" width="36.85546875" style="147" customWidth="1"/>
    <col min="12362" max="12362" width="37" style="147" customWidth="1"/>
    <col min="12363" max="12380" width="36.85546875" style="147" customWidth="1"/>
    <col min="12381" max="12381" width="36.5703125" style="147" customWidth="1"/>
    <col min="12382" max="12394" width="36.85546875" style="147" customWidth="1"/>
    <col min="12395" max="12395" width="36.5703125" style="147" customWidth="1"/>
    <col min="12396" max="12398" width="36.85546875" style="147" customWidth="1"/>
    <col min="12399" max="12399" width="36.5703125" style="147" customWidth="1"/>
    <col min="12400" max="12407" width="36.85546875" style="147" customWidth="1"/>
    <col min="12408" max="12408" width="36.5703125" style="147" customWidth="1"/>
    <col min="12409" max="12546" width="36.85546875" style="147"/>
    <col min="12547" max="12547" width="18.5703125" style="147" customWidth="1"/>
    <col min="12548" max="12556" width="31.42578125" style="147" customWidth="1"/>
    <col min="12557" max="12573" width="36.85546875" style="147" customWidth="1"/>
    <col min="12574" max="12574" width="37" style="147" customWidth="1"/>
    <col min="12575" max="12590" width="36.85546875" style="147" customWidth="1"/>
    <col min="12591" max="12591" width="37.140625" style="147" customWidth="1"/>
    <col min="12592" max="12593" width="36.85546875" style="147" customWidth="1"/>
    <col min="12594" max="12594" width="36.5703125" style="147" customWidth="1"/>
    <col min="12595" max="12596" width="36.85546875" style="147" customWidth="1"/>
    <col min="12597" max="12597" width="36.5703125" style="147" customWidth="1"/>
    <col min="12598" max="12598" width="37" style="147" customWidth="1"/>
    <col min="12599" max="12617" width="36.85546875" style="147" customWidth="1"/>
    <col min="12618" max="12618" width="37" style="147" customWidth="1"/>
    <col min="12619" max="12636" width="36.85546875" style="147" customWidth="1"/>
    <col min="12637" max="12637" width="36.5703125" style="147" customWidth="1"/>
    <col min="12638" max="12650" width="36.85546875" style="147" customWidth="1"/>
    <col min="12651" max="12651" width="36.5703125" style="147" customWidth="1"/>
    <col min="12652" max="12654" width="36.85546875" style="147" customWidth="1"/>
    <col min="12655" max="12655" width="36.5703125" style="147" customWidth="1"/>
    <col min="12656" max="12663" width="36.85546875" style="147" customWidth="1"/>
    <col min="12664" max="12664" width="36.5703125" style="147" customWidth="1"/>
    <col min="12665" max="12802" width="36.85546875" style="147"/>
    <col min="12803" max="12803" width="18.5703125" style="147" customWidth="1"/>
    <col min="12804" max="12812" width="31.42578125" style="147" customWidth="1"/>
    <col min="12813" max="12829" width="36.85546875" style="147" customWidth="1"/>
    <col min="12830" max="12830" width="37" style="147" customWidth="1"/>
    <col min="12831" max="12846" width="36.85546875" style="147" customWidth="1"/>
    <col min="12847" max="12847" width="37.140625" style="147" customWidth="1"/>
    <col min="12848" max="12849" width="36.85546875" style="147" customWidth="1"/>
    <col min="12850" max="12850" width="36.5703125" style="147" customWidth="1"/>
    <col min="12851" max="12852" width="36.85546875" style="147" customWidth="1"/>
    <col min="12853" max="12853" width="36.5703125" style="147" customWidth="1"/>
    <col min="12854" max="12854" width="37" style="147" customWidth="1"/>
    <col min="12855" max="12873" width="36.85546875" style="147" customWidth="1"/>
    <col min="12874" max="12874" width="37" style="147" customWidth="1"/>
    <col min="12875" max="12892" width="36.85546875" style="147" customWidth="1"/>
    <col min="12893" max="12893" width="36.5703125" style="147" customWidth="1"/>
    <col min="12894" max="12906" width="36.85546875" style="147" customWidth="1"/>
    <col min="12907" max="12907" width="36.5703125" style="147" customWidth="1"/>
    <col min="12908" max="12910" width="36.85546875" style="147" customWidth="1"/>
    <col min="12911" max="12911" width="36.5703125" style="147" customWidth="1"/>
    <col min="12912" max="12919" width="36.85546875" style="147" customWidth="1"/>
    <col min="12920" max="12920" width="36.5703125" style="147" customWidth="1"/>
    <col min="12921" max="13058" width="36.85546875" style="147"/>
    <col min="13059" max="13059" width="18.5703125" style="147" customWidth="1"/>
    <col min="13060" max="13068" width="31.42578125" style="147" customWidth="1"/>
    <col min="13069" max="13085" width="36.85546875" style="147" customWidth="1"/>
    <col min="13086" max="13086" width="37" style="147" customWidth="1"/>
    <col min="13087" max="13102" width="36.85546875" style="147" customWidth="1"/>
    <col min="13103" max="13103" width="37.140625" style="147" customWidth="1"/>
    <col min="13104" max="13105" width="36.85546875" style="147" customWidth="1"/>
    <col min="13106" max="13106" width="36.5703125" style="147" customWidth="1"/>
    <col min="13107" max="13108" width="36.85546875" style="147" customWidth="1"/>
    <col min="13109" max="13109" width="36.5703125" style="147" customWidth="1"/>
    <col min="13110" max="13110" width="37" style="147" customWidth="1"/>
    <col min="13111" max="13129" width="36.85546875" style="147" customWidth="1"/>
    <col min="13130" max="13130" width="37" style="147" customWidth="1"/>
    <col min="13131" max="13148" width="36.85546875" style="147" customWidth="1"/>
    <col min="13149" max="13149" width="36.5703125" style="147" customWidth="1"/>
    <col min="13150" max="13162" width="36.85546875" style="147" customWidth="1"/>
    <col min="13163" max="13163" width="36.5703125" style="147" customWidth="1"/>
    <col min="13164" max="13166" width="36.85546875" style="147" customWidth="1"/>
    <col min="13167" max="13167" width="36.5703125" style="147" customWidth="1"/>
    <col min="13168" max="13175" width="36.85546875" style="147" customWidth="1"/>
    <col min="13176" max="13176" width="36.5703125" style="147" customWidth="1"/>
    <col min="13177" max="13314" width="36.85546875" style="147"/>
    <col min="13315" max="13315" width="18.5703125" style="147" customWidth="1"/>
    <col min="13316" max="13324" width="31.42578125" style="147" customWidth="1"/>
    <col min="13325" max="13341" width="36.85546875" style="147" customWidth="1"/>
    <col min="13342" max="13342" width="37" style="147" customWidth="1"/>
    <col min="13343" max="13358" width="36.85546875" style="147" customWidth="1"/>
    <col min="13359" max="13359" width="37.140625" style="147" customWidth="1"/>
    <col min="13360" max="13361" width="36.85546875" style="147" customWidth="1"/>
    <col min="13362" max="13362" width="36.5703125" style="147" customWidth="1"/>
    <col min="13363" max="13364" width="36.85546875" style="147" customWidth="1"/>
    <col min="13365" max="13365" width="36.5703125" style="147" customWidth="1"/>
    <col min="13366" max="13366" width="37" style="147" customWidth="1"/>
    <col min="13367" max="13385" width="36.85546875" style="147" customWidth="1"/>
    <col min="13386" max="13386" width="37" style="147" customWidth="1"/>
    <col min="13387" max="13404" width="36.85546875" style="147" customWidth="1"/>
    <col min="13405" max="13405" width="36.5703125" style="147" customWidth="1"/>
    <col min="13406" max="13418" width="36.85546875" style="147" customWidth="1"/>
    <col min="13419" max="13419" width="36.5703125" style="147" customWidth="1"/>
    <col min="13420" max="13422" width="36.85546875" style="147" customWidth="1"/>
    <col min="13423" max="13423" width="36.5703125" style="147" customWidth="1"/>
    <col min="13424" max="13431" width="36.85546875" style="147" customWidth="1"/>
    <col min="13432" max="13432" width="36.5703125" style="147" customWidth="1"/>
    <col min="13433" max="13570" width="36.85546875" style="147"/>
    <col min="13571" max="13571" width="18.5703125" style="147" customWidth="1"/>
    <col min="13572" max="13580" width="31.42578125" style="147" customWidth="1"/>
    <col min="13581" max="13597" width="36.85546875" style="147" customWidth="1"/>
    <col min="13598" max="13598" width="37" style="147" customWidth="1"/>
    <col min="13599" max="13614" width="36.85546875" style="147" customWidth="1"/>
    <col min="13615" max="13615" width="37.140625" style="147" customWidth="1"/>
    <col min="13616" max="13617" width="36.85546875" style="147" customWidth="1"/>
    <col min="13618" max="13618" width="36.5703125" style="147" customWidth="1"/>
    <col min="13619" max="13620" width="36.85546875" style="147" customWidth="1"/>
    <col min="13621" max="13621" width="36.5703125" style="147" customWidth="1"/>
    <col min="13622" max="13622" width="37" style="147" customWidth="1"/>
    <col min="13623" max="13641" width="36.85546875" style="147" customWidth="1"/>
    <col min="13642" max="13642" width="37" style="147" customWidth="1"/>
    <col min="13643" max="13660" width="36.85546875" style="147" customWidth="1"/>
    <col min="13661" max="13661" width="36.5703125" style="147" customWidth="1"/>
    <col min="13662" max="13674" width="36.85546875" style="147" customWidth="1"/>
    <col min="13675" max="13675" width="36.5703125" style="147" customWidth="1"/>
    <col min="13676" max="13678" width="36.85546875" style="147" customWidth="1"/>
    <col min="13679" max="13679" width="36.5703125" style="147" customWidth="1"/>
    <col min="13680" max="13687" width="36.85546875" style="147" customWidth="1"/>
    <col min="13688" max="13688" width="36.5703125" style="147" customWidth="1"/>
    <col min="13689" max="13826" width="36.85546875" style="147"/>
    <col min="13827" max="13827" width="18.5703125" style="147" customWidth="1"/>
    <col min="13828" max="13836" width="31.42578125" style="147" customWidth="1"/>
    <col min="13837" max="13853" width="36.85546875" style="147" customWidth="1"/>
    <col min="13854" max="13854" width="37" style="147" customWidth="1"/>
    <col min="13855" max="13870" width="36.85546875" style="147" customWidth="1"/>
    <col min="13871" max="13871" width="37.140625" style="147" customWidth="1"/>
    <col min="13872" max="13873" width="36.85546875" style="147" customWidth="1"/>
    <col min="13874" max="13874" width="36.5703125" style="147" customWidth="1"/>
    <col min="13875" max="13876" width="36.85546875" style="147" customWidth="1"/>
    <col min="13877" max="13877" width="36.5703125" style="147" customWidth="1"/>
    <col min="13878" max="13878" width="37" style="147" customWidth="1"/>
    <col min="13879" max="13897" width="36.85546875" style="147" customWidth="1"/>
    <col min="13898" max="13898" width="37" style="147" customWidth="1"/>
    <col min="13899" max="13916" width="36.85546875" style="147" customWidth="1"/>
    <col min="13917" max="13917" width="36.5703125" style="147" customWidth="1"/>
    <col min="13918" max="13930" width="36.85546875" style="147" customWidth="1"/>
    <col min="13931" max="13931" width="36.5703125" style="147" customWidth="1"/>
    <col min="13932" max="13934" width="36.85546875" style="147" customWidth="1"/>
    <col min="13935" max="13935" width="36.5703125" style="147" customWidth="1"/>
    <col min="13936" max="13943" width="36.85546875" style="147" customWidth="1"/>
    <col min="13944" max="13944" width="36.5703125" style="147" customWidth="1"/>
    <col min="13945" max="14082" width="36.85546875" style="147"/>
    <col min="14083" max="14083" width="18.5703125" style="147" customWidth="1"/>
    <col min="14084" max="14092" width="31.42578125" style="147" customWidth="1"/>
    <col min="14093" max="14109" width="36.85546875" style="147" customWidth="1"/>
    <col min="14110" max="14110" width="37" style="147" customWidth="1"/>
    <col min="14111" max="14126" width="36.85546875" style="147" customWidth="1"/>
    <col min="14127" max="14127" width="37.140625" style="147" customWidth="1"/>
    <col min="14128" max="14129" width="36.85546875" style="147" customWidth="1"/>
    <col min="14130" max="14130" width="36.5703125" style="147" customWidth="1"/>
    <col min="14131" max="14132" width="36.85546875" style="147" customWidth="1"/>
    <col min="14133" max="14133" width="36.5703125" style="147" customWidth="1"/>
    <col min="14134" max="14134" width="37" style="147" customWidth="1"/>
    <col min="14135" max="14153" width="36.85546875" style="147" customWidth="1"/>
    <col min="14154" max="14154" width="37" style="147" customWidth="1"/>
    <col min="14155" max="14172" width="36.85546875" style="147" customWidth="1"/>
    <col min="14173" max="14173" width="36.5703125" style="147" customWidth="1"/>
    <col min="14174" max="14186" width="36.85546875" style="147" customWidth="1"/>
    <col min="14187" max="14187" width="36.5703125" style="147" customWidth="1"/>
    <col min="14188" max="14190" width="36.85546875" style="147" customWidth="1"/>
    <col min="14191" max="14191" width="36.5703125" style="147" customWidth="1"/>
    <col min="14192" max="14199" width="36.85546875" style="147" customWidth="1"/>
    <col min="14200" max="14200" width="36.5703125" style="147" customWidth="1"/>
    <col min="14201" max="14338" width="36.85546875" style="147"/>
    <col min="14339" max="14339" width="18.5703125" style="147" customWidth="1"/>
    <col min="14340" max="14348" width="31.42578125" style="147" customWidth="1"/>
    <col min="14349" max="14365" width="36.85546875" style="147" customWidth="1"/>
    <col min="14366" max="14366" width="37" style="147" customWidth="1"/>
    <col min="14367" max="14382" width="36.85546875" style="147" customWidth="1"/>
    <col min="14383" max="14383" width="37.140625" style="147" customWidth="1"/>
    <col min="14384" max="14385" width="36.85546875" style="147" customWidth="1"/>
    <col min="14386" max="14386" width="36.5703125" style="147" customWidth="1"/>
    <col min="14387" max="14388" width="36.85546875" style="147" customWidth="1"/>
    <col min="14389" max="14389" width="36.5703125" style="147" customWidth="1"/>
    <col min="14390" max="14390" width="37" style="147" customWidth="1"/>
    <col min="14391" max="14409" width="36.85546875" style="147" customWidth="1"/>
    <col min="14410" max="14410" width="37" style="147" customWidth="1"/>
    <col min="14411" max="14428" width="36.85546875" style="147" customWidth="1"/>
    <col min="14429" max="14429" width="36.5703125" style="147" customWidth="1"/>
    <col min="14430" max="14442" width="36.85546875" style="147" customWidth="1"/>
    <col min="14443" max="14443" width="36.5703125" style="147" customWidth="1"/>
    <col min="14444" max="14446" width="36.85546875" style="147" customWidth="1"/>
    <col min="14447" max="14447" width="36.5703125" style="147" customWidth="1"/>
    <col min="14448" max="14455" width="36.85546875" style="147" customWidth="1"/>
    <col min="14456" max="14456" width="36.5703125" style="147" customWidth="1"/>
    <col min="14457" max="14594" width="36.85546875" style="147"/>
    <col min="14595" max="14595" width="18.5703125" style="147" customWidth="1"/>
    <col min="14596" max="14604" width="31.42578125" style="147" customWidth="1"/>
    <col min="14605" max="14621" width="36.85546875" style="147" customWidth="1"/>
    <col min="14622" max="14622" width="37" style="147" customWidth="1"/>
    <col min="14623" max="14638" width="36.85546875" style="147" customWidth="1"/>
    <col min="14639" max="14639" width="37.140625" style="147" customWidth="1"/>
    <col min="14640" max="14641" width="36.85546875" style="147" customWidth="1"/>
    <col min="14642" max="14642" width="36.5703125" style="147" customWidth="1"/>
    <col min="14643" max="14644" width="36.85546875" style="147" customWidth="1"/>
    <col min="14645" max="14645" width="36.5703125" style="147" customWidth="1"/>
    <col min="14646" max="14646" width="37" style="147" customWidth="1"/>
    <col min="14647" max="14665" width="36.85546875" style="147" customWidth="1"/>
    <col min="14666" max="14666" width="37" style="147" customWidth="1"/>
    <col min="14667" max="14684" width="36.85546875" style="147" customWidth="1"/>
    <col min="14685" max="14685" width="36.5703125" style="147" customWidth="1"/>
    <col min="14686" max="14698" width="36.85546875" style="147" customWidth="1"/>
    <col min="14699" max="14699" width="36.5703125" style="147" customWidth="1"/>
    <col min="14700" max="14702" width="36.85546875" style="147" customWidth="1"/>
    <col min="14703" max="14703" width="36.5703125" style="147" customWidth="1"/>
    <col min="14704" max="14711" width="36.85546875" style="147" customWidth="1"/>
    <col min="14712" max="14712" width="36.5703125" style="147" customWidth="1"/>
    <col min="14713" max="14850" width="36.85546875" style="147"/>
    <col min="14851" max="14851" width="18.5703125" style="147" customWidth="1"/>
    <col min="14852" max="14860" width="31.42578125" style="147" customWidth="1"/>
    <col min="14861" max="14877" width="36.85546875" style="147" customWidth="1"/>
    <col min="14878" max="14878" width="37" style="147" customWidth="1"/>
    <col min="14879" max="14894" width="36.85546875" style="147" customWidth="1"/>
    <col min="14895" max="14895" width="37.140625" style="147" customWidth="1"/>
    <col min="14896" max="14897" width="36.85546875" style="147" customWidth="1"/>
    <col min="14898" max="14898" width="36.5703125" style="147" customWidth="1"/>
    <col min="14899" max="14900" width="36.85546875" style="147" customWidth="1"/>
    <col min="14901" max="14901" width="36.5703125" style="147" customWidth="1"/>
    <col min="14902" max="14902" width="37" style="147" customWidth="1"/>
    <col min="14903" max="14921" width="36.85546875" style="147" customWidth="1"/>
    <col min="14922" max="14922" width="37" style="147" customWidth="1"/>
    <col min="14923" max="14940" width="36.85546875" style="147" customWidth="1"/>
    <col min="14941" max="14941" width="36.5703125" style="147" customWidth="1"/>
    <col min="14942" max="14954" width="36.85546875" style="147" customWidth="1"/>
    <col min="14955" max="14955" width="36.5703125" style="147" customWidth="1"/>
    <col min="14956" max="14958" width="36.85546875" style="147" customWidth="1"/>
    <col min="14959" max="14959" width="36.5703125" style="147" customWidth="1"/>
    <col min="14960" max="14967" width="36.85546875" style="147" customWidth="1"/>
    <col min="14968" max="14968" width="36.5703125" style="147" customWidth="1"/>
    <col min="14969" max="15106" width="36.85546875" style="147"/>
    <col min="15107" max="15107" width="18.5703125" style="147" customWidth="1"/>
    <col min="15108" max="15116" width="31.42578125" style="147" customWidth="1"/>
    <col min="15117" max="15133" width="36.85546875" style="147" customWidth="1"/>
    <col min="15134" max="15134" width="37" style="147" customWidth="1"/>
    <col min="15135" max="15150" width="36.85546875" style="147" customWidth="1"/>
    <col min="15151" max="15151" width="37.140625" style="147" customWidth="1"/>
    <col min="15152" max="15153" width="36.85546875" style="147" customWidth="1"/>
    <col min="15154" max="15154" width="36.5703125" style="147" customWidth="1"/>
    <col min="15155" max="15156" width="36.85546875" style="147" customWidth="1"/>
    <col min="15157" max="15157" width="36.5703125" style="147" customWidth="1"/>
    <col min="15158" max="15158" width="37" style="147" customWidth="1"/>
    <col min="15159" max="15177" width="36.85546875" style="147" customWidth="1"/>
    <col min="15178" max="15178" width="37" style="147" customWidth="1"/>
    <col min="15179" max="15196" width="36.85546875" style="147" customWidth="1"/>
    <col min="15197" max="15197" width="36.5703125" style="147" customWidth="1"/>
    <col min="15198" max="15210" width="36.85546875" style="147" customWidth="1"/>
    <col min="15211" max="15211" width="36.5703125" style="147" customWidth="1"/>
    <col min="15212" max="15214" width="36.85546875" style="147" customWidth="1"/>
    <col min="15215" max="15215" width="36.5703125" style="147" customWidth="1"/>
    <col min="15216" max="15223" width="36.85546875" style="147" customWidth="1"/>
    <col min="15224" max="15224" width="36.5703125" style="147" customWidth="1"/>
    <col min="15225" max="15362" width="36.85546875" style="147"/>
    <col min="15363" max="15363" width="18.5703125" style="147" customWidth="1"/>
    <col min="15364" max="15372" width="31.42578125" style="147" customWidth="1"/>
    <col min="15373" max="15389" width="36.85546875" style="147" customWidth="1"/>
    <col min="15390" max="15390" width="37" style="147" customWidth="1"/>
    <col min="15391" max="15406" width="36.85546875" style="147" customWidth="1"/>
    <col min="15407" max="15407" width="37.140625" style="147" customWidth="1"/>
    <col min="15408" max="15409" width="36.85546875" style="147" customWidth="1"/>
    <col min="15410" max="15410" width="36.5703125" style="147" customWidth="1"/>
    <col min="15411" max="15412" width="36.85546875" style="147" customWidth="1"/>
    <col min="15413" max="15413" width="36.5703125" style="147" customWidth="1"/>
    <col min="15414" max="15414" width="37" style="147" customWidth="1"/>
    <col min="15415" max="15433" width="36.85546875" style="147" customWidth="1"/>
    <col min="15434" max="15434" width="37" style="147" customWidth="1"/>
    <col min="15435" max="15452" width="36.85546875" style="147" customWidth="1"/>
    <col min="15453" max="15453" width="36.5703125" style="147" customWidth="1"/>
    <col min="15454" max="15466" width="36.85546875" style="147" customWidth="1"/>
    <col min="15467" max="15467" width="36.5703125" style="147" customWidth="1"/>
    <col min="15468" max="15470" width="36.85546875" style="147" customWidth="1"/>
    <col min="15471" max="15471" width="36.5703125" style="147" customWidth="1"/>
    <col min="15472" max="15479" width="36.85546875" style="147" customWidth="1"/>
    <col min="15480" max="15480" width="36.5703125" style="147" customWidth="1"/>
    <col min="15481" max="15618" width="36.85546875" style="147"/>
    <col min="15619" max="15619" width="18.5703125" style="147" customWidth="1"/>
    <col min="15620" max="15628" width="31.42578125" style="147" customWidth="1"/>
    <col min="15629" max="15645" width="36.85546875" style="147" customWidth="1"/>
    <col min="15646" max="15646" width="37" style="147" customWidth="1"/>
    <col min="15647" max="15662" width="36.85546875" style="147" customWidth="1"/>
    <col min="15663" max="15663" width="37.140625" style="147" customWidth="1"/>
    <col min="15664" max="15665" width="36.85546875" style="147" customWidth="1"/>
    <col min="15666" max="15666" width="36.5703125" style="147" customWidth="1"/>
    <col min="15667" max="15668" width="36.85546875" style="147" customWidth="1"/>
    <col min="15669" max="15669" width="36.5703125" style="147" customWidth="1"/>
    <col min="15670" max="15670" width="37" style="147" customWidth="1"/>
    <col min="15671" max="15689" width="36.85546875" style="147" customWidth="1"/>
    <col min="15690" max="15690" width="37" style="147" customWidth="1"/>
    <col min="15691" max="15708" width="36.85546875" style="147" customWidth="1"/>
    <col min="15709" max="15709" width="36.5703125" style="147" customWidth="1"/>
    <col min="15710" max="15722" width="36.85546875" style="147" customWidth="1"/>
    <col min="15723" max="15723" width="36.5703125" style="147" customWidth="1"/>
    <col min="15724" max="15726" width="36.85546875" style="147" customWidth="1"/>
    <col min="15727" max="15727" width="36.5703125" style="147" customWidth="1"/>
    <col min="15728" max="15735" width="36.85546875" style="147" customWidth="1"/>
    <col min="15736" max="15736" width="36.5703125" style="147" customWidth="1"/>
    <col min="15737" max="15874" width="36.85546875" style="147"/>
    <col min="15875" max="15875" width="18.5703125" style="147" customWidth="1"/>
    <col min="15876" max="15884" width="31.42578125" style="147" customWidth="1"/>
    <col min="15885" max="15901" width="36.85546875" style="147" customWidth="1"/>
    <col min="15902" max="15902" width="37" style="147" customWidth="1"/>
    <col min="15903" max="15918" width="36.85546875" style="147" customWidth="1"/>
    <col min="15919" max="15919" width="37.140625" style="147" customWidth="1"/>
    <col min="15920" max="15921" width="36.85546875" style="147" customWidth="1"/>
    <col min="15922" max="15922" width="36.5703125" style="147" customWidth="1"/>
    <col min="15923" max="15924" width="36.85546875" style="147" customWidth="1"/>
    <col min="15925" max="15925" width="36.5703125" style="147" customWidth="1"/>
    <col min="15926" max="15926" width="37" style="147" customWidth="1"/>
    <col min="15927" max="15945" width="36.85546875" style="147" customWidth="1"/>
    <col min="15946" max="15946" width="37" style="147" customWidth="1"/>
    <col min="15947" max="15964" width="36.85546875" style="147" customWidth="1"/>
    <col min="15965" max="15965" width="36.5703125" style="147" customWidth="1"/>
    <col min="15966" max="15978" width="36.85546875" style="147" customWidth="1"/>
    <col min="15979" max="15979" width="36.5703125" style="147" customWidth="1"/>
    <col min="15980" max="15982" width="36.85546875" style="147" customWidth="1"/>
    <col min="15983" max="15983" width="36.5703125" style="147" customWidth="1"/>
    <col min="15984" max="15991" width="36.85546875" style="147" customWidth="1"/>
    <col min="15992" max="15992" width="36.5703125" style="147" customWidth="1"/>
    <col min="15993" max="16130" width="36.85546875" style="147"/>
    <col min="16131" max="16131" width="18.5703125" style="147" customWidth="1"/>
    <col min="16132" max="16140" width="31.42578125" style="147" customWidth="1"/>
    <col min="16141" max="16157" width="36.85546875" style="147" customWidth="1"/>
    <col min="16158" max="16158" width="37" style="147" customWidth="1"/>
    <col min="16159" max="16174" width="36.85546875" style="147" customWidth="1"/>
    <col min="16175" max="16175" width="37.140625" style="147" customWidth="1"/>
    <col min="16176" max="16177" width="36.85546875" style="147" customWidth="1"/>
    <col min="16178" max="16178" width="36.5703125" style="147" customWidth="1"/>
    <col min="16179" max="16180" width="36.85546875" style="147" customWidth="1"/>
    <col min="16181" max="16181" width="36.5703125" style="147" customWidth="1"/>
    <col min="16182" max="16182" width="37" style="147" customWidth="1"/>
    <col min="16183" max="16201" width="36.85546875" style="147" customWidth="1"/>
    <col min="16202" max="16202" width="37" style="147" customWidth="1"/>
    <col min="16203" max="16220" width="36.85546875" style="147" customWidth="1"/>
    <col min="16221" max="16221" width="36.5703125" style="147" customWidth="1"/>
    <col min="16222" max="16234" width="36.85546875" style="147" customWidth="1"/>
    <col min="16235" max="16235" width="36.5703125" style="147" customWidth="1"/>
    <col min="16236" max="16238" width="36.85546875" style="147" customWidth="1"/>
    <col min="16239" max="16239" width="36.5703125" style="147" customWidth="1"/>
    <col min="16240" max="16247" width="36.85546875" style="147" customWidth="1"/>
    <col min="16248" max="16248" width="36.5703125" style="147" customWidth="1"/>
    <col min="16249" max="16384" width="36.85546875" style="147"/>
  </cols>
  <sheetData>
    <row r="1" spans="1:247" s="97" customFormat="1" ht="12.75" customHeight="1" x14ac:dyDescent="0.25">
      <c r="A1" s="93" t="s">
        <v>121</v>
      </c>
      <c r="B1" s="94"/>
      <c r="C1" s="95"/>
      <c r="D1" s="95"/>
      <c r="E1" s="95"/>
      <c r="F1" s="95"/>
      <c r="G1" s="95"/>
      <c r="H1" s="95"/>
      <c r="I1" s="95"/>
      <c r="J1" s="96"/>
      <c r="K1" s="96"/>
      <c r="L1" s="95"/>
      <c r="M1" s="96"/>
      <c r="N1" s="96"/>
      <c r="O1" s="96"/>
      <c r="P1" s="96"/>
      <c r="Q1" s="96"/>
      <c r="R1" s="96"/>
      <c r="S1" s="96"/>
      <c r="T1" s="96"/>
      <c r="U1" s="96"/>
      <c r="V1" s="96"/>
      <c r="W1" s="96"/>
      <c r="X1" s="96"/>
      <c r="Y1" s="96"/>
      <c r="Z1" s="96"/>
      <c r="AA1" s="96"/>
      <c r="AB1" s="96"/>
      <c r="AC1" s="96"/>
      <c r="AD1" s="96"/>
      <c r="AE1" s="96"/>
      <c r="AF1" s="96"/>
      <c r="AG1" s="96"/>
      <c r="AH1" s="96"/>
      <c r="AI1" s="96"/>
      <c r="AJ1" s="96"/>
      <c r="AK1" s="96"/>
    </row>
    <row r="2" spans="1:247" s="101" customFormat="1" ht="12.75" customHeight="1" x14ac:dyDescent="0.25">
      <c r="A2" s="98" t="s">
        <v>122</v>
      </c>
      <c r="B2" s="99">
        <v>1</v>
      </c>
      <c r="C2" s="99">
        <v>2</v>
      </c>
      <c r="D2" s="99">
        <v>3</v>
      </c>
      <c r="E2" s="99">
        <v>4</v>
      </c>
      <c r="F2" s="99">
        <v>5</v>
      </c>
      <c r="G2" s="99">
        <v>6</v>
      </c>
      <c r="H2" s="99">
        <v>7</v>
      </c>
      <c r="I2" s="99">
        <v>8</v>
      </c>
      <c r="J2" s="99">
        <v>10</v>
      </c>
      <c r="K2" s="99">
        <v>11</v>
      </c>
      <c r="L2" s="99">
        <v>12</v>
      </c>
      <c r="M2" s="99"/>
      <c r="N2" s="99"/>
      <c r="O2" s="99"/>
      <c r="P2" s="99"/>
      <c r="Q2" s="99"/>
      <c r="R2" s="99"/>
      <c r="S2" s="99"/>
      <c r="T2" s="99"/>
      <c r="U2" s="99"/>
      <c r="V2" s="99"/>
      <c r="W2" s="99"/>
      <c r="X2" s="99"/>
      <c r="Y2" s="99"/>
      <c r="Z2" s="99"/>
      <c r="AA2" s="99"/>
      <c r="AB2" s="99"/>
      <c r="AC2" s="99"/>
      <c r="AD2" s="99"/>
      <c r="AE2" s="99"/>
      <c r="AF2" s="99"/>
      <c r="AG2" s="99"/>
      <c r="AH2" s="99"/>
      <c r="AI2" s="99"/>
      <c r="AJ2" s="99"/>
      <c r="AK2" s="99"/>
      <c r="AL2" s="100"/>
      <c r="AM2" s="100" t="str">
        <f t="shared" ref="AM2:CX2" si="0">IF(AM3="","",AL2+1)</f>
        <v/>
      </c>
      <c r="AN2" s="100" t="str">
        <f t="shared" si="0"/>
        <v/>
      </c>
      <c r="AO2" s="100" t="str">
        <f t="shared" si="0"/>
        <v/>
      </c>
      <c r="AP2" s="100" t="str">
        <f t="shared" si="0"/>
        <v/>
      </c>
      <c r="AQ2" s="100" t="str">
        <f t="shared" si="0"/>
        <v/>
      </c>
      <c r="AR2" s="100" t="str">
        <f t="shared" si="0"/>
        <v/>
      </c>
      <c r="AS2" s="100" t="str">
        <f t="shared" si="0"/>
        <v/>
      </c>
      <c r="AT2" s="100" t="str">
        <f t="shared" si="0"/>
        <v/>
      </c>
      <c r="AU2" s="100" t="str">
        <f t="shared" si="0"/>
        <v/>
      </c>
      <c r="AV2" s="100" t="str">
        <f t="shared" si="0"/>
        <v/>
      </c>
      <c r="AW2" s="100" t="str">
        <f t="shared" si="0"/>
        <v/>
      </c>
      <c r="AX2" s="100" t="str">
        <f t="shared" si="0"/>
        <v/>
      </c>
      <c r="AY2" s="100" t="str">
        <f t="shared" si="0"/>
        <v/>
      </c>
      <c r="AZ2" s="100" t="str">
        <f t="shared" si="0"/>
        <v/>
      </c>
      <c r="BA2" s="100" t="str">
        <f t="shared" si="0"/>
        <v/>
      </c>
      <c r="BB2" s="100" t="str">
        <f t="shared" si="0"/>
        <v/>
      </c>
      <c r="BC2" s="100" t="str">
        <f t="shared" si="0"/>
        <v/>
      </c>
      <c r="BD2" s="100" t="str">
        <f t="shared" si="0"/>
        <v/>
      </c>
      <c r="BE2" s="100" t="str">
        <f t="shared" si="0"/>
        <v/>
      </c>
      <c r="BF2" s="100" t="str">
        <f t="shared" si="0"/>
        <v/>
      </c>
      <c r="BG2" s="100" t="str">
        <f t="shared" si="0"/>
        <v/>
      </c>
      <c r="BH2" s="100" t="str">
        <f t="shared" si="0"/>
        <v/>
      </c>
      <c r="BI2" s="100" t="str">
        <f t="shared" si="0"/>
        <v/>
      </c>
      <c r="BJ2" s="100" t="str">
        <f t="shared" si="0"/>
        <v/>
      </c>
      <c r="BK2" s="100" t="str">
        <f t="shared" si="0"/>
        <v/>
      </c>
      <c r="BL2" s="100" t="str">
        <f t="shared" si="0"/>
        <v/>
      </c>
      <c r="BM2" s="100" t="str">
        <f t="shared" si="0"/>
        <v/>
      </c>
      <c r="BN2" s="100" t="str">
        <f t="shared" si="0"/>
        <v/>
      </c>
      <c r="BO2" s="100" t="str">
        <f t="shared" si="0"/>
        <v/>
      </c>
      <c r="BP2" s="100" t="str">
        <f t="shared" si="0"/>
        <v/>
      </c>
      <c r="BQ2" s="100" t="str">
        <f t="shared" si="0"/>
        <v/>
      </c>
      <c r="BR2" s="100" t="str">
        <f t="shared" si="0"/>
        <v/>
      </c>
      <c r="BS2" s="100" t="str">
        <f t="shared" si="0"/>
        <v/>
      </c>
      <c r="BT2" s="100" t="str">
        <f t="shared" si="0"/>
        <v/>
      </c>
      <c r="BU2" s="100" t="str">
        <f t="shared" si="0"/>
        <v/>
      </c>
      <c r="BV2" s="100" t="str">
        <f t="shared" si="0"/>
        <v/>
      </c>
      <c r="BW2" s="100" t="str">
        <f t="shared" si="0"/>
        <v/>
      </c>
      <c r="BX2" s="100" t="str">
        <f t="shared" si="0"/>
        <v/>
      </c>
      <c r="BY2" s="100" t="str">
        <f t="shared" si="0"/>
        <v/>
      </c>
      <c r="BZ2" s="100" t="str">
        <f t="shared" si="0"/>
        <v/>
      </c>
      <c r="CA2" s="100" t="str">
        <f t="shared" si="0"/>
        <v/>
      </c>
      <c r="CB2" s="100" t="str">
        <f t="shared" si="0"/>
        <v/>
      </c>
      <c r="CC2" s="100" t="str">
        <f t="shared" si="0"/>
        <v/>
      </c>
      <c r="CD2" s="100" t="str">
        <f t="shared" si="0"/>
        <v/>
      </c>
      <c r="CE2" s="100" t="str">
        <f t="shared" si="0"/>
        <v/>
      </c>
      <c r="CF2" s="100" t="str">
        <f t="shared" si="0"/>
        <v/>
      </c>
      <c r="CG2" s="100" t="str">
        <f t="shared" si="0"/>
        <v/>
      </c>
      <c r="CH2" s="100" t="str">
        <f t="shared" si="0"/>
        <v/>
      </c>
      <c r="CI2" s="100" t="str">
        <f t="shared" si="0"/>
        <v/>
      </c>
      <c r="CJ2" s="100" t="str">
        <f t="shared" si="0"/>
        <v/>
      </c>
      <c r="CK2" s="100" t="str">
        <f t="shared" si="0"/>
        <v/>
      </c>
      <c r="CL2" s="100" t="str">
        <f t="shared" si="0"/>
        <v/>
      </c>
      <c r="CM2" s="100" t="str">
        <f t="shared" si="0"/>
        <v/>
      </c>
      <c r="CN2" s="100" t="str">
        <f t="shared" si="0"/>
        <v/>
      </c>
      <c r="CO2" s="100" t="str">
        <f t="shared" si="0"/>
        <v/>
      </c>
      <c r="CP2" s="100" t="str">
        <f t="shared" si="0"/>
        <v/>
      </c>
      <c r="CQ2" s="100" t="str">
        <f t="shared" si="0"/>
        <v/>
      </c>
      <c r="CR2" s="100" t="str">
        <f t="shared" si="0"/>
        <v/>
      </c>
      <c r="CS2" s="100" t="str">
        <f t="shared" si="0"/>
        <v/>
      </c>
      <c r="CT2" s="100" t="str">
        <f t="shared" si="0"/>
        <v/>
      </c>
      <c r="CU2" s="100" t="str">
        <f t="shared" si="0"/>
        <v/>
      </c>
      <c r="CV2" s="100" t="str">
        <f t="shared" si="0"/>
        <v/>
      </c>
      <c r="CW2" s="100" t="str">
        <f t="shared" si="0"/>
        <v/>
      </c>
      <c r="CX2" s="100" t="str">
        <f t="shared" si="0"/>
        <v/>
      </c>
      <c r="CY2" s="100" t="str">
        <f t="shared" ref="CY2:FJ2" si="1">IF(CY3="","",CX2+1)</f>
        <v/>
      </c>
      <c r="CZ2" s="100" t="str">
        <f t="shared" si="1"/>
        <v/>
      </c>
      <c r="DA2" s="100" t="str">
        <f t="shared" si="1"/>
        <v/>
      </c>
      <c r="DB2" s="100" t="str">
        <f t="shared" si="1"/>
        <v/>
      </c>
      <c r="DC2" s="100" t="str">
        <f t="shared" si="1"/>
        <v/>
      </c>
      <c r="DD2" s="100" t="str">
        <f t="shared" si="1"/>
        <v/>
      </c>
      <c r="DE2" s="100" t="str">
        <f t="shared" si="1"/>
        <v/>
      </c>
      <c r="DF2" s="100" t="str">
        <f t="shared" si="1"/>
        <v/>
      </c>
      <c r="DG2" s="100" t="str">
        <f t="shared" si="1"/>
        <v/>
      </c>
      <c r="DH2" s="100" t="str">
        <f t="shared" si="1"/>
        <v/>
      </c>
      <c r="DI2" s="100" t="str">
        <f t="shared" si="1"/>
        <v/>
      </c>
      <c r="DJ2" s="100" t="str">
        <f t="shared" si="1"/>
        <v/>
      </c>
      <c r="DK2" s="100" t="str">
        <f t="shared" si="1"/>
        <v/>
      </c>
      <c r="DL2" s="100" t="str">
        <f t="shared" si="1"/>
        <v/>
      </c>
      <c r="DM2" s="100" t="str">
        <f t="shared" si="1"/>
        <v/>
      </c>
      <c r="DN2" s="100" t="str">
        <f t="shared" si="1"/>
        <v/>
      </c>
      <c r="DO2" s="100" t="str">
        <f t="shared" si="1"/>
        <v/>
      </c>
      <c r="DP2" s="100" t="str">
        <f t="shared" si="1"/>
        <v/>
      </c>
      <c r="DQ2" s="100" t="str">
        <f t="shared" si="1"/>
        <v/>
      </c>
      <c r="DR2" s="100" t="str">
        <f t="shared" si="1"/>
        <v/>
      </c>
      <c r="DS2" s="100" t="str">
        <f t="shared" si="1"/>
        <v/>
      </c>
      <c r="DT2" s="100" t="str">
        <f t="shared" si="1"/>
        <v/>
      </c>
      <c r="DU2" s="100" t="str">
        <f t="shared" si="1"/>
        <v/>
      </c>
      <c r="DV2" s="100" t="str">
        <f t="shared" si="1"/>
        <v/>
      </c>
      <c r="DW2" s="100" t="str">
        <f t="shared" si="1"/>
        <v/>
      </c>
      <c r="DX2" s="100" t="str">
        <f t="shared" si="1"/>
        <v/>
      </c>
      <c r="DY2" s="100" t="str">
        <f t="shared" si="1"/>
        <v/>
      </c>
      <c r="DZ2" s="100" t="str">
        <f t="shared" si="1"/>
        <v/>
      </c>
      <c r="EA2" s="100" t="str">
        <f t="shared" si="1"/>
        <v/>
      </c>
      <c r="EB2" s="100" t="str">
        <f t="shared" si="1"/>
        <v/>
      </c>
      <c r="EC2" s="100" t="str">
        <f t="shared" si="1"/>
        <v/>
      </c>
      <c r="ED2" s="100" t="str">
        <f t="shared" si="1"/>
        <v/>
      </c>
      <c r="EE2" s="100" t="str">
        <f t="shared" si="1"/>
        <v/>
      </c>
      <c r="EF2" s="100" t="str">
        <f t="shared" si="1"/>
        <v/>
      </c>
      <c r="EG2" s="100" t="str">
        <f t="shared" si="1"/>
        <v/>
      </c>
      <c r="EH2" s="100" t="str">
        <f t="shared" si="1"/>
        <v/>
      </c>
      <c r="EI2" s="100" t="str">
        <f t="shared" si="1"/>
        <v/>
      </c>
      <c r="EJ2" s="100" t="str">
        <f t="shared" si="1"/>
        <v/>
      </c>
      <c r="EK2" s="100" t="str">
        <f t="shared" si="1"/>
        <v/>
      </c>
      <c r="EL2" s="100" t="str">
        <f t="shared" si="1"/>
        <v/>
      </c>
      <c r="EM2" s="100" t="str">
        <f t="shared" si="1"/>
        <v/>
      </c>
      <c r="EN2" s="100" t="str">
        <f t="shared" si="1"/>
        <v/>
      </c>
      <c r="EO2" s="100" t="str">
        <f t="shared" si="1"/>
        <v/>
      </c>
      <c r="EP2" s="100" t="str">
        <f t="shared" si="1"/>
        <v/>
      </c>
      <c r="EQ2" s="100" t="str">
        <f t="shared" si="1"/>
        <v/>
      </c>
      <c r="ER2" s="100" t="str">
        <f t="shared" si="1"/>
        <v/>
      </c>
      <c r="ES2" s="100" t="str">
        <f t="shared" si="1"/>
        <v/>
      </c>
      <c r="ET2" s="100" t="str">
        <f t="shared" si="1"/>
        <v/>
      </c>
      <c r="EU2" s="100" t="str">
        <f t="shared" si="1"/>
        <v/>
      </c>
      <c r="EV2" s="100" t="str">
        <f t="shared" si="1"/>
        <v/>
      </c>
      <c r="EW2" s="100" t="str">
        <f t="shared" si="1"/>
        <v/>
      </c>
      <c r="EX2" s="100" t="str">
        <f t="shared" si="1"/>
        <v/>
      </c>
      <c r="EY2" s="100" t="str">
        <f t="shared" si="1"/>
        <v/>
      </c>
      <c r="EZ2" s="100" t="str">
        <f t="shared" si="1"/>
        <v/>
      </c>
      <c r="FA2" s="100" t="str">
        <f t="shared" si="1"/>
        <v/>
      </c>
      <c r="FB2" s="100" t="str">
        <f t="shared" si="1"/>
        <v/>
      </c>
      <c r="FC2" s="100" t="str">
        <f t="shared" si="1"/>
        <v/>
      </c>
      <c r="FD2" s="100" t="str">
        <f t="shared" si="1"/>
        <v/>
      </c>
      <c r="FE2" s="100" t="str">
        <f t="shared" si="1"/>
        <v/>
      </c>
      <c r="FF2" s="100" t="str">
        <f t="shared" si="1"/>
        <v/>
      </c>
      <c r="FG2" s="100" t="str">
        <f t="shared" si="1"/>
        <v/>
      </c>
      <c r="FH2" s="100" t="str">
        <f t="shared" si="1"/>
        <v/>
      </c>
      <c r="FI2" s="100" t="str">
        <f t="shared" si="1"/>
        <v/>
      </c>
      <c r="FJ2" s="100" t="str">
        <f t="shared" si="1"/>
        <v/>
      </c>
      <c r="FK2" s="100" t="str">
        <f t="shared" ref="FK2:HV2" si="2">IF(FK3="","",FJ2+1)</f>
        <v/>
      </c>
      <c r="FL2" s="100" t="str">
        <f t="shared" si="2"/>
        <v/>
      </c>
      <c r="FM2" s="100" t="str">
        <f t="shared" si="2"/>
        <v/>
      </c>
      <c r="FN2" s="100" t="str">
        <f t="shared" si="2"/>
        <v/>
      </c>
      <c r="FO2" s="100" t="str">
        <f t="shared" si="2"/>
        <v/>
      </c>
      <c r="FP2" s="100" t="str">
        <f t="shared" si="2"/>
        <v/>
      </c>
      <c r="FQ2" s="100" t="str">
        <f t="shared" si="2"/>
        <v/>
      </c>
      <c r="FR2" s="100" t="str">
        <f t="shared" si="2"/>
        <v/>
      </c>
      <c r="FS2" s="100" t="str">
        <f t="shared" si="2"/>
        <v/>
      </c>
      <c r="FT2" s="100" t="str">
        <f t="shared" si="2"/>
        <v/>
      </c>
      <c r="FU2" s="100" t="str">
        <f t="shared" si="2"/>
        <v/>
      </c>
      <c r="FV2" s="100" t="str">
        <f t="shared" si="2"/>
        <v/>
      </c>
      <c r="FW2" s="100" t="str">
        <f t="shared" si="2"/>
        <v/>
      </c>
      <c r="FX2" s="100" t="str">
        <f t="shared" si="2"/>
        <v/>
      </c>
      <c r="FY2" s="100" t="str">
        <f t="shared" si="2"/>
        <v/>
      </c>
      <c r="FZ2" s="100" t="str">
        <f t="shared" si="2"/>
        <v/>
      </c>
      <c r="GA2" s="100" t="str">
        <f t="shared" si="2"/>
        <v/>
      </c>
      <c r="GB2" s="100" t="str">
        <f t="shared" si="2"/>
        <v/>
      </c>
      <c r="GC2" s="100" t="str">
        <f t="shared" si="2"/>
        <v/>
      </c>
      <c r="GD2" s="100" t="str">
        <f t="shared" si="2"/>
        <v/>
      </c>
      <c r="GE2" s="100" t="str">
        <f t="shared" si="2"/>
        <v/>
      </c>
      <c r="GF2" s="100" t="str">
        <f t="shared" si="2"/>
        <v/>
      </c>
      <c r="GG2" s="100" t="str">
        <f t="shared" si="2"/>
        <v/>
      </c>
      <c r="GH2" s="100" t="str">
        <f t="shared" si="2"/>
        <v/>
      </c>
      <c r="GI2" s="100" t="str">
        <f t="shared" si="2"/>
        <v/>
      </c>
      <c r="GJ2" s="100" t="str">
        <f t="shared" si="2"/>
        <v/>
      </c>
      <c r="GK2" s="100" t="str">
        <f t="shared" si="2"/>
        <v/>
      </c>
      <c r="GL2" s="100" t="str">
        <f t="shared" si="2"/>
        <v/>
      </c>
      <c r="GM2" s="100" t="str">
        <f t="shared" si="2"/>
        <v/>
      </c>
      <c r="GN2" s="100" t="str">
        <f t="shared" si="2"/>
        <v/>
      </c>
      <c r="GO2" s="100" t="str">
        <f t="shared" si="2"/>
        <v/>
      </c>
      <c r="GP2" s="100" t="str">
        <f t="shared" si="2"/>
        <v/>
      </c>
      <c r="GQ2" s="100" t="str">
        <f t="shared" si="2"/>
        <v/>
      </c>
      <c r="GR2" s="100" t="str">
        <f t="shared" si="2"/>
        <v/>
      </c>
      <c r="GS2" s="100" t="str">
        <f t="shared" si="2"/>
        <v/>
      </c>
      <c r="GT2" s="100" t="str">
        <f t="shared" si="2"/>
        <v/>
      </c>
      <c r="GU2" s="100" t="str">
        <f t="shared" si="2"/>
        <v/>
      </c>
      <c r="GV2" s="100" t="str">
        <f t="shared" si="2"/>
        <v/>
      </c>
      <c r="GW2" s="100" t="str">
        <f t="shared" si="2"/>
        <v/>
      </c>
      <c r="GX2" s="100" t="str">
        <f t="shared" si="2"/>
        <v/>
      </c>
      <c r="GY2" s="100" t="str">
        <f t="shared" si="2"/>
        <v/>
      </c>
      <c r="GZ2" s="100" t="str">
        <f t="shared" si="2"/>
        <v/>
      </c>
      <c r="HA2" s="100" t="str">
        <f t="shared" si="2"/>
        <v/>
      </c>
      <c r="HB2" s="100" t="str">
        <f t="shared" si="2"/>
        <v/>
      </c>
      <c r="HC2" s="100" t="str">
        <f t="shared" si="2"/>
        <v/>
      </c>
      <c r="HD2" s="100" t="str">
        <f t="shared" si="2"/>
        <v/>
      </c>
      <c r="HE2" s="100" t="str">
        <f t="shared" si="2"/>
        <v/>
      </c>
      <c r="HF2" s="100" t="str">
        <f t="shared" si="2"/>
        <v/>
      </c>
      <c r="HG2" s="100" t="str">
        <f t="shared" si="2"/>
        <v/>
      </c>
      <c r="HH2" s="100" t="str">
        <f t="shared" si="2"/>
        <v/>
      </c>
      <c r="HI2" s="100" t="str">
        <f t="shared" si="2"/>
        <v/>
      </c>
      <c r="HJ2" s="100" t="str">
        <f t="shared" si="2"/>
        <v/>
      </c>
      <c r="HK2" s="100" t="str">
        <f t="shared" si="2"/>
        <v/>
      </c>
      <c r="HL2" s="100" t="str">
        <f t="shared" si="2"/>
        <v/>
      </c>
      <c r="HM2" s="100" t="str">
        <f t="shared" si="2"/>
        <v/>
      </c>
      <c r="HN2" s="100" t="str">
        <f t="shared" si="2"/>
        <v/>
      </c>
      <c r="HO2" s="100" t="str">
        <f t="shared" si="2"/>
        <v/>
      </c>
      <c r="HP2" s="100" t="str">
        <f t="shared" si="2"/>
        <v/>
      </c>
      <c r="HQ2" s="100" t="str">
        <f t="shared" si="2"/>
        <v/>
      </c>
      <c r="HR2" s="100" t="str">
        <f t="shared" si="2"/>
        <v/>
      </c>
      <c r="HS2" s="100" t="str">
        <f t="shared" si="2"/>
        <v/>
      </c>
      <c r="HT2" s="100" t="str">
        <f t="shared" si="2"/>
        <v/>
      </c>
      <c r="HU2" s="100" t="str">
        <f t="shared" si="2"/>
        <v/>
      </c>
      <c r="HV2" s="100" t="str">
        <f t="shared" si="2"/>
        <v/>
      </c>
      <c r="HW2" s="100" t="str">
        <f t="shared" ref="HW2:IM2" si="3">IF(HW3="","",HV2+1)</f>
        <v/>
      </c>
      <c r="HX2" s="100" t="str">
        <f t="shared" si="3"/>
        <v/>
      </c>
      <c r="HY2" s="100" t="str">
        <f t="shared" si="3"/>
        <v/>
      </c>
      <c r="HZ2" s="100" t="str">
        <f t="shared" si="3"/>
        <v/>
      </c>
      <c r="IA2" s="100" t="str">
        <f t="shared" si="3"/>
        <v/>
      </c>
      <c r="IB2" s="100" t="str">
        <f t="shared" si="3"/>
        <v/>
      </c>
      <c r="IC2" s="100" t="str">
        <f t="shared" si="3"/>
        <v/>
      </c>
      <c r="ID2" s="100" t="str">
        <f t="shared" si="3"/>
        <v/>
      </c>
      <c r="IE2" s="100" t="str">
        <f t="shared" si="3"/>
        <v/>
      </c>
      <c r="IF2" s="100" t="str">
        <f t="shared" si="3"/>
        <v/>
      </c>
      <c r="IG2" s="100" t="str">
        <f t="shared" si="3"/>
        <v/>
      </c>
      <c r="IH2" s="100" t="str">
        <f t="shared" si="3"/>
        <v/>
      </c>
      <c r="II2" s="100" t="str">
        <f t="shared" si="3"/>
        <v/>
      </c>
      <c r="IJ2" s="100" t="str">
        <f t="shared" si="3"/>
        <v/>
      </c>
      <c r="IK2" s="100" t="str">
        <f t="shared" si="3"/>
        <v/>
      </c>
      <c r="IL2" s="100" t="str">
        <f t="shared" si="3"/>
        <v/>
      </c>
      <c r="IM2" s="100" t="str">
        <f t="shared" si="3"/>
        <v/>
      </c>
    </row>
    <row r="3" spans="1:247" s="106" customFormat="1" x14ac:dyDescent="0.2">
      <c r="A3" s="102" t="s">
        <v>123</v>
      </c>
      <c r="B3" s="103" t="s">
        <v>153</v>
      </c>
      <c r="C3" s="103" t="s">
        <v>153</v>
      </c>
      <c r="D3" s="103" t="s">
        <v>153</v>
      </c>
      <c r="E3" s="104" t="s">
        <v>153</v>
      </c>
      <c r="F3" s="105" t="s">
        <v>153</v>
      </c>
      <c r="G3" s="103" t="s">
        <v>153</v>
      </c>
      <c r="H3" s="105" t="s">
        <v>153</v>
      </c>
      <c r="I3" s="105" t="s">
        <v>153</v>
      </c>
      <c r="J3" s="105" t="s">
        <v>153</v>
      </c>
      <c r="K3" s="105" t="s">
        <v>153</v>
      </c>
      <c r="L3" s="103" t="s">
        <v>153</v>
      </c>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GE3" s="107"/>
      <c r="GF3" s="107"/>
      <c r="GG3" s="107"/>
      <c r="GH3" s="107"/>
      <c r="GI3" s="107"/>
      <c r="GJ3" s="107"/>
      <c r="GK3" s="107"/>
      <c r="GL3" s="107"/>
      <c r="GM3" s="107"/>
      <c r="GN3" s="107"/>
      <c r="GO3" s="107"/>
      <c r="GP3" s="107"/>
      <c r="GQ3" s="107"/>
      <c r="GR3" s="107"/>
      <c r="GS3" s="107"/>
      <c r="GT3" s="107"/>
      <c r="GU3" s="107"/>
      <c r="GV3" s="107"/>
      <c r="GW3" s="107"/>
      <c r="GX3" s="107"/>
      <c r="GY3" s="107"/>
      <c r="GZ3" s="107"/>
      <c r="HA3" s="107"/>
      <c r="HB3" s="107"/>
      <c r="HC3" s="107"/>
      <c r="HD3" s="107"/>
    </row>
    <row r="4" spans="1:247" s="106" customFormat="1" ht="51" x14ac:dyDescent="0.2">
      <c r="A4" s="102" t="s">
        <v>124</v>
      </c>
      <c r="B4" s="103" t="s">
        <v>297</v>
      </c>
      <c r="C4" s="106" t="s">
        <v>332</v>
      </c>
      <c r="D4" s="106" t="s">
        <v>333</v>
      </c>
      <c r="E4" s="104" t="s">
        <v>334</v>
      </c>
      <c r="F4" s="103" t="s">
        <v>335</v>
      </c>
      <c r="G4" s="106" t="s">
        <v>336</v>
      </c>
      <c r="H4" s="105" t="s">
        <v>337</v>
      </c>
      <c r="I4" s="103" t="s">
        <v>601</v>
      </c>
      <c r="J4" s="103" t="s">
        <v>338</v>
      </c>
      <c r="K4" s="103" t="s">
        <v>604</v>
      </c>
      <c r="L4" s="103" t="s">
        <v>741</v>
      </c>
      <c r="M4" s="104"/>
      <c r="N4" s="103"/>
      <c r="O4" s="103"/>
      <c r="P4" s="103"/>
      <c r="Q4" s="104"/>
      <c r="R4" s="104"/>
      <c r="S4" s="103"/>
      <c r="T4" s="103"/>
      <c r="U4" s="103"/>
      <c r="V4" s="103"/>
      <c r="W4" s="103"/>
      <c r="X4" s="103"/>
      <c r="Y4" s="103"/>
      <c r="Z4" s="108"/>
      <c r="AA4" s="103"/>
      <c r="AB4" s="104"/>
      <c r="AC4" s="103"/>
      <c r="AD4" s="103"/>
      <c r="AE4" s="104"/>
      <c r="AF4" s="104"/>
      <c r="AG4" s="104"/>
      <c r="AH4" s="104"/>
      <c r="AI4" s="104"/>
      <c r="AJ4" s="104"/>
      <c r="AK4" s="104"/>
      <c r="AS4" s="109"/>
      <c r="AT4" s="109"/>
      <c r="AU4" s="109"/>
      <c r="AV4" s="109"/>
      <c r="AW4" s="109"/>
      <c r="AX4" s="109"/>
      <c r="AY4" s="109"/>
      <c r="GC4" s="107"/>
      <c r="GE4" s="107"/>
      <c r="GF4" s="107"/>
      <c r="GG4" s="107"/>
      <c r="GH4" s="107"/>
      <c r="GI4" s="107"/>
      <c r="GJ4" s="107"/>
      <c r="GK4" s="107"/>
      <c r="GL4" s="107"/>
      <c r="GM4" s="107"/>
      <c r="GN4" s="107"/>
      <c r="GO4" s="107"/>
      <c r="GP4" s="107"/>
      <c r="GQ4" s="107"/>
      <c r="GR4" s="107"/>
      <c r="GS4" s="107"/>
      <c r="GT4" s="107"/>
      <c r="GU4" s="107"/>
      <c r="GV4" s="107"/>
      <c r="GW4" s="107"/>
      <c r="GX4" s="107"/>
      <c r="GY4" s="107"/>
      <c r="GZ4" s="107"/>
      <c r="HA4" s="107"/>
      <c r="HB4" s="107"/>
      <c r="HC4" s="107"/>
      <c r="HD4" s="107"/>
    </row>
    <row r="5" spans="1:247" s="114" customFormat="1" ht="25.5" x14ac:dyDescent="0.2">
      <c r="A5" s="110" t="s">
        <v>125</v>
      </c>
      <c r="B5" s="111" t="s">
        <v>298</v>
      </c>
      <c r="C5" s="114" t="s">
        <v>339</v>
      </c>
      <c r="D5" s="114" t="s">
        <v>340</v>
      </c>
      <c r="E5" s="111" t="s">
        <v>341</v>
      </c>
      <c r="F5" s="114" t="s">
        <v>342</v>
      </c>
      <c r="G5" s="114" t="s">
        <v>343</v>
      </c>
      <c r="H5" s="113" t="s">
        <v>344</v>
      </c>
      <c r="I5" s="112" t="s">
        <v>599</v>
      </c>
      <c r="J5" s="111" t="s">
        <v>345</v>
      </c>
      <c r="K5" s="111" t="s">
        <v>606</v>
      </c>
      <c r="L5" s="111" t="s">
        <v>742</v>
      </c>
      <c r="M5" s="111"/>
      <c r="N5" s="112"/>
      <c r="O5" s="111"/>
      <c r="P5" s="112"/>
      <c r="Q5" s="112"/>
      <c r="R5" s="112"/>
      <c r="S5" s="111"/>
      <c r="T5" s="112"/>
      <c r="U5" s="111"/>
      <c r="V5" s="112"/>
      <c r="W5" s="111"/>
      <c r="X5" s="112"/>
      <c r="Y5" s="111"/>
      <c r="Z5" s="112"/>
      <c r="AA5" s="111"/>
      <c r="AB5" s="111"/>
      <c r="AC5" s="112"/>
      <c r="AD5" s="112"/>
      <c r="AE5" s="112"/>
      <c r="AF5" s="112"/>
      <c r="AG5" s="112"/>
      <c r="AH5" s="112"/>
      <c r="AI5" s="112"/>
      <c r="AJ5" s="112"/>
      <c r="AK5" s="112"/>
      <c r="DQ5" s="115"/>
      <c r="GE5" s="116"/>
      <c r="GF5" s="116"/>
      <c r="GG5" s="116"/>
      <c r="GH5" s="116"/>
      <c r="GI5" s="116"/>
      <c r="GJ5" s="116"/>
      <c r="GK5" s="116"/>
      <c r="GL5" s="116"/>
      <c r="GM5" s="116"/>
      <c r="GN5" s="116"/>
      <c r="GO5" s="116"/>
      <c r="GP5" s="116"/>
      <c r="GQ5" s="116"/>
      <c r="GR5" s="116"/>
      <c r="GS5" s="116"/>
      <c r="GT5" s="116"/>
      <c r="GU5" s="116"/>
      <c r="GV5" s="116"/>
      <c r="GW5" s="116"/>
      <c r="GX5" s="116"/>
      <c r="GY5" s="117"/>
      <c r="GZ5" s="116"/>
      <c r="HA5" s="116"/>
      <c r="HB5" s="116"/>
      <c r="HC5" s="116"/>
      <c r="HD5" s="116"/>
    </row>
    <row r="6" spans="1:247" s="114" customFormat="1" x14ac:dyDescent="0.2">
      <c r="A6" s="110" t="s">
        <v>126</v>
      </c>
      <c r="B6" s="114" t="s">
        <v>299</v>
      </c>
      <c r="D6" s="114" t="s">
        <v>342</v>
      </c>
      <c r="E6" s="112" t="s">
        <v>347</v>
      </c>
      <c r="F6" s="113" t="s">
        <v>348</v>
      </c>
      <c r="H6" s="113"/>
      <c r="I6" s="112"/>
      <c r="J6" s="112"/>
      <c r="K6" s="112" t="s">
        <v>346</v>
      </c>
      <c r="L6" s="111"/>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GE6" s="116"/>
      <c r="GF6" s="116"/>
      <c r="GG6" s="116"/>
      <c r="GH6" s="116"/>
      <c r="GI6" s="116"/>
      <c r="GJ6" s="116"/>
      <c r="GK6" s="116"/>
      <c r="GL6" s="116"/>
      <c r="GM6" s="116"/>
      <c r="GN6" s="116"/>
      <c r="GO6" s="116"/>
      <c r="GP6" s="116"/>
      <c r="GQ6" s="116"/>
      <c r="GR6" s="116"/>
      <c r="GS6" s="116"/>
      <c r="GT6" s="116"/>
      <c r="GU6" s="116"/>
      <c r="GV6" s="116"/>
      <c r="GW6" s="116"/>
      <c r="GX6" s="116"/>
      <c r="GY6" s="116"/>
      <c r="GZ6" s="116"/>
      <c r="HA6" s="116"/>
      <c r="HB6" s="116"/>
      <c r="HC6" s="116"/>
      <c r="HD6" s="116"/>
    </row>
    <row r="7" spans="1:247" s="120" customFormat="1" x14ac:dyDescent="0.2">
      <c r="A7" s="102" t="s">
        <v>127</v>
      </c>
      <c r="B7" s="120" t="s">
        <v>300</v>
      </c>
      <c r="C7" s="120" t="s">
        <v>349</v>
      </c>
      <c r="D7" s="120" t="s">
        <v>350</v>
      </c>
      <c r="E7" s="119" t="s">
        <v>351</v>
      </c>
      <c r="F7" s="235" t="s">
        <v>352</v>
      </c>
      <c r="G7" s="120" t="s">
        <v>353</v>
      </c>
      <c r="H7" s="235" t="s">
        <v>324</v>
      </c>
      <c r="I7" s="119" t="s">
        <v>354</v>
      </c>
      <c r="J7" s="118" t="s">
        <v>324</v>
      </c>
      <c r="K7" s="119" t="s">
        <v>355</v>
      </c>
      <c r="L7" s="118" t="s">
        <v>743</v>
      </c>
      <c r="M7" s="119"/>
      <c r="N7" s="119"/>
      <c r="O7" s="118"/>
      <c r="P7" s="119"/>
      <c r="Q7" s="119"/>
      <c r="R7" s="119"/>
      <c r="S7" s="118"/>
      <c r="T7" s="119"/>
      <c r="U7" s="118"/>
      <c r="V7" s="119"/>
      <c r="W7" s="119"/>
      <c r="X7" s="119"/>
      <c r="Y7" s="119"/>
      <c r="Z7" s="119"/>
      <c r="AA7" s="119"/>
      <c r="AB7" s="119"/>
      <c r="AC7" s="119"/>
      <c r="AD7" s="119"/>
      <c r="AE7" s="119"/>
      <c r="AF7" s="119"/>
      <c r="AG7" s="119"/>
      <c r="AH7" s="119"/>
      <c r="AI7" s="119"/>
      <c r="AJ7" s="119"/>
      <c r="AK7" s="119"/>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row>
    <row r="8" spans="1:247" s="120" customFormat="1" x14ac:dyDescent="0.2">
      <c r="A8" s="102" t="s">
        <v>128</v>
      </c>
      <c r="C8" s="120" t="s">
        <v>356</v>
      </c>
      <c r="D8" s="120" t="s">
        <v>357</v>
      </c>
      <c r="E8" s="119" t="s">
        <v>358</v>
      </c>
      <c r="F8" s="235" t="s">
        <v>359</v>
      </c>
      <c r="G8" s="120" t="s">
        <v>358</v>
      </c>
      <c r="H8" s="235"/>
      <c r="I8" s="119"/>
      <c r="J8" s="118"/>
      <c r="K8" s="119" t="s">
        <v>360</v>
      </c>
      <c r="L8" s="118"/>
      <c r="M8" s="119"/>
      <c r="N8" s="119"/>
      <c r="O8" s="119"/>
      <c r="P8" s="118"/>
      <c r="Q8" s="119"/>
      <c r="R8" s="119"/>
      <c r="S8" s="119"/>
      <c r="T8" s="119"/>
      <c r="U8" s="118"/>
      <c r="V8" s="119"/>
      <c r="W8" s="119"/>
      <c r="X8" s="119"/>
      <c r="Y8" s="119"/>
      <c r="Z8" s="119"/>
      <c r="AA8" s="119"/>
      <c r="AB8" s="119"/>
      <c r="AC8" s="119"/>
      <c r="AD8" s="119"/>
      <c r="AE8" s="119"/>
      <c r="AF8" s="119"/>
      <c r="AG8" s="119"/>
      <c r="AH8" s="119"/>
      <c r="AI8" s="119"/>
      <c r="AJ8" s="119"/>
      <c r="AK8" s="119"/>
      <c r="GE8" s="121"/>
      <c r="GF8" s="121"/>
      <c r="GG8" s="121"/>
      <c r="GH8" s="121"/>
      <c r="GI8" s="121"/>
      <c r="GJ8" s="121"/>
      <c r="GK8" s="121"/>
      <c r="GL8" s="121"/>
      <c r="GM8" s="121"/>
      <c r="GN8" s="121"/>
      <c r="GO8" s="121"/>
      <c r="GP8" s="121"/>
      <c r="GQ8" s="121"/>
      <c r="GR8" s="121"/>
      <c r="GS8" s="121"/>
      <c r="GT8" s="121"/>
      <c r="GU8" s="121"/>
      <c r="GV8" s="121"/>
      <c r="GW8" s="121"/>
      <c r="GX8" s="121"/>
      <c r="GY8" s="121"/>
      <c r="GZ8" s="121"/>
      <c r="HA8" s="121"/>
      <c r="HB8" s="121"/>
      <c r="HC8" s="121"/>
      <c r="HD8" s="121"/>
    </row>
    <row r="9" spans="1:247" s="114" customFormat="1" x14ac:dyDescent="0.2">
      <c r="A9" s="110" t="s">
        <v>129</v>
      </c>
      <c r="B9" s="114" t="s">
        <v>301</v>
      </c>
      <c r="D9" s="114" t="s">
        <v>361</v>
      </c>
      <c r="E9" s="112" t="s">
        <v>362</v>
      </c>
      <c r="F9" s="113" t="s">
        <v>361</v>
      </c>
      <c r="G9" s="114" t="s">
        <v>307</v>
      </c>
      <c r="H9" s="113" t="s">
        <v>363</v>
      </c>
      <c r="I9" s="112"/>
      <c r="J9" s="111"/>
      <c r="L9" s="122"/>
      <c r="M9" s="112"/>
      <c r="N9" s="111"/>
      <c r="O9" s="111"/>
      <c r="P9" s="112"/>
      <c r="Q9" s="112"/>
      <c r="R9" s="112"/>
      <c r="S9" s="122"/>
      <c r="T9" s="112"/>
      <c r="U9" s="111"/>
      <c r="V9" s="111"/>
      <c r="W9" s="111"/>
      <c r="X9" s="112"/>
      <c r="Y9" s="112"/>
      <c r="Z9" s="112"/>
      <c r="AA9" s="112"/>
      <c r="AB9" s="112"/>
      <c r="AC9" s="112"/>
      <c r="AD9" s="112"/>
      <c r="AE9" s="112"/>
      <c r="AF9" s="112"/>
      <c r="AG9" s="112"/>
      <c r="AH9" s="112"/>
      <c r="AI9" s="112"/>
      <c r="AJ9" s="112"/>
      <c r="AK9" s="112"/>
      <c r="BA9" s="115"/>
      <c r="GE9" s="116"/>
      <c r="GF9" s="116"/>
      <c r="GG9" s="116"/>
      <c r="GH9" s="116"/>
      <c r="GI9" s="116"/>
      <c r="GJ9" s="116"/>
      <c r="GK9" s="116"/>
      <c r="GL9" s="116"/>
      <c r="GM9" s="116"/>
      <c r="GN9" s="116"/>
      <c r="GO9" s="116"/>
      <c r="GP9" s="116"/>
      <c r="GQ9" s="116"/>
      <c r="GR9" s="116"/>
      <c r="GS9" s="116"/>
      <c r="GT9" s="116"/>
      <c r="GU9" s="116"/>
      <c r="GV9" s="116"/>
      <c r="GW9" s="116"/>
      <c r="GX9" s="116"/>
      <c r="GY9" s="116"/>
      <c r="GZ9" s="116"/>
      <c r="HA9" s="116"/>
      <c r="HB9" s="116"/>
      <c r="HC9" s="116"/>
      <c r="HD9" s="116"/>
    </row>
    <row r="10" spans="1:247" s="114" customFormat="1" x14ac:dyDescent="0.2">
      <c r="A10" s="110" t="s">
        <v>130</v>
      </c>
      <c r="B10" s="114" t="s">
        <v>302</v>
      </c>
      <c r="D10" s="114" t="s">
        <v>364</v>
      </c>
      <c r="E10" s="112" t="s">
        <v>364</v>
      </c>
      <c r="F10" s="114" t="s">
        <v>364</v>
      </c>
      <c r="G10" s="114" t="s">
        <v>364</v>
      </c>
      <c r="H10" s="113" t="s">
        <v>346</v>
      </c>
      <c r="I10" s="112" t="s">
        <v>600</v>
      </c>
      <c r="J10" s="112"/>
      <c r="K10" s="112"/>
      <c r="L10" s="111"/>
      <c r="M10" s="112"/>
      <c r="N10" s="112"/>
      <c r="O10" s="112"/>
      <c r="P10" s="112"/>
      <c r="Q10" s="112"/>
      <c r="R10" s="112"/>
      <c r="S10" s="111"/>
      <c r="T10" s="112"/>
      <c r="U10" s="112"/>
      <c r="V10" s="112"/>
      <c r="W10" s="112"/>
      <c r="X10" s="112"/>
      <c r="Y10" s="112"/>
      <c r="Z10" s="112"/>
      <c r="AA10" s="112"/>
      <c r="AB10" s="112"/>
      <c r="AC10" s="112"/>
      <c r="AD10" s="112"/>
      <c r="AE10" s="112"/>
      <c r="AF10" s="112"/>
      <c r="AG10" s="112"/>
      <c r="AH10" s="112"/>
      <c r="AI10" s="112"/>
      <c r="AJ10" s="112"/>
      <c r="AK10" s="112"/>
      <c r="GE10" s="116"/>
      <c r="GF10" s="116"/>
      <c r="GG10" s="116"/>
      <c r="GH10" s="116"/>
      <c r="GI10" s="116"/>
      <c r="GJ10" s="116"/>
      <c r="GK10" s="116"/>
      <c r="GL10" s="116"/>
      <c r="GM10" s="116"/>
      <c r="GN10" s="116"/>
      <c r="GO10" s="116"/>
      <c r="GP10" s="116"/>
      <c r="GQ10" s="116"/>
      <c r="GR10" s="116"/>
      <c r="GS10" s="116"/>
      <c r="GT10" s="116"/>
      <c r="GU10" s="116"/>
      <c r="GV10" s="116"/>
      <c r="GW10" s="116"/>
      <c r="GX10" s="116"/>
      <c r="GY10" s="116"/>
      <c r="GZ10" s="116"/>
      <c r="HA10" s="116"/>
      <c r="HB10" s="116"/>
      <c r="HC10" s="116"/>
      <c r="HD10" s="116"/>
    </row>
    <row r="11" spans="1:247" s="120" customFormat="1" x14ac:dyDescent="0.2">
      <c r="A11" s="102" t="s">
        <v>131</v>
      </c>
      <c r="E11" s="119"/>
      <c r="F11" s="235"/>
      <c r="H11" s="235"/>
      <c r="I11" s="119"/>
      <c r="J11" s="118"/>
      <c r="K11" s="119"/>
      <c r="L11" s="118"/>
      <c r="M11" s="119"/>
      <c r="N11" s="119"/>
      <c r="O11" s="119"/>
      <c r="P11" s="119"/>
      <c r="Q11" s="119"/>
      <c r="R11" s="119"/>
      <c r="S11" s="119"/>
      <c r="T11" s="119"/>
      <c r="U11" s="118"/>
      <c r="V11" s="119"/>
      <c r="W11" s="119"/>
      <c r="X11" s="119"/>
      <c r="Y11" s="119"/>
      <c r="Z11" s="118"/>
      <c r="AA11" s="119"/>
      <c r="AB11" s="119"/>
      <c r="AC11" s="119"/>
      <c r="AD11" s="119"/>
      <c r="AE11" s="119"/>
      <c r="AF11" s="119"/>
      <c r="AG11" s="119"/>
      <c r="AH11" s="119"/>
      <c r="AI11" s="119"/>
      <c r="AJ11" s="119"/>
      <c r="AK11" s="119"/>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row>
    <row r="12" spans="1:247" s="120" customFormat="1" ht="25.5" x14ac:dyDescent="0.2">
      <c r="A12" s="102" t="s">
        <v>132</v>
      </c>
      <c r="E12" s="119"/>
      <c r="F12" s="235"/>
      <c r="H12" s="235"/>
      <c r="I12" s="119"/>
      <c r="J12" s="118"/>
      <c r="K12" s="119"/>
      <c r="L12" s="118"/>
      <c r="M12" s="119"/>
      <c r="N12" s="119"/>
      <c r="O12" s="119"/>
      <c r="P12" s="119"/>
      <c r="Q12" s="119"/>
      <c r="R12" s="119"/>
      <c r="S12" s="119"/>
      <c r="T12" s="119"/>
      <c r="U12" s="118"/>
      <c r="V12" s="119"/>
      <c r="W12" s="119"/>
      <c r="X12" s="119"/>
      <c r="Y12" s="119"/>
      <c r="Z12" s="118"/>
      <c r="AA12" s="119"/>
      <c r="AB12" s="119"/>
      <c r="AC12" s="119"/>
      <c r="AD12" s="119"/>
      <c r="AE12" s="119"/>
      <c r="AF12" s="119"/>
      <c r="AG12" s="119"/>
      <c r="AH12" s="119"/>
      <c r="AI12" s="119"/>
      <c r="AJ12" s="119"/>
      <c r="AK12" s="119"/>
      <c r="GE12" s="121"/>
      <c r="GF12" s="121"/>
      <c r="GG12" s="121"/>
      <c r="GH12" s="121"/>
      <c r="GI12" s="121"/>
      <c r="GJ12" s="121"/>
      <c r="GK12" s="121"/>
      <c r="GL12" s="121"/>
      <c r="GM12" s="121"/>
      <c r="GN12" s="121"/>
      <c r="GO12" s="121"/>
      <c r="GP12" s="121"/>
      <c r="GQ12" s="121"/>
      <c r="GR12" s="121"/>
      <c r="GS12" s="121"/>
      <c r="GT12" s="121"/>
      <c r="GU12" s="121"/>
      <c r="GV12" s="121"/>
      <c r="GW12" s="121"/>
      <c r="GX12" s="121"/>
      <c r="GY12" s="121"/>
      <c r="GZ12" s="121"/>
      <c r="HA12" s="121"/>
      <c r="HB12" s="121"/>
      <c r="HC12" s="121"/>
      <c r="HD12" s="121"/>
    </row>
    <row r="13" spans="1:247" s="114" customFormat="1" x14ac:dyDescent="0.2">
      <c r="A13" s="110" t="s">
        <v>133</v>
      </c>
      <c r="E13" s="112"/>
      <c r="F13" s="113"/>
      <c r="H13" s="113"/>
      <c r="I13" s="112"/>
      <c r="J13" s="112"/>
      <c r="K13" s="112"/>
      <c r="L13" s="111"/>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row>
    <row r="14" spans="1:247" s="114" customFormat="1" x14ac:dyDescent="0.2">
      <c r="A14" s="110" t="s">
        <v>134</v>
      </c>
      <c r="E14" s="112"/>
      <c r="F14" s="113"/>
      <c r="H14" s="113"/>
      <c r="I14" s="112"/>
      <c r="J14" s="112"/>
      <c r="K14" s="112"/>
      <c r="L14" s="111"/>
      <c r="M14" s="112"/>
      <c r="N14" s="112"/>
      <c r="O14" s="112"/>
      <c r="P14" s="111"/>
      <c r="Q14" s="112"/>
      <c r="R14" s="112"/>
      <c r="S14" s="112"/>
      <c r="T14" s="112"/>
      <c r="U14" s="112"/>
      <c r="V14" s="112"/>
      <c r="W14" s="112"/>
      <c r="X14" s="112"/>
      <c r="Y14" s="112"/>
      <c r="Z14" s="112"/>
      <c r="AA14" s="112"/>
      <c r="AB14" s="112"/>
      <c r="AC14" s="112"/>
      <c r="AD14" s="112"/>
      <c r="AE14" s="112"/>
      <c r="AF14" s="112"/>
      <c r="AG14" s="112"/>
      <c r="AH14" s="112"/>
      <c r="AI14" s="112"/>
      <c r="AJ14" s="112"/>
      <c r="AK14" s="112"/>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row>
    <row r="15" spans="1:247" s="106" customFormat="1" x14ac:dyDescent="0.2">
      <c r="A15" s="102" t="s">
        <v>135</v>
      </c>
      <c r="E15" s="104"/>
      <c r="F15" s="105"/>
      <c r="H15" s="105"/>
      <c r="I15" s="104"/>
      <c r="J15" s="104"/>
      <c r="K15" s="104"/>
      <c r="L15" s="103"/>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row>
    <row r="16" spans="1:247" s="120" customFormat="1" x14ac:dyDescent="0.2">
      <c r="A16" s="102" t="s">
        <v>136</v>
      </c>
      <c r="D16" s="120" t="s">
        <v>365</v>
      </c>
      <c r="E16" s="119" t="s">
        <v>366</v>
      </c>
      <c r="F16" s="235" t="s">
        <v>367</v>
      </c>
      <c r="G16" s="120" t="s">
        <v>368</v>
      </c>
      <c r="H16" s="235"/>
      <c r="I16" s="119"/>
      <c r="J16" s="119"/>
      <c r="K16" s="119"/>
      <c r="L16" s="118"/>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CE16" s="106"/>
      <c r="GE16" s="121"/>
      <c r="GF16" s="121"/>
      <c r="GG16" s="121"/>
      <c r="GH16" s="121"/>
      <c r="GI16" s="121"/>
      <c r="GJ16" s="121"/>
      <c r="GK16" s="121"/>
      <c r="GL16" s="121"/>
      <c r="GM16" s="121"/>
      <c r="GN16" s="121"/>
      <c r="GO16" s="121"/>
      <c r="GP16" s="121"/>
      <c r="GQ16" s="121"/>
      <c r="GR16" s="121"/>
      <c r="GS16" s="121"/>
      <c r="GT16" s="121"/>
      <c r="GU16" s="121"/>
      <c r="GV16" s="121"/>
      <c r="GW16" s="121"/>
      <c r="GX16" s="121"/>
      <c r="GY16" s="121"/>
      <c r="GZ16" s="121"/>
      <c r="HA16" s="121"/>
      <c r="HB16" s="121"/>
      <c r="HC16" s="121"/>
      <c r="HD16" s="121"/>
    </row>
    <row r="17" spans="1:212" s="125" customFormat="1" x14ac:dyDescent="0.2">
      <c r="A17" s="110" t="s">
        <v>137</v>
      </c>
      <c r="B17" s="125" t="s">
        <v>369</v>
      </c>
      <c r="E17" s="124"/>
      <c r="F17" s="236"/>
      <c r="H17" s="236"/>
      <c r="I17" s="124"/>
      <c r="J17" s="124"/>
      <c r="K17" s="124" t="s">
        <v>370</v>
      </c>
      <c r="L17" s="123"/>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GE17" s="126"/>
      <c r="GF17" s="126"/>
      <c r="GG17" s="126"/>
      <c r="GH17" s="126"/>
      <c r="GI17" s="126"/>
      <c r="GJ17" s="126"/>
      <c r="GK17" s="126"/>
      <c r="GL17" s="126"/>
      <c r="GM17" s="126"/>
      <c r="GN17" s="126"/>
      <c r="GO17" s="126"/>
      <c r="GP17" s="126"/>
      <c r="GQ17" s="126"/>
      <c r="GR17" s="126"/>
      <c r="GS17" s="126"/>
      <c r="GT17" s="126"/>
      <c r="GU17" s="126"/>
      <c r="GV17" s="126"/>
      <c r="GW17" s="126"/>
      <c r="GX17" s="126"/>
      <c r="GY17" s="126"/>
      <c r="GZ17" s="126"/>
      <c r="HA17" s="126"/>
      <c r="HB17" s="126"/>
      <c r="HC17" s="126"/>
      <c r="HD17" s="126"/>
    </row>
    <row r="18" spans="1:212" s="125" customFormat="1" x14ac:dyDescent="0.2">
      <c r="A18" s="110" t="s">
        <v>138</v>
      </c>
      <c r="B18" s="237"/>
      <c r="E18" s="124"/>
      <c r="F18" s="236"/>
      <c r="H18" s="236"/>
      <c r="I18" s="124"/>
      <c r="J18" s="124"/>
      <c r="K18" s="124"/>
      <c r="L18" s="123"/>
      <c r="M18" s="124"/>
      <c r="N18" s="124"/>
      <c r="O18" s="124"/>
      <c r="P18" s="124"/>
      <c r="Q18" s="124"/>
      <c r="R18" s="124"/>
      <c r="S18" s="124"/>
      <c r="T18" s="124"/>
      <c r="U18" s="124"/>
      <c r="V18" s="124"/>
      <c r="W18" s="124"/>
      <c r="X18" s="124"/>
      <c r="Y18" s="124"/>
      <c r="Z18" s="127"/>
      <c r="AA18" s="124"/>
      <c r="AB18" s="124"/>
      <c r="AC18" s="124"/>
      <c r="AD18" s="124"/>
      <c r="AE18" s="124"/>
      <c r="AF18" s="124"/>
      <c r="AG18" s="124"/>
      <c r="AH18" s="124"/>
      <c r="AI18" s="124"/>
      <c r="AJ18" s="124"/>
      <c r="AK18" s="124"/>
      <c r="GE18" s="126"/>
      <c r="GF18" s="126"/>
      <c r="GG18" s="126"/>
      <c r="GH18" s="126"/>
      <c r="GI18" s="126"/>
      <c r="GJ18" s="126"/>
      <c r="GK18" s="126"/>
      <c r="GL18" s="126"/>
      <c r="GM18" s="126"/>
      <c r="GN18" s="126"/>
      <c r="GO18" s="126"/>
      <c r="GP18" s="126"/>
      <c r="GQ18" s="126"/>
      <c r="GR18" s="126"/>
      <c r="GS18" s="126"/>
      <c r="GT18" s="126"/>
      <c r="GU18" s="126"/>
      <c r="GV18" s="126"/>
      <c r="GW18" s="126"/>
      <c r="GX18" s="126"/>
      <c r="GY18" s="126"/>
      <c r="GZ18" s="126"/>
      <c r="HA18" s="126"/>
      <c r="HB18" s="126"/>
      <c r="HC18" s="126"/>
      <c r="HD18" s="126"/>
    </row>
    <row r="19" spans="1:212" s="106" customFormat="1" x14ac:dyDescent="0.2">
      <c r="A19" s="102" t="s">
        <v>139</v>
      </c>
      <c r="E19" s="104"/>
      <c r="F19" s="105"/>
      <c r="H19" s="105"/>
      <c r="I19" s="104"/>
      <c r="J19" s="104"/>
      <c r="K19" s="104"/>
      <c r="L19" s="103"/>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GE19" s="107"/>
      <c r="GF19" s="107"/>
      <c r="GG19" s="107"/>
      <c r="GH19" s="107"/>
      <c r="GI19" s="107"/>
      <c r="GJ19" s="107"/>
      <c r="GK19" s="107"/>
      <c r="GL19" s="107"/>
      <c r="GM19" s="107"/>
      <c r="GN19" s="107"/>
      <c r="GO19" s="107"/>
      <c r="GP19" s="107"/>
      <c r="GQ19" s="107"/>
      <c r="GR19" s="107"/>
      <c r="GS19" s="107"/>
      <c r="GT19" s="107"/>
      <c r="GU19" s="107"/>
      <c r="GV19" s="107"/>
      <c r="GW19" s="107"/>
      <c r="GX19" s="107"/>
      <c r="GY19" s="107"/>
      <c r="GZ19" s="107"/>
      <c r="HA19" s="107"/>
      <c r="HB19" s="107"/>
      <c r="HC19" s="107"/>
      <c r="HD19" s="107"/>
    </row>
    <row r="20" spans="1:212" s="132" customFormat="1" ht="63.75" x14ac:dyDescent="0.25">
      <c r="A20" s="128" t="s">
        <v>140</v>
      </c>
      <c r="B20" s="238"/>
      <c r="C20" s="103" t="s">
        <v>371</v>
      </c>
      <c r="D20" s="228" t="s">
        <v>372</v>
      </c>
      <c r="E20" s="239" t="s">
        <v>373</v>
      </c>
      <c r="F20" s="228" t="s">
        <v>374</v>
      </c>
      <c r="G20" s="228" t="s">
        <v>375</v>
      </c>
      <c r="H20" s="228" t="s">
        <v>376</v>
      </c>
      <c r="I20" s="349" t="s">
        <v>377</v>
      </c>
      <c r="J20" s="240" t="s">
        <v>378</v>
      </c>
      <c r="K20" s="349" t="s">
        <v>605</v>
      </c>
      <c r="L20" s="129" t="s">
        <v>744</v>
      </c>
      <c r="M20" s="130"/>
      <c r="N20" s="130"/>
      <c r="O20" s="131"/>
      <c r="P20" s="130"/>
      <c r="R20" s="133"/>
      <c r="S20" s="130"/>
      <c r="T20" s="130"/>
      <c r="V20" s="130"/>
      <c r="W20" s="130"/>
      <c r="X20" s="130"/>
      <c r="Y20" s="130"/>
      <c r="Z20" s="130"/>
      <c r="AA20" s="130"/>
      <c r="AB20" s="130"/>
      <c r="AC20" s="133"/>
      <c r="AD20" s="133"/>
      <c r="AE20" s="133"/>
      <c r="AF20" s="133"/>
      <c r="AG20" s="133"/>
      <c r="AH20" s="133"/>
      <c r="AI20" s="133"/>
      <c r="AJ20" s="133"/>
      <c r="AK20" s="133"/>
      <c r="AL20" s="133"/>
      <c r="AM20" s="133"/>
      <c r="AN20" s="133"/>
      <c r="AO20" s="133"/>
      <c r="AP20" s="133"/>
      <c r="AQ20" s="133"/>
      <c r="AR20" s="133"/>
      <c r="AS20" s="133"/>
      <c r="AT20" s="133"/>
      <c r="AU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Z20" s="133"/>
      <c r="CA20" s="133"/>
      <c r="CB20" s="133"/>
      <c r="CC20" s="133"/>
      <c r="CD20" s="133"/>
      <c r="CE20" s="133"/>
      <c r="CF20" s="133"/>
      <c r="CG20" s="133"/>
      <c r="CH20" s="133"/>
      <c r="CI20" s="133"/>
      <c r="CJ20" s="133"/>
      <c r="CK20" s="133"/>
      <c r="CM20" s="133"/>
      <c r="CN20" s="133"/>
      <c r="CP20" s="133"/>
      <c r="CQ20" s="133"/>
      <c r="CR20" s="133"/>
      <c r="CS20" s="133"/>
      <c r="CT20" s="133"/>
      <c r="CU20" s="133"/>
      <c r="CV20" s="133"/>
      <c r="CW20" s="133"/>
      <c r="CY20" s="133"/>
      <c r="CZ20" s="133"/>
      <c r="DA20" s="133"/>
      <c r="DB20" s="133"/>
      <c r="DC20" s="133"/>
      <c r="DD20" s="133"/>
      <c r="DE20" s="133"/>
      <c r="DF20" s="133"/>
      <c r="DG20" s="133"/>
      <c r="DH20" s="133"/>
      <c r="DI20" s="133"/>
      <c r="DJ20" s="133"/>
      <c r="DK20" s="133"/>
      <c r="DL20" s="133"/>
      <c r="DM20" s="133"/>
      <c r="DN20" s="133"/>
      <c r="DO20" s="133"/>
      <c r="DP20" s="133"/>
      <c r="DQ20" s="133"/>
      <c r="DR20" s="133"/>
      <c r="DS20" s="133"/>
      <c r="DT20" s="133"/>
      <c r="DU20" s="133"/>
      <c r="DV20" s="133"/>
      <c r="GE20" s="131"/>
      <c r="GG20" s="131"/>
      <c r="GK20" s="131"/>
      <c r="GL20" s="131"/>
      <c r="GM20" s="131"/>
      <c r="GO20" s="131"/>
      <c r="GP20" s="131"/>
      <c r="GQ20" s="131"/>
      <c r="GR20" s="131"/>
      <c r="GS20" s="131"/>
      <c r="GT20" s="131"/>
      <c r="GU20" s="131"/>
      <c r="GV20" s="131"/>
      <c r="GW20" s="131"/>
      <c r="GX20" s="131"/>
      <c r="GY20" s="131"/>
      <c r="GZ20" s="131"/>
      <c r="HA20" s="131"/>
      <c r="HB20" s="131"/>
      <c r="HC20" s="131"/>
      <c r="HD20" s="131"/>
    </row>
    <row r="21" spans="1:212" s="118" customFormat="1" ht="25.5" x14ac:dyDescent="0.25">
      <c r="A21" s="134" t="s">
        <v>141</v>
      </c>
      <c r="B21" s="118" t="s">
        <v>306</v>
      </c>
      <c r="C21" s="118" t="s">
        <v>379</v>
      </c>
      <c r="D21" s="118" t="s">
        <v>380</v>
      </c>
      <c r="E21" s="136" t="s">
        <v>381</v>
      </c>
      <c r="F21" s="241" t="s">
        <v>380</v>
      </c>
      <c r="G21" s="118" t="s">
        <v>382</v>
      </c>
      <c r="H21" s="135"/>
      <c r="I21" s="136" t="s">
        <v>602</v>
      </c>
      <c r="J21" s="118" t="s">
        <v>383</v>
      </c>
      <c r="K21" s="136" t="s">
        <v>602</v>
      </c>
      <c r="L21" s="135" t="s">
        <v>745</v>
      </c>
      <c r="M21" s="136"/>
      <c r="N21" s="136"/>
      <c r="O21" s="137"/>
      <c r="P21" s="136"/>
      <c r="R21" s="138"/>
      <c r="S21" s="136"/>
      <c r="T21" s="136"/>
      <c r="V21" s="136"/>
      <c r="W21" s="136"/>
      <c r="X21" s="136"/>
      <c r="Y21" s="136"/>
      <c r="Z21" s="136"/>
      <c r="AA21" s="136"/>
      <c r="AB21" s="136"/>
      <c r="AC21" s="138"/>
      <c r="AD21" s="138"/>
      <c r="AE21" s="138"/>
      <c r="AF21" s="138"/>
      <c r="AG21" s="138"/>
      <c r="AH21" s="138"/>
      <c r="AI21" s="138"/>
      <c r="AJ21" s="138"/>
      <c r="AK21" s="138"/>
      <c r="AL21" s="138"/>
      <c r="AM21" s="138"/>
      <c r="AN21" s="138"/>
      <c r="AO21" s="138"/>
      <c r="AP21" s="138"/>
      <c r="AQ21" s="138"/>
      <c r="AR21" s="138"/>
      <c r="AS21" s="138"/>
      <c r="AT21" s="138"/>
      <c r="AU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Z21" s="138"/>
      <c r="CA21" s="138"/>
      <c r="CB21" s="138"/>
      <c r="CC21" s="138"/>
      <c r="CD21" s="138"/>
      <c r="CE21" s="138"/>
      <c r="CF21" s="138"/>
      <c r="CG21" s="138"/>
      <c r="CH21" s="138"/>
      <c r="CI21" s="138"/>
      <c r="CJ21" s="138"/>
      <c r="CK21" s="138"/>
      <c r="CM21" s="138"/>
      <c r="CN21" s="138"/>
      <c r="CP21" s="138"/>
      <c r="CQ21" s="138"/>
      <c r="CR21" s="138"/>
      <c r="CS21" s="138"/>
      <c r="CT21" s="138"/>
      <c r="CU21" s="138"/>
      <c r="CV21" s="138"/>
      <c r="CW21" s="138"/>
      <c r="CY21" s="138"/>
      <c r="CZ21" s="138"/>
      <c r="DA21" s="138"/>
      <c r="DB21" s="138"/>
      <c r="DC21" s="138"/>
      <c r="DD21" s="138"/>
      <c r="DE21" s="138"/>
      <c r="DF21" s="138"/>
      <c r="DG21" s="138"/>
      <c r="DH21" s="138"/>
      <c r="DI21" s="138"/>
      <c r="DJ21" s="138"/>
      <c r="DK21" s="138"/>
      <c r="DL21" s="138"/>
      <c r="DM21" s="138"/>
      <c r="DN21" s="138"/>
      <c r="DO21" s="138"/>
      <c r="DP21" s="138"/>
      <c r="DQ21" s="138"/>
      <c r="DR21" s="138"/>
      <c r="DS21" s="138"/>
      <c r="DT21" s="138"/>
      <c r="DU21" s="138"/>
      <c r="DV21" s="138"/>
      <c r="GE21" s="137"/>
      <c r="GG21" s="137"/>
      <c r="GK21" s="137"/>
      <c r="GL21" s="137"/>
      <c r="GM21" s="137"/>
      <c r="GO21" s="137"/>
      <c r="GP21" s="137"/>
      <c r="GQ21" s="137"/>
      <c r="GR21" s="137"/>
      <c r="GS21" s="137"/>
      <c r="GT21" s="137"/>
      <c r="GU21" s="137"/>
      <c r="GV21" s="137"/>
      <c r="GW21" s="137"/>
      <c r="GX21" s="137"/>
      <c r="GY21" s="137"/>
      <c r="GZ21" s="137"/>
      <c r="HA21" s="137"/>
      <c r="HB21" s="137"/>
      <c r="HC21" s="137"/>
      <c r="HD21" s="137"/>
    </row>
    <row r="22" spans="1:212" s="114" customFormat="1" x14ac:dyDescent="0.2">
      <c r="A22" s="110" t="s">
        <v>142</v>
      </c>
      <c r="B22" s="111"/>
      <c r="C22" s="114" t="s">
        <v>384</v>
      </c>
      <c r="E22" s="112"/>
      <c r="F22" s="113"/>
      <c r="H22" s="113"/>
      <c r="I22" s="112"/>
      <c r="J22" s="112"/>
      <c r="K22" s="112"/>
      <c r="L22" s="111"/>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GE22" s="116"/>
      <c r="GF22" s="116"/>
      <c r="GG22" s="116"/>
      <c r="GH22" s="116"/>
      <c r="GI22" s="116"/>
      <c r="GJ22" s="116"/>
      <c r="GK22" s="116"/>
      <c r="GL22" s="116"/>
      <c r="GM22" s="116"/>
      <c r="GN22" s="116"/>
      <c r="GO22" s="116"/>
      <c r="GP22" s="116"/>
      <c r="GQ22" s="116"/>
      <c r="GR22" s="116"/>
      <c r="GS22" s="116"/>
      <c r="GT22" s="116"/>
      <c r="GU22" s="116"/>
      <c r="GV22" s="116"/>
      <c r="GW22" s="116"/>
      <c r="GX22" s="116"/>
      <c r="GY22" s="116"/>
      <c r="GZ22" s="116"/>
      <c r="HA22" s="116"/>
      <c r="HB22" s="116"/>
      <c r="HC22" s="116"/>
      <c r="HD22" s="116"/>
    </row>
    <row r="23" spans="1:212" s="125" customFormat="1" ht="25.5" x14ac:dyDescent="0.2">
      <c r="A23" s="110" t="s">
        <v>143</v>
      </c>
      <c r="B23" s="123"/>
      <c r="C23" s="125" t="s">
        <v>349</v>
      </c>
      <c r="E23" s="112"/>
      <c r="F23" s="236"/>
      <c r="H23" s="236"/>
      <c r="I23" s="124"/>
      <c r="J23" s="123"/>
      <c r="K23" s="124"/>
      <c r="L23" s="123"/>
      <c r="M23" s="112"/>
      <c r="N23" s="124"/>
      <c r="O23" s="111"/>
      <c r="P23" s="124"/>
      <c r="Q23" s="124"/>
      <c r="R23" s="124"/>
      <c r="S23" s="123"/>
      <c r="T23" s="124"/>
      <c r="U23" s="123"/>
      <c r="V23" s="124"/>
      <c r="W23" s="124"/>
      <c r="X23" s="124"/>
      <c r="Y23" s="124"/>
      <c r="Z23" s="123"/>
      <c r="AA23" s="124"/>
      <c r="AB23" s="124"/>
      <c r="AC23" s="124"/>
      <c r="AD23" s="124"/>
      <c r="AE23" s="124"/>
      <c r="AF23" s="124"/>
      <c r="AG23" s="124"/>
      <c r="AH23" s="124"/>
      <c r="AI23" s="124"/>
      <c r="AJ23" s="124"/>
      <c r="AK23" s="124"/>
      <c r="GE23" s="126"/>
      <c r="GF23" s="126"/>
      <c r="GG23" s="126"/>
      <c r="GH23" s="126"/>
      <c r="GI23" s="126"/>
      <c r="GJ23" s="126"/>
      <c r="GK23" s="126"/>
      <c r="GL23" s="126"/>
      <c r="GM23" s="126"/>
      <c r="GN23" s="126"/>
      <c r="GO23" s="126"/>
      <c r="GP23" s="126"/>
      <c r="GQ23" s="126"/>
      <c r="GR23" s="126"/>
      <c r="GS23" s="126"/>
      <c r="GT23" s="126"/>
      <c r="GU23" s="126"/>
      <c r="GV23" s="126"/>
      <c r="GW23" s="126"/>
      <c r="GX23" s="126"/>
      <c r="GY23" s="126"/>
      <c r="GZ23" s="126"/>
      <c r="HA23" s="126"/>
      <c r="HB23" s="126"/>
      <c r="HC23" s="126"/>
      <c r="HD23" s="126"/>
    </row>
    <row r="24" spans="1:212" s="120" customFormat="1" ht="25.5" x14ac:dyDescent="0.2">
      <c r="A24" s="102" t="s">
        <v>144</v>
      </c>
      <c r="B24" s="103"/>
      <c r="E24" s="104"/>
      <c r="F24" s="235"/>
      <c r="H24" s="235"/>
      <c r="I24" s="119"/>
      <c r="J24" s="103"/>
      <c r="K24" s="119"/>
      <c r="L24" s="103"/>
      <c r="M24" s="104"/>
      <c r="N24" s="119"/>
      <c r="O24" s="103"/>
      <c r="P24" s="119"/>
      <c r="Q24" s="119"/>
      <c r="R24" s="119"/>
      <c r="S24" s="104"/>
      <c r="T24" s="119"/>
      <c r="U24" s="103"/>
      <c r="V24" s="119"/>
      <c r="W24" s="119"/>
      <c r="X24" s="119"/>
      <c r="Y24" s="119"/>
      <c r="Z24" s="119"/>
      <c r="AA24" s="119"/>
      <c r="AB24" s="119"/>
      <c r="AC24" s="119"/>
      <c r="AD24" s="119"/>
      <c r="AE24" s="119"/>
      <c r="AF24" s="119"/>
      <c r="AG24" s="119"/>
      <c r="AH24" s="119"/>
      <c r="AI24" s="119"/>
      <c r="AJ24" s="119"/>
      <c r="AK24" s="119"/>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row>
    <row r="25" spans="1:212" s="106" customFormat="1" x14ac:dyDescent="0.2">
      <c r="A25" s="102" t="s">
        <v>145</v>
      </c>
      <c r="B25" s="103"/>
      <c r="E25" s="104"/>
      <c r="F25" s="105"/>
      <c r="H25" s="105"/>
      <c r="I25" s="104"/>
      <c r="J25" s="103"/>
      <c r="K25" s="104"/>
      <c r="L25" s="103"/>
      <c r="M25" s="104"/>
      <c r="N25" s="104"/>
      <c r="O25" s="103"/>
      <c r="P25" s="104"/>
      <c r="Q25" s="104"/>
      <c r="R25" s="104"/>
      <c r="S25" s="103"/>
      <c r="T25" s="104"/>
      <c r="U25" s="103"/>
      <c r="V25" s="104"/>
      <c r="W25" s="104"/>
      <c r="X25" s="104"/>
      <c r="Y25" s="104"/>
      <c r="Z25" s="104"/>
      <c r="AA25" s="104"/>
      <c r="AB25" s="104"/>
      <c r="AC25" s="104"/>
      <c r="AD25" s="104"/>
      <c r="AE25" s="104"/>
      <c r="AF25" s="104"/>
      <c r="AG25" s="104"/>
      <c r="AH25" s="104"/>
      <c r="AI25" s="104"/>
      <c r="AJ25" s="104"/>
      <c r="AK25" s="104"/>
      <c r="GE25" s="107"/>
      <c r="GF25" s="107"/>
      <c r="GG25" s="107"/>
      <c r="GH25" s="107"/>
      <c r="GI25" s="107"/>
      <c r="GJ25" s="107"/>
      <c r="GK25" s="107"/>
      <c r="GL25" s="107"/>
      <c r="GM25" s="107"/>
      <c r="GN25" s="107"/>
      <c r="GO25" s="107"/>
      <c r="GP25" s="107"/>
      <c r="GQ25" s="107"/>
      <c r="GR25" s="107"/>
      <c r="GS25" s="107"/>
      <c r="GT25" s="107"/>
      <c r="GU25" s="107"/>
      <c r="GV25" s="107"/>
      <c r="GW25" s="107"/>
      <c r="GX25" s="107"/>
      <c r="GY25" s="107"/>
      <c r="GZ25" s="107"/>
      <c r="HA25" s="107"/>
      <c r="HB25" s="107"/>
      <c r="HC25" s="107"/>
      <c r="HD25" s="107"/>
    </row>
    <row r="26" spans="1:212" s="114" customFormat="1" ht="140.25" x14ac:dyDescent="0.2">
      <c r="A26" s="115" t="s">
        <v>146</v>
      </c>
      <c r="B26" s="114" t="s">
        <v>385</v>
      </c>
      <c r="C26" s="114" t="s">
        <v>386</v>
      </c>
      <c r="D26" s="242" t="s">
        <v>387</v>
      </c>
      <c r="E26" s="242" t="s">
        <v>388</v>
      </c>
      <c r="F26" s="242" t="s">
        <v>389</v>
      </c>
      <c r="G26" s="242" t="s">
        <v>390</v>
      </c>
      <c r="H26" s="242" t="s">
        <v>391</v>
      </c>
      <c r="I26" s="111" t="s">
        <v>603</v>
      </c>
      <c r="J26" s="111" t="s">
        <v>392</v>
      </c>
      <c r="K26" s="111" t="s">
        <v>607</v>
      </c>
      <c r="L26" s="111" t="s">
        <v>746</v>
      </c>
      <c r="M26" s="139"/>
      <c r="N26" s="111"/>
      <c r="O26" s="111"/>
      <c r="P26" s="111"/>
      <c r="Q26" s="111"/>
      <c r="R26" s="111"/>
      <c r="S26" s="111"/>
      <c r="T26" s="111"/>
      <c r="U26" s="111"/>
      <c r="V26" s="111"/>
      <c r="W26" s="111"/>
      <c r="X26" s="111"/>
      <c r="Y26" s="111"/>
      <c r="Z26" s="111"/>
      <c r="AA26" s="111"/>
      <c r="AB26" s="111"/>
      <c r="AC26" s="140"/>
      <c r="AD26" s="140"/>
      <c r="AE26" s="140"/>
      <c r="AF26" s="111"/>
      <c r="AG26" s="140"/>
      <c r="AH26" s="140"/>
      <c r="AI26" s="140"/>
      <c r="AJ26" s="140"/>
      <c r="AK26" s="140"/>
      <c r="AL26" s="115"/>
      <c r="AM26" s="141"/>
      <c r="AN26" s="141"/>
      <c r="AO26" s="141"/>
      <c r="AP26" s="141"/>
      <c r="AQ26" s="141"/>
      <c r="AR26" s="141"/>
      <c r="AS26" s="141"/>
      <c r="AT26" s="141"/>
      <c r="AU26" s="141"/>
      <c r="AW26" s="115"/>
      <c r="AX26" s="115"/>
      <c r="AY26" s="115"/>
      <c r="AZ26" s="115"/>
      <c r="BN26" s="141"/>
      <c r="DU26" s="115"/>
      <c r="DV26" s="115"/>
      <c r="GE26" s="116"/>
      <c r="GF26" s="116"/>
      <c r="GG26" s="116"/>
      <c r="GH26" s="116"/>
      <c r="GI26" s="116"/>
      <c r="GJ26" s="116"/>
      <c r="GK26" s="116"/>
      <c r="GL26" s="116"/>
      <c r="GM26" s="117"/>
      <c r="GN26" s="116"/>
      <c r="GO26" s="116"/>
      <c r="GP26" s="116"/>
      <c r="GQ26" s="116"/>
      <c r="GR26" s="116"/>
      <c r="GS26" s="116"/>
      <c r="GT26" s="116"/>
      <c r="GU26" s="116"/>
      <c r="GV26" s="116"/>
      <c r="GW26" s="116"/>
      <c r="GX26" s="116"/>
      <c r="GY26" s="116"/>
      <c r="GZ26" s="116"/>
      <c r="HA26" s="116"/>
      <c r="HB26" s="116"/>
      <c r="HC26" s="142"/>
      <c r="HD26" s="142"/>
    </row>
    <row r="27" spans="1:212" s="114" customFormat="1" ht="57" customHeight="1" x14ac:dyDescent="0.25">
      <c r="A27" s="110" t="s">
        <v>147</v>
      </c>
      <c r="B27" s="111" t="s">
        <v>393</v>
      </c>
      <c r="C27" s="111" t="s">
        <v>394</v>
      </c>
      <c r="D27" s="112" t="s">
        <v>395</v>
      </c>
      <c r="E27" s="112" t="s">
        <v>396</v>
      </c>
      <c r="F27" s="113" t="s">
        <v>397</v>
      </c>
      <c r="G27" s="114" t="s">
        <v>398</v>
      </c>
      <c r="H27" s="111" t="s">
        <v>399</v>
      </c>
      <c r="I27" s="112" t="s">
        <v>400</v>
      </c>
      <c r="J27" s="111" t="s">
        <v>452</v>
      </c>
      <c r="K27" s="112" t="s">
        <v>401</v>
      </c>
      <c r="L27" s="111"/>
      <c r="M27" s="112"/>
      <c r="N27" s="112"/>
      <c r="O27" s="112"/>
      <c r="P27" s="112"/>
      <c r="Q27" s="112"/>
      <c r="R27" s="112"/>
      <c r="S27" s="112"/>
      <c r="T27" s="112"/>
      <c r="U27" s="111"/>
      <c r="V27" s="112"/>
      <c r="W27" s="112"/>
      <c r="X27" s="112"/>
      <c r="Y27" s="112"/>
      <c r="Z27" s="111"/>
      <c r="AA27" s="112"/>
      <c r="AB27" s="112"/>
      <c r="AC27" s="112"/>
      <c r="AD27" s="112"/>
      <c r="AE27" s="112"/>
      <c r="AF27" s="112"/>
      <c r="AG27" s="112"/>
      <c r="AH27" s="112"/>
      <c r="AI27" s="112"/>
      <c r="AJ27" s="112"/>
      <c r="AK27" s="112"/>
    </row>
    <row r="28" spans="1:212" s="143" customFormat="1" ht="12.75" customHeight="1" x14ac:dyDescent="0.25">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1:212" s="143" customFormat="1" ht="12.75" customHeight="1" x14ac:dyDescent="0.25">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1:212" s="143" customFormat="1" ht="12.75" customHeight="1" x14ac:dyDescent="0.25">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1:212" s="143" customFormat="1" ht="12.75" customHeight="1" x14ac:dyDescent="0.25">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1:212" s="143" customFormat="1" ht="12.75" customHeight="1" x14ac:dyDescent="0.25">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2:37" s="143" customFormat="1" ht="12.75" customHeight="1" x14ac:dyDescent="0.25">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2:37" s="143" customFormat="1" ht="12.75" customHeight="1" x14ac:dyDescent="0.25">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row>
    <row r="35" spans="2:37" s="143" customFormat="1" ht="12.75" customHeight="1" x14ac:dyDescent="0.25">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row>
    <row r="36" spans="2:37" s="143" customFormat="1" ht="12.75" customHeight="1" x14ac:dyDescent="0.25">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row>
    <row r="37" spans="2:37" s="143" customFormat="1" ht="12.75" customHeight="1" x14ac:dyDescent="0.25">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row>
    <row r="38" spans="2:37" s="143" customFormat="1" ht="12.75" customHeight="1" x14ac:dyDescent="0.25">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row>
    <row r="39" spans="2:37" s="143" customFormat="1" ht="12.75" customHeight="1" x14ac:dyDescent="0.25">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row>
    <row r="40" spans="2:37" s="143" customFormat="1" ht="12.75" customHeight="1" x14ac:dyDescent="0.25">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row>
    <row r="50" spans="1:37" ht="12.75" customHeight="1" x14ac:dyDescent="0.2">
      <c r="A50" s="145" t="s">
        <v>148</v>
      </c>
    </row>
    <row r="51" spans="1:37" s="148" customFormat="1" ht="12.75" customHeight="1" x14ac:dyDescent="0.25">
      <c r="B51" s="149" t="s">
        <v>149</v>
      </c>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row>
    <row r="52" spans="1:37" ht="12.75" customHeight="1" x14ac:dyDescent="0.2">
      <c r="B52" s="150" t="s">
        <v>79</v>
      </c>
    </row>
    <row r="53" spans="1:37" ht="12.75" customHeight="1" x14ac:dyDescent="0.2">
      <c r="B53" s="151" t="s">
        <v>150</v>
      </c>
    </row>
    <row r="54" spans="1:37" ht="12.75" customHeight="1" x14ac:dyDescent="0.2">
      <c r="B54" s="151" t="s">
        <v>151</v>
      </c>
    </row>
    <row r="55" spans="1:37" ht="12.75" customHeight="1" x14ac:dyDescent="0.2">
      <c r="B55" s="151" t="s">
        <v>152</v>
      </c>
    </row>
    <row r="56" spans="1:37" ht="12.75" customHeight="1" x14ac:dyDescent="0.2">
      <c r="B56" s="151" t="s">
        <v>153</v>
      </c>
    </row>
    <row r="57" spans="1:37" ht="12.75" customHeight="1" x14ac:dyDescent="0.2">
      <c r="B57" s="151" t="s">
        <v>154</v>
      </c>
    </row>
    <row r="58" spans="1:37" ht="12.75" customHeight="1" x14ac:dyDescent="0.2">
      <c r="B58" s="151" t="s">
        <v>155</v>
      </c>
    </row>
    <row r="59" spans="1:37" ht="12.75" customHeight="1" x14ac:dyDescent="0.2">
      <c r="B59" s="151" t="s">
        <v>156</v>
      </c>
    </row>
    <row r="60" spans="1:37" ht="12.75" customHeight="1" x14ac:dyDescent="0.2">
      <c r="B60" s="151" t="s">
        <v>157</v>
      </c>
    </row>
  </sheetData>
  <sheetProtection formatCells="0" insertHyperlinks="0"/>
  <dataValidations disablePrompts="1" count="3">
    <dataValidation type="list" allowBlank="1" showInputMessage="1" showErrorMessage="1" prompt="Select from List." sqref="GE3:HD3 QA3:QZ3 ZW3:AAV3 AJS3:AKR3 ATO3:AUN3 BDK3:BEJ3 BNG3:BOF3 BXC3:BYB3 CGY3:CHX3 CQU3:CRT3 DAQ3:DBP3 DKM3:DLL3 DUI3:DVH3 EEE3:EFD3 EOA3:EOZ3 EXW3:EYV3 FHS3:FIR3 FRO3:FSN3 GBK3:GCJ3 GLG3:GMF3 GVC3:GWB3 HEY3:HFX3 HOU3:HPT3 HYQ3:HZP3 IIM3:IJL3 ISI3:ITH3 JCE3:JDD3 JMA3:JMZ3 JVW3:JWV3 KFS3:KGR3 KPO3:KQN3 KZK3:LAJ3 LJG3:LKF3 LTC3:LUB3 MCY3:MDX3 MMU3:MNT3 MWQ3:MXP3 NGM3:NHL3 NQI3:NRH3 OAE3:OBD3 OKA3:OKZ3 OTW3:OUV3 PDS3:PER3 PNO3:PON3 PXK3:PYJ3 QHG3:QIF3 QRC3:QSB3 RAY3:RBX3 RKU3:RLT3 RUQ3:RVP3 SEM3:SFL3 SOI3:SPH3 SYE3:SZD3 TIA3:TIZ3 TRW3:TSV3 UBS3:UCR3 ULO3:UMN3 UVK3:UWJ3 VFG3:VGF3 VPC3:VQB3 VYY3:VZX3 WIU3:WJT3 WSQ3:WTP3 XCM3:XDL3 GE65539:HD65539 QA65539:QZ65539 ZW65539:AAV65539 AJS65539:AKR65539 ATO65539:AUN65539 BDK65539:BEJ65539 BNG65539:BOF65539 BXC65539:BYB65539 CGY65539:CHX65539 CQU65539:CRT65539 DAQ65539:DBP65539 DKM65539:DLL65539 DUI65539:DVH65539 EEE65539:EFD65539 EOA65539:EOZ65539 EXW65539:EYV65539 FHS65539:FIR65539 FRO65539:FSN65539 GBK65539:GCJ65539 GLG65539:GMF65539 GVC65539:GWB65539 HEY65539:HFX65539 HOU65539:HPT65539 HYQ65539:HZP65539 IIM65539:IJL65539 ISI65539:ITH65539 JCE65539:JDD65539 JMA65539:JMZ65539 JVW65539:JWV65539 KFS65539:KGR65539 KPO65539:KQN65539 KZK65539:LAJ65539 LJG65539:LKF65539 LTC65539:LUB65539 MCY65539:MDX65539 MMU65539:MNT65539 MWQ65539:MXP65539 NGM65539:NHL65539 NQI65539:NRH65539 OAE65539:OBD65539 OKA65539:OKZ65539 OTW65539:OUV65539 PDS65539:PER65539 PNO65539:PON65539 PXK65539:PYJ65539 QHG65539:QIF65539 QRC65539:QSB65539 RAY65539:RBX65539 RKU65539:RLT65539 RUQ65539:RVP65539 SEM65539:SFL65539 SOI65539:SPH65539 SYE65539:SZD65539 TIA65539:TIZ65539 TRW65539:TSV65539 UBS65539:UCR65539 ULO65539:UMN65539 UVK65539:UWJ65539 VFG65539:VGF65539 VPC65539:VQB65539 VYY65539:VZX65539 WIU65539:WJT65539 WSQ65539:WTP65539 XCM65539:XDL65539 GE131075:HD131075 QA131075:QZ131075 ZW131075:AAV131075 AJS131075:AKR131075 ATO131075:AUN131075 BDK131075:BEJ131075 BNG131075:BOF131075 BXC131075:BYB131075 CGY131075:CHX131075 CQU131075:CRT131075 DAQ131075:DBP131075 DKM131075:DLL131075 DUI131075:DVH131075 EEE131075:EFD131075 EOA131075:EOZ131075 EXW131075:EYV131075 FHS131075:FIR131075 FRO131075:FSN131075 GBK131075:GCJ131075 GLG131075:GMF131075 GVC131075:GWB131075 HEY131075:HFX131075 HOU131075:HPT131075 HYQ131075:HZP131075 IIM131075:IJL131075 ISI131075:ITH131075 JCE131075:JDD131075 JMA131075:JMZ131075 JVW131075:JWV131075 KFS131075:KGR131075 KPO131075:KQN131075 KZK131075:LAJ131075 LJG131075:LKF131075 LTC131075:LUB131075 MCY131075:MDX131075 MMU131075:MNT131075 MWQ131075:MXP131075 NGM131075:NHL131075 NQI131075:NRH131075 OAE131075:OBD131075 OKA131075:OKZ131075 OTW131075:OUV131075 PDS131075:PER131075 PNO131075:PON131075 PXK131075:PYJ131075 QHG131075:QIF131075 QRC131075:QSB131075 RAY131075:RBX131075 RKU131075:RLT131075 RUQ131075:RVP131075 SEM131075:SFL131075 SOI131075:SPH131075 SYE131075:SZD131075 TIA131075:TIZ131075 TRW131075:TSV131075 UBS131075:UCR131075 ULO131075:UMN131075 UVK131075:UWJ131075 VFG131075:VGF131075 VPC131075:VQB131075 VYY131075:VZX131075 WIU131075:WJT131075 WSQ131075:WTP131075 XCM131075:XDL131075 GE196611:HD196611 QA196611:QZ196611 ZW196611:AAV196611 AJS196611:AKR196611 ATO196611:AUN196611 BDK196611:BEJ196611 BNG196611:BOF196611 BXC196611:BYB196611 CGY196611:CHX196611 CQU196611:CRT196611 DAQ196611:DBP196611 DKM196611:DLL196611 DUI196611:DVH196611 EEE196611:EFD196611 EOA196611:EOZ196611 EXW196611:EYV196611 FHS196611:FIR196611 FRO196611:FSN196611 GBK196611:GCJ196611 GLG196611:GMF196611 GVC196611:GWB196611 HEY196611:HFX196611 HOU196611:HPT196611 HYQ196611:HZP196611 IIM196611:IJL196611 ISI196611:ITH196611 JCE196611:JDD196611 JMA196611:JMZ196611 JVW196611:JWV196611 KFS196611:KGR196611 KPO196611:KQN196611 KZK196611:LAJ196611 LJG196611:LKF196611 LTC196611:LUB196611 MCY196611:MDX196611 MMU196611:MNT196611 MWQ196611:MXP196611 NGM196611:NHL196611 NQI196611:NRH196611 OAE196611:OBD196611 OKA196611:OKZ196611 OTW196611:OUV196611 PDS196611:PER196611 PNO196611:PON196611 PXK196611:PYJ196611 QHG196611:QIF196611 QRC196611:QSB196611 RAY196611:RBX196611 RKU196611:RLT196611 RUQ196611:RVP196611 SEM196611:SFL196611 SOI196611:SPH196611 SYE196611:SZD196611 TIA196611:TIZ196611 TRW196611:TSV196611 UBS196611:UCR196611 ULO196611:UMN196611 UVK196611:UWJ196611 VFG196611:VGF196611 VPC196611:VQB196611 VYY196611:VZX196611 WIU196611:WJT196611 WSQ196611:WTP196611 XCM196611:XDL196611 GE262147:HD262147 QA262147:QZ262147 ZW262147:AAV262147 AJS262147:AKR262147 ATO262147:AUN262147 BDK262147:BEJ262147 BNG262147:BOF262147 BXC262147:BYB262147 CGY262147:CHX262147 CQU262147:CRT262147 DAQ262147:DBP262147 DKM262147:DLL262147 DUI262147:DVH262147 EEE262147:EFD262147 EOA262147:EOZ262147 EXW262147:EYV262147 FHS262147:FIR262147 FRO262147:FSN262147 GBK262147:GCJ262147 GLG262147:GMF262147 GVC262147:GWB262147 HEY262147:HFX262147 HOU262147:HPT262147 HYQ262147:HZP262147 IIM262147:IJL262147 ISI262147:ITH262147 JCE262147:JDD262147 JMA262147:JMZ262147 JVW262147:JWV262147 KFS262147:KGR262147 KPO262147:KQN262147 KZK262147:LAJ262147 LJG262147:LKF262147 LTC262147:LUB262147 MCY262147:MDX262147 MMU262147:MNT262147 MWQ262147:MXP262147 NGM262147:NHL262147 NQI262147:NRH262147 OAE262147:OBD262147 OKA262147:OKZ262147 OTW262147:OUV262147 PDS262147:PER262147 PNO262147:PON262147 PXK262147:PYJ262147 QHG262147:QIF262147 QRC262147:QSB262147 RAY262147:RBX262147 RKU262147:RLT262147 RUQ262147:RVP262147 SEM262147:SFL262147 SOI262147:SPH262147 SYE262147:SZD262147 TIA262147:TIZ262147 TRW262147:TSV262147 UBS262147:UCR262147 ULO262147:UMN262147 UVK262147:UWJ262147 VFG262147:VGF262147 VPC262147:VQB262147 VYY262147:VZX262147 WIU262147:WJT262147 WSQ262147:WTP262147 XCM262147:XDL262147 GE327683:HD327683 QA327683:QZ327683 ZW327683:AAV327683 AJS327683:AKR327683 ATO327683:AUN327683 BDK327683:BEJ327683 BNG327683:BOF327683 BXC327683:BYB327683 CGY327683:CHX327683 CQU327683:CRT327683 DAQ327683:DBP327683 DKM327683:DLL327683 DUI327683:DVH327683 EEE327683:EFD327683 EOA327683:EOZ327683 EXW327683:EYV327683 FHS327683:FIR327683 FRO327683:FSN327683 GBK327683:GCJ327683 GLG327683:GMF327683 GVC327683:GWB327683 HEY327683:HFX327683 HOU327683:HPT327683 HYQ327683:HZP327683 IIM327683:IJL327683 ISI327683:ITH327683 JCE327683:JDD327683 JMA327683:JMZ327683 JVW327683:JWV327683 KFS327683:KGR327683 KPO327683:KQN327683 KZK327683:LAJ327683 LJG327683:LKF327683 LTC327683:LUB327683 MCY327683:MDX327683 MMU327683:MNT327683 MWQ327683:MXP327683 NGM327683:NHL327683 NQI327683:NRH327683 OAE327683:OBD327683 OKA327683:OKZ327683 OTW327683:OUV327683 PDS327683:PER327683 PNO327683:PON327683 PXK327683:PYJ327683 QHG327683:QIF327683 QRC327683:QSB327683 RAY327683:RBX327683 RKU327683:RLT327683 RUQ327683:RVP327683 SEM327683:SFL327683 SOI327683:SPH327683 SYE327683:SZD327683 TIA327683:TIZ327683 TRW327683:TSV327683 UBS327683:UCR327683 ULO327683:UMN327683 UVK327683:UWJ327683 VFG327683:VGF327683 VPC327683:VQB327683 VYY327683:VZX327683 WIU327683:WJT327683 WSQ327683:WTP327683 XCM327683:XDL327683 GE393219:HD393219 QA393219:QZ393219 ZW393219:AAV393219 AJS393219:AKR393219 ATO393219:AUN393219 BDK393219:BEJ393219 BNG393219:BOF393219 BXC393219:BYB393219 CGY393219:CHX393219 CQU393219:CRT393219 DAQ393219:DBP393219 DKM393219:DLL393219 DUI393219:DVH393219 EEE393219:EFD393219 EOA393219:EOZ393219 EXW393219:EYV393219 FHS393219:FIR393219 FRO393219:FSN393219 GBK393219:GCJ393219 GLG393219:GMF393219 GVC393219:GWB393219 HEY393219:HFX393219 HOU393219:HPT393219 HYQ393219:HZP393219 IIM393219:IJL393219 ISI393219:ITH393219 JCE393219:JDD393219 JMA393219:JMZ393219 JVW393219:JWV393219 KFS393219:KGR393219 KPO393219:KQN393219 KZK393219:LAJ393219 LJG393219:LKF393219 LTC393219:LUB393219 MCY393219:MDX393219 MMU393219:MNT393219 MWQ393219:MXP393219 NGM393219:NHL393219 NQI393219:NRH393219 OAE393219:OBD393219 OKA393219:OKZ393219 OTW393219:OUV393219 PDS393219:PER393219 PNO393219:PON393219 PXK393219:PYJ393219 QHG393219:QIF393219 QRC393219:QSB393219 RAY393219:RBX393219 RKU393219:RLT393219 RUQ393219:RVP393219 SEM393219:SFL393219 SOI393219:SPH393219 SYE393219:SZD393219 TIA393219:TIZ393219 TRW393219:TSV393219 UBS393219:UCR393219 ULO393219:UMN393219 UVK393219:UWJ393219 VFG393219:VGF393219 VPC393219:VQB393219 VYY393219:VZX393219 WIU393219:WJT393219 WSQ393219:WTP393219 XCM393219:XDL393219 GE458755:HD458755 QA458755:QZ458755 ZW458755:AAV458755 AJS458755:AKR458755 ATO458755:AUN458755 BDK458755:BEJ458755 BNG458755:BOF458755 BXC458755:BYB458755 CGY458755:CHX458755 CQU458755:CRT458755 DAQ458755:DBP458755 DKM458755:DLL458755 DUI458755:DVH458755 EEE458755:EFD458755 EOA458755:EOZ458755 EXW458755:EYV458755 FHS458755:FIR458755 FRO458755:FSN458755 GBK458755:GCJ458755 GLG458755:GMF458755 GVC458755:GWB458755 HEY458755:HFX458755 HOU458755:HPT458755 HYQ458755:HZP458755 IIM458755:IJL458755 ISI458755:ITH458755 JCE458755:JDD458755 JMA458755:JMZ458755 JVW458755:JWV458755 KFS458755:KGR458755 KPO458755:KQN458755 KZK458755:LAJ458755 LJG458755:LKF458755 LTC458755:LUB458755 MCY458755:MDX458755 MMU458755:MNT458755 MWQ458755:MXP458755 NGM458755:NHL458755 NQI458755:NRH458755 OAE458755:OBD458755 OKA458755:OKZ458755 OTW458755:OUV458755 PDS458755:PER458755 PNO458755:PON458755 PXK458755:PYJ458755 QHG458755:QIF458755 QRC458755:QSB458755 RAY458755:RBX458755 RKU458755:RLT458755 RUQ458755:RVP458755 SEM458755:SFL458755 SOI458755:SPH458755 SYE458755:SZD458755 TIA458755:TIZ458755 TRW458755:TSV458755 UBS458755:UCR458755 ULO458755:UMN458755 UVK458755:UWJ458755 VFG458755:VGF458755 VPC458755:VQB458755 VYY458755:VZX458755 WIU458755:WJT458755 WSQ458755:WTP458755 XCM458755:XDL458755 GE524291:HD524291 QA524291:QZ524291 ZW524291:AAV524291 AJS524291:AKR524291 ATO524291:AUN524291 BDK524291:BEJ524291 BNG524291:BOF524291 BXC524291:BYB524291 CGY524291:CHX524291 CQU524291:CRT524291 DAQ524291:DBP524291 DKM524291:DLL524291 DUI524291:DVH524291 EEE524291:EFD524291 EOA524291:EOZ524291 EXW524291:EYV524291 FHS524291:FIR524291 FRO524291:FSN524291 GBK524291:GCJ524291 GLG524291:GMF524291 GVC524291:GWB524291 HEY524291:HFX524291 HOU524291:HPT524291 HYQ524291:HZP524291 IIM524291:IJL524291 ISI524291:ITH524291 JCE524291:JDD524291 JMA524291:JMZ524291 JVW524291:JWV524291 KFS524291:KGR524291 KPO524291:KQN524291 KZK524291:LAJ524291 LJG524291:LKF524291 LTC524291:LUB524291 MCY524291:MDX524291 MMU524291:MNT524291 MWQ524291:MXP524291 NGM524291:NHL524291 NQI524291:NRH524291 OAE524291:OBD524291 OKA524291:OKZ524291 OTW524291:OUV524291 PDS524291:PER524291 PNO524291:PON524291 PXK524291:PYJ524291 QHG524291:QIF524291 QRC524291:QSB524291 RAY524291:RBX524291 RKU524291:RLT524291 RUQ524291:RVP524291 SEM524291:SFL524291 SOI524291:SPH524291 SYE524291:SZD524291 TIA524291:TIZ524291 TRW524291:TSV524291 UBS524291:UCR524291 ULO524291:UMN524291 UVK524291:UWJ524291 VFG524291:VGF524291 VPC524291:VQB524291 VYY524291:VZX524291 WIU524291:WJT524291 WSQ524291:WTP524291 XCM524291:XDL524291 GE589827:HD589827 QA589827:QZ589827 ZW589827:AAV589827 AJS589827:AKR589827 ATO589827:AUN589827 BDK589827:BEJ589827 BNG589827:BOF589827 BXC589827:BYB589827 CGY589827:CHX589827 CQU589827:CRT589827 DAQ589827:DBP589827 DKM589827:DLL589827 DUI589827:DVH589827 EEE589827:EFD589827 EOA589827:EOZ589827 EXW589827:EYV589827 FHS589827:FIR589827 FRO589827:FSN589827 GBK589827:GCJ589827 GLG589827:GMF589827 GVC589827:GWB589827 HEY589827:HFX589827 HOU589827:HPT589827 HYQ589827:HZP589827 IIM589827:IJL589827 ISI589827:ITH589827 JCE589827:JDD589827 JMA589827:JMZ589827 JVW589827:JWV589827 KFS589827:KGR589827 KPO589827:KQN589827 KZK589827:LAJ589827 LJG589827:LKF589827 LTC589827:LUB589827 MCY589827:MDX589827 MMU589827:MNT589827 MWQ589827:MXP589827 NGM589827:NHL589827 NQI589827:NRH589827 OAE589827:OBD589827 OKA589827:OKZ589827 OTW589827:OUV589827 PDS589827:PER589827 PNO589827:PON589827 PXK589827:PYJ589827 QHG589827:QIF589827 QRC589827:QSB589827 RAY589827:RBX589827 RKU589827:RLT589827 RUQ589827:RVP589827 SEM589827:SFL589827 SOI589827:SPH589827 SYE589827:SZD589827 TIA589827:TIZ589827 TRW589827:TSV589827 UBS589827:UCR589827 ULO589827:UMN589827 UVK589827:UWJ589827 VFG589827:VGF589827 VPC589827:VQB589827 VYY589827:VZX589827 WIU589827:WJT589827 WSQ589827:WTP589827 XCM589827:XDL589827 GE655363:HD655363 QA655363:QZ655363 ZW655363:AAV655363 AJS655363:AKR655363 ATO655363:AUN655363 BDK655363:BEJ655363 BNG655363:BOF655363 BXC655363:BYB655363 CGY655363:CHX655363 CQU655363:CRT655363 DAQ655363:DBP655363 DKM655363:DLL655363 DUI655363:DVH655363 EEE655363:EFD655363 EOA655363:EOZ655363 EXW655363:EYV655363 FHS655363:FIR655363 FRO655363:FSN655363 GBK655363:GCJ655363 GLG655363:GMF655363 GVC655363:GWB655363 HEY655363:HFX655363 HOU655363:HPT655363 HYQ655363:HZP655363 IIM655363:IJL655363 ISI655363:ITH655363 JCE655363:JDD655363 JMA655363:JMZ655363 JVW655363:JWV655363 KFS655363:KGR655363 KPO655363:KQN655363 KZK655363:LAJ655363 LJG655363:LKF655363 LTC655363:LUB655363 MCY655363:MDX655363 MMU655363:MNT655363 MWQ655363:MXP655363 NGM655363:NHL655363 NQI655363:NRH655363 OAE655363:OBD655363 OKA655363:OKZ655363 OTW655363:OUV655363 PDS655363:PER655363 PNO655363:PON655363 PXK655363:PYJ655363 QHG655363:QIF655363 QRC655363:QSB655363 RAY655363:RBX655363 RKU655363:RLT655363 RUQ655363:RVP655363 SEM655363:SFL655363 SOI655363:SPH655363 SYE655363:SZD655363 TIA655363:TIZ655363 TRW655363:TSV655363 UBS655363:UCR655363 ULO655363:UMN655363 UVK655363:UWJ655363 VFG655363:VGF655363 VPC655363:VQB655363 VYY655363:VZX655363 WIU655363:WJT655363 WSQ655363:WTP655363 XCM655363:XDL655363 GE720899:HD720899 QA720899:QZ720899 ZW720899:AAV720899 AJS720899:AKR720899 ATO720899:AUN720899 BDK720899:BEJ720899 BNG720899:BOF720899 BXC720899:BYB720899 CGY720899:CHX720899 CQU720899:CRT720899 DAQ720899:DBP720899 DKM720899:DLL720899 DUI720899:DVH720899 EEE720899:EFD720899 EOA720899:EOZ720899 EXW720899:EYV720899 FHS720899:FIR720899 FRO720899:FSN720899 GBK720899:GCJ720899 GLG720899:GMF720899 GVC720899:GWB720899 HEY720899:HFX720899 HOU720899:HPT720899 HYQ720899:HZP720899 IIM720899:IJL720899 ISI720899:ITH720899 JCE720899:JDD720899 JMA720899:JMZ720899 JVW720899:JWV720899 KFS720899:KGR720899 KPO720899:KQN720899 KZK720899:LAJ720899 LJG720899:LKF720899 LTC720899:LUB720899 MCY720899:MDX720899 MMU720899:MNT720899 MWQ720899:MXP720899 NGM720899:NHL720899 NQI720899:NRH720899 OAE720899:OBD720899 OKA720899:OKZ720899 OTW720899:OUV720899 PDS720899:PER720899 PNO720899:PON720899 PXK720899:PYJ720899 QHG720899:QIF720899 QRC720899:QSB720899 RAY720899:RBX720899 RKU720899:RLT720899 RUQ720899:RVP720899 SEM720899:SFL720899 SOI720899:SPH720899 SYE720899:SZD720899 TIA720899:TIZ720899 TRW720899:TSV720899 UBS720899:UCR720899 ULO720899:UMN720899 UVK720899:UWJ720899 VFG720899:VGF720899 VPC720899:VQB720899 VYY720899:VZX720899 WIU720899:WJT720899 WSQ720899:WTP720899 XCM720899:XDL720899 GE786435:HD786435 QA786435:QZ786435 ZW786435:AAV786435 AJS786435:AKR786435 ATO786435:AUN786435 BDK786435:BEJ786435 BNG786435:BOF786435 BXC786435:BYB786435 CGY786435:CHX786435 CQU786435:CRT786435 DAQ786435:DBP786435 DKM786435:DLL786435 DUI786435:DVH786435 EEE786435:EFD786435 EOA786435:EOZ786435 EXW786435:EYV786435 FHS786435:FIR786435 FRO786435:FSN786435 GBK786435:GCJ786435 GLG786435:GMF786435 GVC786435:GWB786435 HEY786435:HFX786435 HOU786435:HPT786435 HYQ786435:HZP786435 IIM786435:IJL786435 ISI786435:ITH786435 JCE786435:JDD786435 JMA786435:JMZ786435 JVW786435:JWV786435 KFS786435:KGR786435 KPO786435:KQN786435 KZK786435:LAJ786435 LJG786435:LKF786435 LTC786435:LUB786435 MCY786435:MDX786435 MMU786435:MNT786435 MWQ786435:MXP786435 NGM786435:NHL786435 NQI786435:NRH786435 OAE786435:OBD786435 OKA786435:OKZ786435 OTW786435:OUV786435 PDS786435:PER786435 PNO786435:PON786435 PXK786435:PYJ786435 QHG786435:QIF786435 QRC786435:QSB786435 RAY786435:RBX786435 RKU786435:RLT786435 RUQ786435:RVP786435 SEM786435:SFL786435 SOI786435:SPH786435 SYE786435:SZD786435 TIA786435:TIZ786435 TRW786435:TSV786435 UBS786435:UCR786435 ULO786435:UMN786435 UVK786435:UWJ786435 VFG786435:VGF786435 VPC786435:VQB786435 VYY786435:VZX786435 WIU786435:WJT786435 WSQ786435:WTP786435 XCM786435:XDL786435 GE851971:HD851971 QA851971:QZ851971 ZW851971:AAV851971 AJS851971:AKR851971 ATO851971:AUN851971 BDK851971:BEJ851971 BNG851971:BOF851971 BXC851971:BYB851971 CGY851971:CHX851971 CQU851971:CRT851971 DAQ851971:DBP851971 DKM851971:DLL851971 DUI851971:DVH851971 EEE851971:EFD851971 EOA851971:EOZ851971 EXW851971:EYV851971 FHS851971:FIR851971 FRO851971:FSN851971 GBK851971:GCJ851971 GLG851971:GMF851971 GVC851971:GWB851971 HEY851971:HFX851971 HOU851971:HPT851971 HYQ851971:HZP851971 IIM851971:IJL851971 ISI851971:ITH851971 JCE851971:JDD851971 JMA851971:JMZ851971 JVW851971:JWV851971 KFS851971:KGR851971 KPO851971:KQN851971 KZK851971:LAJ851971 LJG851971:LKF851971 LTC851971:LUB851971 MCY851971:MDX851971 MMU851971:MNT851971 MWQ851971:MXP851971 NGM851971:NHL851971 NQI851971:NRH851971 OAE851971:OBD851971 OKA851971:OKZ851971 OTW851971:OUV851971 PDS851971:PER851971 PNO851971:PON851971 PXK851971:PYJ851971 QHG851971:QIF851971 QRC851971:QSB851971 RAY851971:RBX851971 RKU851971:RLT851971 RUQ851971:RVP851971 SEM851971:SFL851971 SOI851971:SPH851971 SYE851971:SZD851971 TIA851971:TIZ851971 TRW851971:TSV851971 UBS851971:UCR851971 ULO851971:UMN851971 UVK851971:UWJ851971 VFG851971:VGF851971 VPC851971:VQB851971 VYY851971:VZX851971 WIU851971:WJT851971 WSQ851971:WTP851971 XCM851971:XDL851971 GE917507:HD917507 QA917507:QZ917507 ZW917507:AAV917507 AJS917507:AKR917507 ATO917507:AUN917507 BDK917507:BEJ917507 BNG917507:BOF917507 BXC917507:BYB917507 CGY917507:CHX917507 CQU917507:CRT917507 DAQ917507:DBP917507 DKM917507:DLL917507 DUI917507:DVH917507 EEE917507:EFD917507 EOA917507:EOZ917507 EXW917507:EYV917507 FHS917507:FIR917507 FRO917507:FSN917507 GBK917507:GCJ917507 GLG917507:GMF917507 GVC917507:GWB917507 HEY917507:HFX917507 HOU917507:HPT917507 HYQ917507:HZP917507 IIM917507:IJL917507 ISI917507:ITH917507 JCE917507:JDD917507 JMA917507:JMZ917507 JVW917507:JWV917507 KFS917507:KGR917507 KPO917507:KQN917507 KZK917507:LAJ917507 LJG917507:LKF917507 LTC917507:LUB917507 MCY917507:MDX917507 MMU917507:MNT917507 MWQ917507:MXP917507 NGM917507:NHL917507 NQI917507:NRH917507 OAE917507:OBD917507 OKA917507:OKZ917507 OTW917507:OUV917507 PDS917507:PER917507 PNO917507:PON917507 PXK917507:PYJ917507 QHG917507:QIF917507 QRC917507:QSB917507 RAY917507:RBX917507 RKU917507:RLT917507 RUQ917507:RVP917507 SEM917507:SFL917507 SOI917507:SPH917507 SYE917507:SZD917507 TIA917507:TIZ917507 TRW917507:TSV917507 UBS917507:UCR917507 ULO917507:UMN917507 UVK917507:UWJ917507 VFG917507:VGF917507 VPC917507:VQB917507 VYY917507:VZX917507 WIU917507:WJT917507 WSQ917507:WTP917507 XCM917507:XDL917507 GE983043:HD983043 QA983043:QZ983043 ZW983043:AAV983043 AJS983043:AKR983043 ATO983043:AUN983043 BDK983043:BEJ983043 BNG983043:BOF983043 BXC983043:BYB983043 CGY983043:CHX983043 CQU983043:CRT983043 DAQ983043:DBP983043 DKM983043:DLL983043 DUI983043:DVH983043 EEE983043:EFD983043 EOA983043:EOZ983043 EXW983043:EYV983043 FHS983043:FIR983043 FRO983043:FSN983043 GBK983043:GCJ983043 GLG983043:GMF983043 GVC983043:GWB983043 HEY983043:HFX983043 HOU983043:HPT983043 HYQ983043:HZP983043 IIM983043:IJL983043 ISI983043:ITH983043 JCE983043:JDD983043 JMA983043:JMZ983043 JVW983043:JWV983043 KFS983043:KGR983043 KPO983043:KQN983043 KZK983043:LAJ983043 LJG983043:LKF983043 LTC983043:LUB983043 MCY983043:MDX983043 MMU983043:MNT983043 MWQ983043:MXP983043 NGM983043:NHL983043 NQI983043:NRH983043 OAE983043:OBD983043 OKA983043:OKZ983043 OTW983043:OUV983043 PDS983043:PER983043 PNO983043:PON983043 PXK983043:PYJ983043 QHG983043:QIF983043 QRC983043:QSB983043 RAY983043:RBX983043 RKU983043:RLT983043 RUQ983043:RVP983043 SEM983043:SFL983043 SOI983043:SPH983043 SYE983043:SZD983043 TIA983043:TIZ983043 TRW983043:TSV983043 UBS983043:UCR983043 ULO983043:UMN983043 UVK983043:UWJ983043 VFG983043:VGF983043 VPC983043:VQB983043 VYY983043:VZX983043 WIU983043:WJT983043 WSQ983043:WTP983043 XCM983043:XDL983043">
      <formula1>LstSourseType</formula1>
    </dataValidation>
    <dataValidation type="list" allowBlank="1" showInputMessage="1" showErrorMessage="1" prompt="Select from list." sqref="CE16 MA16 VW16 AFS16 APO16 AZK16 BJG16 BTC16 CCY16 CMU16 CWQ16 DGM16 DQI16 EAE16 EKA16 ETW16 FDS16 FNO16 FXK16 GHG16 GRC16 HAY16 HKU16 HUQ16 IEM16 IOI16 IYE16 JIA16 JRW16 KBS16 KLO16 KVK16 LFG16 LPC16 LYY16 MIU16 MSQ16 NCM16 NMI16 NWE16 OGA16 OPW16 OZS16 PJO16 PTK16 QDG16 QNC16 QWY16 RGU16 RQQ16 SAM16 SKI16 SUE16 TEA16 TNW16 TXS16 UHO16 URK16 VBG16 VLC16 VUY16 WEU16 WOQ16 WYM16 CE65552 MA65552 VW65552 AFS65552 APO65552 AZK65552 BJG65552 BTC65552 CCY65552 CMU65552 CWQ65552 DGM65552 DQI65552 EAE65552 EKA65552 ETW65552 FDS65552 FNO65552 FXK65552 GHG65552 GRC65552 HAY65552 HKU65552 HUQ65552 IEM65552 IOI65552 IYE65552 JIA65552 JRW65552 KBS65552 KLO65552 KVK65552 LFG65552 LPC65552 LYY65552 MIU65552 MSQ65552 NCM65552 NMI65552 NWE65552 OGA65552 OPW65552 OZS65552 PJO65552 PTK65552 QDG65552 QNC65552 QWY65552 RGU65552 RQQ65552 SAM65552 SKI65552 SUE65552 TEA65552 TNW65552 TXS65552 UHO65552 URK65552 VBG65552 VLC65552 VUY65552 WEU65552 WOQ65552 WYM65552 CE131088 MA131088 VW131088 AFS131088 APO131088 AZK131088 BJG131088 BTC131088 CCY131088 CMU131088 CWQ131088 DGM131088 DQI131088 EAE131088 EKA131088 ETW131088 FDS131088 FNO131088 FXK131088 GHG131088 GRC131088 HAY131088 HKU131088 HUQ131088 IEM131088 IOI131088 IYE131088 JIA131088 JRW131088 KBS131088 KLO131088 KVK131088 LFG131088 LPC131088 LYY131088 MIU131088 MSQ131088 NCM131088 NMI131088 NWE131088 OGA131088 OPW131088 OZS131088 PJO131088 PTK131088 QDG131088 QNC131088 QWY131088 RGU131088 RQQ131088 SAM131088 SKI131088 SUE131088 TEA131088 TNW131088 TXS131088 UHO131088 URK131088 VBG131088 VLC131088 VUY131088 WEU131088 WOQ131088 WYM131088 CE196624 MA196624 VW196624 AFS196624 APO196624 AZK196624 BJG196624 BTC196624 CCY196624 CMU196624 CWQ196624 DGM196624 DQI196624 EAE196624 EKA196624 ETW196624 FDS196624 FNO196624 FXK196624 GHG196624 GRC196624 HAY196624 HKU196624 HUQ196624 IEM196624 IOI196624 IYE196624 JIA196624 JRW196624 KBS196624 KLO196624 KVK196624 LFG196624 LPC196624 LYY196624 MIU196624 MSQ196624 NCM196624 NMI196624 NWE196624 OGA196624 OPW196624 OZS196624 PJO196624 PTK196624 QDG196624 QNC196624 QWY196624 RGU196624 RQQ196624 SAM196624 SKI196624 SUE196624 TEA196624 TNW196624 TXS196624 UHO196624 URK196624 VBG196624 VLC196624 VUY196624 WEU196624 WOQ196624 WYM196624 CE262160 MA262160 VW262160 AFS262160 APO262160 AZK262160 BJG262160 BTC262160 CCY262160 CMU262160 CWQ262160 DGM262160 DQI262160 EAE262160 EKA262160 ETW262160 FDS262160 FNO262160 FXK262160 GHG262160 GRC262160 HAY262160 HKU262160 HUQ262160 IEM262160 IOI262160 IYE262160 JIA262160 JRW262160 KBS262160 KLO262160 KVK262160 LFG262160 LPC262160 LYY262160 MIU262160 MSQ262160 NCM262160 NMI262160 NWE262160 OGA262160 OPW262160 OZS262160 PJO262160 PTK262160 QDG262160 QNC262160 QWY262160 RGU262160 RQQ262160 SAM262160 SKI262160 SUE262160 TEA262160 TNW262160 TXS262160 UHO262160 URK262160 VBG262160 VLC262160 VUY262160 WEU262160 WOQ262160 WYM262160 CE327696 MA327696 VW327696 AFS327696 APO327696 AZK327696 BJG327696 BTC327696 CCY327696 CMU327696 CWQ327696 DGM327696 DQI327696 EAE327696 EKA327696 ETW327696 FDS327696 FNO327696 FXK327696 GHG327696 GRC327696 HAY327696 HKU327696 HUQ327696 IEM327696 IOI327696 IYE327696 JIA327696 JRW327696 KBS327696 KLO327696 KVK327696 LFG327696 LPC327696 LYY327696 MIU327696 MSQ327696 NCM327696 NMI327696 NWE327696 OGA327696 OPW327696 OZS327696 PJO327696 PTK327696 QDG327696 QNC327696 QWY327696 RGU327696 RQQ327696 SAM327696 SKI327696 SUE327696 TEA327696 TNW327696 TXS327696 UHO327696 URK327696 VBG327696 VLC327696 VUY327696 WEU327696 WOQ327696 WYM327696 CE393232 MA393232 VW393232 AFS393232 APO393232 AZK393232 BJG393232 BTC393232 CCY393232 CMU393232 CWQ393232 DGM393232 DQI393232 EAE393232 EKA393232 ETW393232 FDS393232 FNO393232 FXK393232 GHG393232 GRC393232 HAY393232 HKU393232 HUQ393232 IEM393232 IOI393232 IYE393232 JIA393232 JRW393232 KBS393232 KLO393232 KVK393232 LFG393232 LPC393232 LYY393232 MIU393232 MSQ393232 NCM393232 NMI393232 NWE393232 OGA393232 OPW393232 OZS393232 PJO393232 PTK393232 QDG393232 QNC393232 QWY393232 RGU393232 RQQ393232 SAM393232 SKI393232 SUE393232 TEA393232 TNW393232 TXS393232 UHO393232 URK393232 VBG393232 VLC393232 VUY393232 WEU393232 WOQ393232 WYM393232 CE458768 MA458768 VW458768 AFS458768 APO458768 AZK458768 BJG458768 BTC458768 CCY458768 CMU458768 CWQ458768 DGM458768 DQI458768 EAE458768 EKA458768 ETW458768 FDS458768 FNO458768 FXK458768 GHG458768 GRC458768 HAY458768 HKU458768 HUQ458768 IEM458768 IOI458768 IYE458768 JIA458768 JRW458768 KBS458768 KLO458768 KVK458768 LFG458768 LPC458768 LYY458768 MIU458768 MSQ458768 NCM458768 NMI458768 NWE458768 OGA458768 OPW458768 OZS458768 PJO458768 PTK458768 QDG458768 QNC458768 QWY458768 RGU458768 RQQ458768 SAM458768 SKI458768 SUE458768 TEA458768 TNW458768 TXS458768 UHO458768 URK458768 VBG458768 VLC458768 VUY458768 WEU458768 WOQ458768 WYM458768 CE524304 MA524304 VW524304 AFS524304 APO524304 AZK524304 BJG524304 BTC524304 CCY524304 CMU524304 CWQ524304 DGM524304 DQI524304 EAE524304 EKA524304 ETW524304 FDS524304 FNO524304 FXK524304 GHG524304 GRC524304 HAY524304 HKU524304 HUQ524304 IEM524304 IOI524304 IYE524304 JIA524304 JRW524304 KBS524304 KLO524304 KVK524304 LFG524304 LPC524304 LYY524304 MIU524304 MSQ524304 NCM524304 NMI524304 NWE524304 OGA524304 OPW524304 OZS524304 PJO524304 PTK524304 QDG524304 QNC524304 QWY524304 RGU524304 RQQ524304 SAM524304 SKI524304 SUE524304 TEA524304 TNW524304 TXS524304 UHO524304 URK524304 VBG524304 VLC524304 VUY524304 WEU524304 WOQ524304 WYM524304 CE589840 MA589840 VW589840 AFS589840 APO589840 AZK589840 BJG589840 BTC589840 CCY589840 CMU589840 CWQ589840 DGM589840 DQI589840 EAE589840 EKA589840 ETW589840 FDS589840 FNO589840 FXK589840 GHG589840 GRC589840 HAY589840 HKU589840 HUQ589840 IEM589840 IOI589840 IYE589840 JIA589840 JRW589840 KBS589840 KLO589840 KVK589840 LFG589840 LPC589840 LYY589840 MIU589840 MSQ589840 NCM589840 NMI589840 NWE589840 OGA589840 OPW589840 OZS589840 PJO589840 PTK589840 QDG589840 QNC589840 QWY589840 RGU589840 RQQ589840 SAM589840 SKI589840 SUE589840 TEA589840 TNW589840 TXS589840 UHO589840 URK589840 VBG589840 VLC589840 VUY589840 WEU589840 WOQ589840 WYM589840 CE655376 MA655376 VW655376 AFS655376 APO655376 AZK655376 BJG655376 BTC655376 CCY655376 CMU655376 CWQ655376 DGM655376 DQI655376 EAE655376 EKA655376 ETW655376 FDS655376 FNO655376 FXK655376 GHG655376 GRC655376 HAY655376 HKU655376 HUQ655376 IEM655376 IOI655376 IYE655376 JIA655376 JRW655376 KBS655376 KLO655376 KVK655376 LFG655376 LPC655376 LYY655376 MIU655376 MSQ655376 NCM655376 NMI655376 NWE655376 OGA655376 OPW655376 OZS655376 PJO655376 PTK655376 QDG655376 QNC655376 QWY655376 RGU655376 RQQ655376 SAM655376 SKI655376 SUE655376 TEA655376 TNW655376 TXS655376 UHO655376 URK655376 VBG655376 VLC655376 VUY655376 WEU655376 WOQ655376 WYM655376 CE720912 MA720912 VW720912 AFS720912 APO720912 AZK720912 BJG720912 BTC720912 CCY720912 CMU720912 CWQ720912 DGM720912 DQI720912 EAE720912 EKA720912 ETW720912 FDS720912 FNO720912 FXK720912 GHG720912 GRC720912 HAY720912 HKU720912 HUQ720912 IEM720912 IOI720912 IYE720912 JIA720912 JRW720912 KBS720912 KLO720912 KVK720912 LFG720912 LPC720912 LYY720912 MIU720912 MSQ720912 NCM720912 NMI720912 NWE720912 OGA720912 OPW720912 OZS720912 PJO720912 PTK720912 QDG720912 QNC720912 QWY720912 RGU720912 RQQ720912 SAM720912 SKI720912 SUE720912 TEA720912 TNW720912 TXS720912 UHO720912 URK720912 VBG720912 VLC720912 VUY720912 WEU720912 WOQ720912 WYM720912 CE786448 MA786448 VW786448 AFS786448 APO786448 AZK786448 BJG786448 BTC786448 CCY786448 CMU786448 CWQ786448 DGM786448 DQI786448 EAE786448 EKA786448 ETW786448 FDS786448 FNO786448 FXK786448 GHG786448 GRC786448 HAY786448 HKU786448 HUQ786448 IEM786448 IOI786448 IYE786448 JIA786448 JRW786448 KBS786448 KLO786448 KVK786448 LFG786448 LPC786448 LYY786448 MIU786448 MSQ786448 NCM786448 NMI786448 NWE786448 OGA786448 OPW786448 OZS786448 PJO786448 PTK786448 QDG786448 QNC786448 QWY786448 RGU786448 RQQ786448 SAM786448 SKI786448 SUE786448 TEA786448 TNW786448 TXS786448 UHO786448 URK786448 VBG786448 VLC786448 VUY786448 WEU786448 WOQ786448 WYM786448 CE851984 MA851984 VW851984 AFS851984 APO851984 AZK851984 BJG851984 BTC851984 CCY851984 CMU851984 CWQ851984 DGM851984 DQI851984 EAE851984 EKA851984 ETW851984 FDS851984 FNO851984 FXK851984 GHG851984 GRC851984 HAY851984 HKU851984 HUQ851984 IEM851984 IOI851984 IYE851984 JIA851984 JRW851984 KBS851984 KLO851984 KVK851984 LFG851984 LPC851984 LYY851984 MIU851984 MSQ851984 NCM851984 NMI851984 NWE851984 OGA851984 OPW851984 OZS851984 PJO851984 PTK851984 QDG851984 QNC851984 QWY851984 RGU851984 RQQ851984 SAM851984 SKI851984 SUE851984 TEA851984 TNW851984 TXS851984 UHO851984 URK851984 VBG851984 VLC851984 VUY851984 WEU851984 WOQ851984 WYM851984 CE917520 MA917520 VW917520 AFS917520 APO917520 AZK917520 BJG917520 BTC917520 CCY917520 CMU917520 CWQ917520 DGM917520 DQI917520 EAE917520 EKA917520 ETW917520 FDS917520 FNO917520 FXK917520 GHG917520 GRC917520 HAY917520 HKU917520 HUQ917520 IEM917520 IOI917520 IYE917520 JIA917520 JRW917520 KBS917520 KLO917520 KVK917520 LFG917520 LPC917520 LYY917520 MIU917520 MSQ917520 NCM917520 NMI917520 NWE917520 OGA917520 OPW917520 OZS917520 PJO917520 PTK917520 QDG917520 QNC917520 QWY917520 RGU917520 RQQ917520 SAM917520 SKI917520 SUE917520 TEA917520 TNW917520 TXS917520 UHO917520 URK917520 VBG917520 VLC917520 VUY917520 WEU917520 WOQ917520 WYM917520 CE983056 MA983056 VW983056 AFS983056 APO983056 AZK983056 BJG983056 BTC983056 CCY983056 CMU983056 CWQ983056 DGM983056 DQI983056 EAE983056 EKA983056 ETW983056 FDS983056 FNO983056 FXK983056 GHG983056 GRC983056 HAY983056 HKU983056 HUQ983056 IEM983056 IOI983056 IYE983056 JIA983056 JRW983056 KBS983056 KLO983056 KVK983056 LFG983056 LPC983056 LYY983056 MIU983056 MSQ983056 NCM983056 NMI983056 NWE983056 OGA983056 OPW983056 OZS983056 PJO983056 PTK983056 QDG983056 QNC983056 QWY983056 RGU983056 RQQ983056 SAM983056 SKI983056 SUE983056 TEA983056 TNW983056 TXS983056 UHO983056 URK983056 VBG983056 VLC983056 VUY983056 WEU983056 WOQ983056 WYM983056 WVP983059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SB19 WBX19 WLT19 WVP19 RDX983059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RNT983059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RXP983059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SHL983059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SRH98305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TBD983059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TKZ983059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TUV983059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UER983059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UON98305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UYJ983059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VIF983059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VSB983059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WBX983059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WLT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F19 F65555 F131091 F196627 F262163 F327699 F393235 F458771 F524307 F589843 F655379 F720915 F786451 F851987 F917523 F983059 H19">
      <formula1>"Yes, No"</formula1>
    </dataValidation>
    <dataValidation type="list" allowBlank="1" showInputMessage="1" showErrorMessage="1" prompt="Select from List." sqref="HE3:IX3 RA3:ST3 AAW3:ACP3 AKS3:AML3 AUO3:AWH3 BEK3:BGD3 BOG3:BPZ3 BYC3:BZV3 CHY3:CJR3 CRU3:CTN3 DBQ3:DDJ3 DLM3:DNF3 DVI3:DXB3 EFE3:EGX3 EPA3:EQT3 EYW3:FAP3 FIS3:FKL3 FSO3:FUH3 GCK3:GED3 GMG3:GNZ3 GWC3:GXV3 HFY3:HHR3 HPU3:HRN3 HZQ3:IBJ3 IJM3:ILF3 ITI3:IVB3 JDE3:JEX3 JNA3:JOT3 JWW3:JYP3 KGS3:KIL3 KQO3:KSH3 LAK3:LCD3 LKG3:LLZ3 LUC3:LVV3 MDY3:MFR3 MNU3:MPN3 MXQ3:MZJ3 NHM3:NJF3 NRI3:NTB3 OBE3:OCX3 OLA3:OMT3 OUW3:OWP3 PES3:PGL3 POO3:PQH3 PYK3:QAD3 QIG3:QJZ3 QSC3:QTV3 RBY3:RDR3 RLU3:RNN3 RVQ3:RXJ3 SFM3:SHF3 SPI3:SRB3 SZE3:TAX3 TJA3:TKT3 TSW3:TUP3 UCS3:UEL3 UMO3:UOH3 UWK3:UYD3 VGG3:VHZ3 VQC3:VRV3 VZY3:WBR3 WJU3:WLN3 WTQ3:WVJ3 XDM3:XFD3 HE65539:IX65539 RA65539:ST65539 AAW65539:ACP65539 AKS65539:AML65539 AUO65539:AWH65539 BEK65539:BGD65539 BOG65539:BPZ65539 BYC65539:BZV65539 CHY65539:CJR65539 CRU65539:CTN65539 DBQ65539:DDJ65539 DLM65539:DNF65539 DVI65539:DXB65539 EFE65539:EGX65539 EPA65539:EQT65539 EYW65539:FAP65539 FIS65539:FKL65539 FSO65539:FUH65539 GCK65539:GED65539 GMG65539:GNZ65539 GWC65539:GXV65539 HFY65539:HHR65539 HPU65539:HRN65539 HZQ65539:IBJ65539 IJM65539:ILF65539 ITI65539:IVB65539 JDE65539:JEX65539 JNA65539:JOT65539 JWW65539:JYP65539 KGS65539:KIL65539 KQO65539:KSH65539 LAK65539:LCD65539 LKG65539:LLZ65539 LUC65539:LVV65539 MDY65539:MFR65539 MNU65539:MPN65539 MXQ65539:MZJ65539 NHM65539:NJF65539 NRI65539:NTB65539 OBE65539:OCX65539 OLA65539:OMT65539 OUW65539:OWP65539 PES65539:PGL65539 POO65539:PQH65539 PYK65539:QAD65539 QIG65539:QJZ65539 QSC65539:QTV65539 RBY65539:RDR65539 RLU65539:RNN65539 RVQ65539:RXJ65539 SFM65539:SHF65539 SPI65539:SRB65539 SZE65539:TAX65539 TJA65539:TKT65539 TSW65539:TUP65539 UCS65539:UEL65539 UMO65539:UOH65539 UWK65539:UYD65539 VGG65539:VHZ65539 VQC65539:VRV65539 VZY65539:WBR65539 WJU65539:WLN65539 WTQ65539:WVJ65539 XDM65539:XFD65539 HE131075:IX131075 RA131075:ST131075 AAW131075:ACP131075 AKS131075:AML131075 AUO131075:AWH131075 BEK131075:BGD131075 BOG131075:BPZ131075 BYC131075:BZV131075 CHY131075:CJR131075 CRU131075:CTN131075 DBQ131075:DDJ131075 DLM131075:DNF131075 DVI131075:DXB131075 EFE131075:EGX131075 EPA131075:EQT131075 EYW131075:FAP131075 FIS131075:FKL131075 FSO131075:FUH131075 GCK131075:GED131075 GMG131075:GNZ131075 GWC131075:GXV131075 HFY131075:HHR131075 HPU131075:HRN131075 HZQ131075:IBJ131075 IJM131075:ILF131075 ITI131075:IVB131075 JDE131075:JEX131075 JNA131075:JOT131075 JWW131075:JYP131075 KGS131075:KIL131075 KQO131075:KSH131075 LAK131075:LCD131075 LKG131075:LLZ131075 LUC131075:LVV131075 MDY131075:MFR131075 MNU131075:MPN131075 MXQ131075:MZJ131075 NHM131075:NJF131075 NRI131075:NTB131075 OBE131075:OCX131075 OLA131075:OMT131075 OUW131075:OWP131075 PES131075:PGL131075 POO131075:PQH131075 PYK131075:QAD131075 QIG131075:QJZ131075 QSC131075:QTV131075 RBY131075:RDR131075 RLU131075:RNN131075 RVQ131075:RXJ131075 SFM131075:SHF131075 SPI131075:SRB131075 SZE131075:TAX131075 TJA131075:TKT131075 TSW131075:TUP131075 UCS131075:UEL131075 UMO131075:UOH131075 UWK131075:UYD131075 VGG131075:VHZ131075 VQC131075:VRV131075 VZY131075:WBR131075 WJU131075:WLN131075 WTQ131075:WVJ131075 XDM131075:XFD131075 HE196611:IX196611 RA196611:ST196611 AAW196611:ACP196611 AKS196611:AML196611 AUO196611:AWH196611 BEK196611:BGD196611 BOG196611:BPZ196611 BYC196611:BZV196611 CHY196611:CJR196611 CRU196611:CTN196611 DBQ196611:DDJ196611 DLM196611:DNF196611 DVI196611:DXB196611 EFE196611:EGX196611 EPA196611:EQT196611 EYW196611:FAP196611 FIS196611:FKL196611 FSO196611:FUH196611 GCK196611:GED196611 GMG196611:GNZ196611 GWC196611:GXV196611 HFY196611:HHR196611 HPU196611:HRN196611 HZQ196611:IBJ196611 IJM196611:ILF196611 ITI196611:IVB196611 JDE196611:JEX196611 JNA196611:JOT196611 JWW196611:JYP196611 KGS196611:KIL196611 KQO196611:KSH196611 LAK196611:LCD196611 LKG196611:LLZ196611 LUC196611:LVV196611 MDY196611:MFR196611 MNU196611:MPN196611 MXQ196611:MZJ196611 NHM196611:NJF196611 NRI196611:NTB196611 OBE196611:OCX196611 OLA196611:OMT196611 OUW196611:OWP196611 PES196611:PGL196611 POO196611:PQH196611 PYK196611:QAD196611 QIG196611:QJZ196611 QSC196611:QTV196611 RBY196611:RDR196611 RLU196611:RNN196611 RVQ196611:RXJ196611 SFM196611:SHF196611 SPI196611:SRB196611 SZE196611:TAX196611 TJA196611:TKT196611 TSW196611:TUP196611 UCS196611:UEL196611 UMO196611:UOH196611 UWK196611:UYD196611 VGG196611:VHZ196611 VQC196611:VRV196611 VZY196611:WBR196611 WJU196611:WLN196611 WTQ196611:WVJ196611 XDM196611:XFD196611 HE262147:IX262147 RA262147:ST262147 AAW262147:ACP262147 AKS262147:AML262147 AUO262147:AWH262147 BEK262147:BGD262147 BOG262147:BPZ262147 BYC262147:BZV262147 CHY262147:CJR262147 CRU262147:CTN262147 DBQ262147:DDJ262147 DLM262147:DNF262147 DVI262147:DXB262147 EFE262147:EGX262147 EPA262147:EQT262147 EYW262147:FAP262147 FIS262147:FKL262147 FSO262147:FUH262147 GCK262147:GED262147 GMG262147:GNZ262147 GWC262147:GXV262147 HFY262147:HHR262147 HPU262147:HRN262147 HZQ262147:IBJ262147 IJM262147:ILF262147 ITI262147:IVB262147 JDE262147:JEX262147 JNA262147:JOT262147 JWW262147:JYP262147 KGS262147:KIL262147 KQO262147:KSH262147 LAK262147:LCD262147 LKG262147:LLZ262147 LUC262147:LVV262147 MDY262147:MFR262147 MNU262147:MPN262147 MXQ262147:MZJ262147 NHM262147:NJF262147 NRI262147:NTB262147 OBE262147:OCX262147 OLA262147:OMT262147 OUW262147:OWP262147 PES262147:PGL262147 POO262147:PQH262147 PYK262147:QAD262147 QIG262147:QJZ262147 QSC262147:QTV262147 RBY262147:RDR262147 RLU262147:RNN262147 RVQ262147:RXJ262147 SFM262147:SHF262147 SPI262147:SRB262147 SZE262147:TAX262147 TJA262147:TKT262147 TSW262147:TUP262147 UCS262147:UEL262147 UMO262147:UOH262147 UWK262147:UYD262147 VGG262147:VHZ262147 VQC262147:VRV262147 VZY262147:WBR262147 WJU262147:WLN262147 WTQ262147:WVJ262147 XDM262147:XFD262147 HE327683:IX327683 RA327683:ST327683 AAW327683:ACP327683 AKS327683:AML327683 AUO327683:AWH327683 BEK327683:BGD327683 BOG327683:BPZ327683 BYC327683:BZV327683 CHY327683:CJR327683 CRU327683:CTN327683 DBQ327683:DDJ327683 DLM327683:DNF327683 DVI327683:DXB327683 EFE327683:EGX327683 EPA327683:EQT327683 EYW327683:FAP327683 FIS327683:FKL327683 FSO327683:FUH327683 GCK327683:GED327683 GMG327683:GNZ327683 GWC327683:GXV327683 HFY327683:HHR327683 HPU327683:HRN327683 HZQ327683:IBJ327683 IJM327683:ILF327683 ITI327683:IVB327683 JDE327683:JEX327683 JNA327683:JOT327683 JWW327683:JYP327683 KGS327683:KIL327683 KQO327683:KSH327683 LAK327683:LCD327683 LKG327683:LLZ327683 LUC327683:LVV327683 MDY327683:MFR327683 MNU327683:MPN327683 MXQ327683:MZJ327683 NHM327683:NJF327683 NRI327683:NTB327683 OBE327683:OCX327683 OLA327683:OMT327683 OUW327683:OWP327683 PES327683:PGL327683 POO327683:PQH327683 PYK327683:QAD327683 QIG327683:QJZ327683 QSC327683:QTV327683 RBY327683:RDR327683 RLU327683:RNN327683 RVQ327683:RXJ327683 SFM327683:SHF327683 SPI327683:SRB327683 SZE327683:TAX327683 TJA327683:TKT327683 TSW327683:TUP327683 UCS327683:UEL327683 UMO327683:UOH327683 UWK327683:UYD327683 VGG327683:VHZ327683 VQC327683:VRV327683 VZY327683:WBR327683 WJU327683:WLN327683 WTQ327683:WVJ327683 XDM327683:XFD327683 HE393219:IX393219 RA393219:ST393219 AAW393219:ACP393219 AKS393219:AML393219 AUO393219:AWH393219 BEK393219:BGD393219 BOG393219:BPZ393219 BYC393219:BZV393219 CHY393219:CJR393219 CRU393219:CTN393219 DBQ393219:DDJ393219 DLM393219:DNF393219 DVI393219:DXB393219 EFE393219:EGX393219 EPA393219:EQT393219 EYW393219:FAP393219 FIS393219:FKL393219 FSO393219:FUH393219 GCK393219:GED393219 GMG393219:GNZ393219 GWC393219:GXV393219 HFY393219:HHR393219 HPU393219:HRN393219 HZQ393219:IBJ393219 IJM393219:ILF393219 ITI393219:IVB393219 JDE393219:JEX393219 JNA393219:JOT393219 JWW393219:JYP393219 KGS393219:KIL393219 KQO393219:KSH393219 LAK393219:LCD393219 LKG393219:LLZ393219 LUC393219:LVV393219 MDY393219:MFR393219 MNU393219:MPN393219 MXQ393219:MZJ393219 NHM393219:NJF393219 NRI393219:NTB393219 OBE393219:OCX393219 OLA393219:OMT393219 OUW393219:OWP393219 PES393219:PGL393219 POO393219:PQH393219 PYK393219:QAD393219 QIG393219:QJZ393219 QSC393219:QTV393219 RBY393219:RDR393219 RLU393219:RNN393219 RVQ393219:RXJ393219 SFM393219:SHF393219 SPI393219:SRB393219 SZE393219:TAX393219 TJA393219:TKT393219 TSW393219:TUP393219 UCS393219:UEL393219 UMO393219:UOH393219 UWK393219:UYD393219 VGG393219:VHZ393219 VQC393219:VRV393219 VZY393219:WBR393219 WJU393219:WLN393219 WTQ393219:WVJ393219 XDM393219:XFD393219 HE458755:IX458755 RA458755:ST458755 AAW458755:ACP458755 AKS458755:AML458755 AUO458755:AWH458755 BEK458755:BGD458755 BOG458755:BPZ458755 BYC458755:BZV458755 CHY458755:CJR458755 CRU458755:CTN458755 DBQ458755:DDJ458755 DLM458755:DNF458755 DVI458755:DXB458755 EFE458755:EGX458755 EPA458755:EQT458755 EYW458755:FAP458755 FIS458755:FKL458755 FSO458755:FUH458755 GCK458755:GED458755 GMG458755:GNZ458755 GWC458755:GXV458755 HFY458755:HHR458755 HPU458755:HRN458755 HZQ458755:IBJ458755 IJM458755:ILF458755 ITI458755:IVB458755 JDE458755:JEX458755 JNA458755:JOT458755 JWW458755:JYP458755 KGS458755:KIL458755 KQO458755:KSH458755 LAK458755:LCD458755 LKG458755:LLZ458755 LUC458755:LVV458755 MDY458755:MFR458755 MNU458755:MPN458755 MXQ458755:MZJ458755 NHM458755:NJF458755 NRI458755:NTB458755 OBE458755:OCX458755 OLA458755:OMT458755 OUW458755:OWP458755 PES458755:PGL458755 POO458755:PQH458755 PYK458755:QAD458755 QIG458755:QJZ458755 QSC458755:QTV458755 RBY458755:RDR458755 RLU458755:RNN458755 RVQ458755:RXJ458755 SFM458755:SHF458755 SPI458755:SRB458755 SZE458755:TAX458755 TJA458755:TKT458755 TSW458755:TUP458755 UCS458755:UEL458755 UMO458755:UOH458755 UWK458755:UYD458755 VGG458755:VHZ458755 VQC458755:VRV458755 VZY458755:WBR458755 WJU458755:WLN458755 WTQ458755:WVJ458755 XDM458755:XFD458755 HE524291:IX524291 RA524291:ST524291 AAW524291:ACP524291 AKS524291:AML524291 AUO524291:AWH524291 BEK524291:BGD524291 BOG524291:BPZ524291 BYC524291:BZV524291 CHY524291:CJR524291 CRU524291:CTN524291 DBQ524291:DDJ524291 DLM524291:DNF524291 DVI524291:DXB524291 EFE524291:EGX524291 EPA524291:EQT524291 EYW524291:FAP524291 FIS524291:FKL524291 FSO524291:FUH524291 GCK524291:GED524291 GMG524291:GNZ524291 GWC524291:GXV524291 HFY524291:HHR524291 HPU524291:HRN524291 HZQ524291:IBJ524291 IJM524291:ILF524291 ITI524291:IVB524291 JDE524291:JEX524291 JNA524291:JOT524291 JWW524291:JYP524291 KGS524291:KIL524291 KQO524291:KSH524291 LAK524291:LCD524291 LKG524291:LLZ524291 LUC524291:LVV524291 MDY524291:MFR524291 MNU524291:MPN524291 MXQ524291:MZJ524291 NHM524291:NJF524291 NRI524291:NTB524291 OBE524291:OCX524291 OLA524291:OMT524291 OUW524291:OWP524291 PES524291:PGL524291 POO524291:PQH524291 PYK524291:QAD524291 QIG524291:QJZ524291 QSC524291:QTV524291 RBY524291:RDR524291 RLU524291:RNN524291 RVQ524291:RXJ524291 SFM524291:SHF524291 SPI524291:SRB524291 SZE524291:TAX524291 TJA524291:TKT524291 TSW524291:TUP524291 UCS524291:UEL524291 UMO524291:UOH524291 UWK524291:UYD524291 VGG524291:VHZ524291 VQC524291:VRV524291 VZY524291:WBR524291 WJU524291:WLN524291 WTQ524291:WVJ524291 XDM524291:XFD524291 HE589827:IX589827 RA589827:ST589827 AAW589827:ACP589827 AKS589827:AML589827 AUO589827:AWH589827 BEK589827:BGD589827 BOG589827:BPZ589827 BYC589827:BZV589827 CHY589827:CJR589827 CRU589827:CTN589827 DBQ589827:DDJ589827 DLM589827:DNF589827 DVI589827:DXB589827 EFE589827:EGX589827 EPA589827:EQT589827 EYW589827:FAP589827 FIS589827:FKL589827 FSO589827:FUH589827 GCK589827:GED589827 GMG589827:GNZ589827 GWC589827:GXV589827 HFY589827:HHR589827 HPU589827:HRN589827 HZQ589827:IBJ589827 IJM589827:ILF589827 ITI589827:IVB589827 JDE589827:JEX589827 JNA589827:JOT589827 JWW589827:JYP589827 KGS589827:KIL589827 KQO589827:KSH589827 LAK589827:LCD589827 LKG589827:LLZ589827 LUC589827:LVV589827 MDY589827:MFR589827 MNU589827:MPN589827 MXQ589827:MZJ589827 NHM589827:NJF589827 NRI589827:NTB589827 OBE589827:OCX589827 OLA589827:OMT589827 OUW589827:OWP589827 PES589827:PGL589827 POO589827:PQH589827 PYK589827:QAD589827 QIG589827:QJZ589827 QSC589827:QTV589827 RBY589827:RDR589827 RLU589827:RNN589827 RVQ589827:RXJ589827 SFM589827:SHF589827 SPI589827:SRB589827 SZE589827:TAX589827 TJA589827:TKT589827 TSW589827:TUP589827 UCS589827:UEL589827 UMO589827:UOH589827 UWK589827:UYD589827 VGG589827:VHZ589827 VQC589827:VRV589827 VZY589827:WBR589827 WJU589827:WLN589827 WTQ589827:WVJ589827 XDM589827:XFD589827 HE655363:IX655363 RA655363:ST655363 AAW655363:ACP655363 AKS655363:AML655363 AUO655363:AWH655363 BEK655363:BGD655363 BOG655363:BPZ655363 BYC655363:BZV655363 CHY655363:CJR655363 CRU655363:CTN655363 DBQ655363:DDJ655363 DLM655363:DNF655363 DVI655363:DXB655363 EFE655363:EGX655363 EPA655363:EQT655363 EYW655363:FAP655363 FIS655363:FKL655363 FSO655363:FUH655363 GCK655363:GED655363 GMG655363:GNZ655363 GWC655363:GXV655363 HFY655363:HHR655363 HPU655363:HRN655363 HZQ655363:IBJ655363 IJM655363:ILF655363 ITI655363:IVB655363 JDE655363:JEX655363 JNA655363:JOT655363 JWW655363:JYP655363 KGS655363:KIL655363 KQO655363:KSH655363 LAK655363:LCD655363 LKG655363:LLZ655363 LUC655363:LVV655363 MDY655363:MFR655363 MNU655363:MPN655363 MXQ655363:MZJ655363 NHM655363:NJF655363 NRI655363:NTB655363 OBE655363:OCX655363 OLA655363:OMT655363 OUW655363:OWP655363 PES655363:PGL655363 POO655363:PQH655363 PYK655363:QAD655363 QIG655363:QJZ655363 QSC655363:QTV655363 RBY655363:RDR655363 RLU655363:RNN655363 RVQ655363:RXJ655363 SFM655363:SHF655363 SPI655363:SRB655363 SZE655363:TAX655363 TJA655363:TKT655363 TSW655363:TUP655363 UCS655363:UEL655363 UMO655363:UOH655363 UWK655363:UYD655363 VGG655363:VHZ655363 VQC655363:VRV655363 VZY655363:WBR655363 WJU655363:WLN655363 WTQ655363:WVJ655363 XDM655363:XFD655363 HE720899:IX720899 RA720899:ST720899 AAW720899:ACP720899 AKS720899:AML720899 AUO720899:AWH720899 BEK720899:BGD720899 BOG720899:BPZ720899 BYC720899:BZV720899 CHY720899:CJR720899 CRU720899:CTN720899 DBQ720899:DDJ720899 DLM720899:DNF720899 DVI720899:DXB720899 EFE720899:EGX720899 EPA720899:EQT720899 EYW720899:FAP720899 FIS720899:FKL720899 FSO720899:FUH720899 GCK720899:GED720899 GMG720899:GNZ720899 GWC720899:GXV720899 HFY720899:HHR720899 HPU720899:HRN720899 HZQ720899:IBJ720899 IJM720899:ILF720899 ITI720899:IVB720899 JDE720899:JEX720899 JNA720899:JOT720899 JWW720899:JYP720899 KGS720899:KIL720899 KQO720899:KSH720899 LAK720899:LCD720899 LKG720899:LLZ720899 LUC720899:LVV720899 MDY720899:MFR720899 MNU720899:MPN720899 MXQ720899:MZJ720899 NHM720899:NJF720899 NRI720899:NTB720899 OBE720899:OCX720899 OLA720899:OMT720899 OUW720899:OWP720899 PES720899:PGL720899 POO720899:PQH720899 PYK720899:QAD720899 QIG720899:QJZ720899 QSC720899:QTV720899 RBY720899:RDR720899 RLU720899:RNN720899 RVQ720899:RXJ720899 SFM720899:SHF720899 SPI720899:SRB720899 SZE720899:TAX720899 TJA720899:TKT720899 TSW720899:TUP720899 UCS720899:UEL720899 UMO720899:UOH720899 UWK720899:UYD720899 VGG720899:VHZ720899 VQC720899:VRV720899 VZY720899:WBR720899 WJU720899:WLN720899 WTQ720899:WVJ720899 XDM720899:XFD720899 HE786435:IX786435 RA786435:ST786435 AAW786435:ACP786435 AKS786435:AML786435 AUO786435:AWH786435 BEK786435:BGD786435 BOG786435:BPZ786435 BYC786435:BZV786435 CHY786435:CJR786435 CRU786435:CTN786435 DBQ786435:DDJ786435 DLM786435:DNF786435 DVI786435:DXB786435 EFE786435:EGX786435 EPA786435:EQT786435 EYW786435:FAP786435 FIS786435:FKL786435 FSO786435:FUH786435 GCK786435:GED786435 GMG786435:GNZ786435 GWC786435:GXV786435 HFY786435:HHR786435 HPU786435:HRN786435 HZQ786435:IBJ786435 IJM786435:ILF786435 ITI786435:IVB786435 JDE786435:JEX786435 JNA786435:JOT786435 JWW786435:JYP786435 KGS786435:KIL786435 KQO786435:KSH786435 LAK786435:LCD786435 LKG786435:LLZ786435 LUC786435:LVV786435 MDY786435:MFR786435 MNU786435:MPN786435 MXQ786435:MZJ786435 NHM786435:NJF786435 NRI786435:NTB786435 OBE786435:OCX786435 OLA786435:OMT786435 OUW786435:OWP786435 PES786435:PGL786435 POO786435:PQH786435 PYK786435:QAD786435 QIG786435:QJZ786435 QSC786435:QTV786435 RBY786435:RDR786435 RLU786435:RNN786435 RVQ786435:RXJ786435 SFM786435:SHF786435 SPI786435:SRB786435 SZE786435:TAX786435 TJA786435:TKT786435 TSW786435:TUP786435 UCS786435:UEL786435 UMO786435:UOH786435 UWK786435:UYD786435 VGG786435:VHZ786435 VQC786435:VRV786435 VZY786435:WBR786435 WJU786435:WLN786435 WTQ786435:WVJ786435 XDM786435:XFD786435 HE851971:IX851971 RA851971:ST851971 AAW851971:ACP851971 AKS851971:AML851971 AUO851971:AWH851971 BEK851971:BGD851971 BOG851971:BPZ851971 BYC851971:BZV851971 CHY851971:CJR851971 CRU851971:CTN851971 DBQ851971:DDJ851971 DLM851971:DNF851971 DVI851971:DXB851971 EFE851971:EGX851971 EPA851971:EQT851971 EYW851971:FAP851971 FIS851971:FKL851971 FSO851971:FUH851971 GCK851971:GED851971 GMG851971:GNZ851971 GWC851971:GXV851971 HFY851971:HHR851971 HPU851971:HRN851971 HZQ851971:IBJ851971 IJM851971:ILF851971 ITI851971:IVB851971 JDE851971:JEX851971 JNA851971:JOT851971 JWW851971:JYP851971 KGS851971:KIL851971 KQO851971:KSH851971 LAK851971:LCD851971 LKG851971:LLZ851971 LUC851971:LVV851971 MDY851971:MFR851971 MNU851971:MPN851971 MXQ851971:MZJ851971 NHM851971:NJF851971 NRI851971:NTB851971 OBE851971:OCX851971 OLA851971:OMT851971 OUW851971:OWP851971 PES851971:PGL851971 POO851971:PQH851971 PYK851971:QAD851971 QIG851971:QJZ851971 QSC851971:QTV851971 RBY851971:RDR851971 RLU851971:RNN851971 RVQ851971:RXJ851971 SFM851971:SHF851971 SPI851971:SRB851971 SZE851971:TAX851971 TJA851971:TKT851971 TSW851971:TUP851971 UCS851971:UEL851971 UMO851971:UOH851971 UWK851971:UYD851971 VGG851971:VHZ851971 VQC851971:VRV851971 VZY851971:WBR851971 WJU851971:WLN851971 WTQ851971:WVJ851971 XDM851971:XFD851971 HE917507:IX917507 RA917507:ST917507 AAW917507:ACP917507 AKS917507:AML917507 AUO917507:AWH917507 BEK917507:BGD917507 BOG917507:BPZ917507 BYC917507:BZV917507 CHY917507:CJR917507 CRU917507:CTN917507 DBQ917507:DDJ917507 DLM917507:DNF917507 DVI917507:DXB917507 EFE917507:EGX917507 EPA917507:EQT917507 EYW917507:FAP917507 FIS917507:FKL917507 FSO917507:FUH917507 GCK917507:GED917507 GMG917507:GNZ917507 GWC917507:GXV917507 HFY917507:HHR917507 HPU917507:HRN917507 HZQ917507:IBJ917507 IJM917507:ILF917507 ITI917507:IVB917507 JDE917507:JEX917507 JNA917507:JOT917507 JWW917507:JYP917507 KGS917507:KIL917507 KQO917507:KSH917507 LAK917507:LCD917507 LKG917507:LLZ917507 LUC917507:LVV917507 MDY917507:MFR917507 MNU917507:MPN917507 MXQ917507:MZJ917507 NHM917507:NJF917507 NRI917507:NTB917507 OBE917507:OCX917507 OLA917507:OMT917507 OUW917507:OWP917507 PES917507:PGL917507 POO917507:PQH917507 PYK917507:QAD917507 QIG917507:QJZ917507 QSC917507:QTV917507 RBY917507:RDR917507 RLU917507:RNN917507 RVQ917507:RXJ917507 SFM917507:SHF917507 SPI917507:SRB917507 SZE917507:TAX917507 TJA917507:TKT917507 TSW917507:TUP917507 UCS917507:UEL917507 UMO917507:UOH917507 UWK917507:UYD917507 VGG917507:VHZ917507 VQC917507:VRV917507 VZY917507:WBR917507 WJU917507:WLN917507 WTQ917507:WVJ917507 XDM917507:XFD917507 HE983043:IX983043 RA983043:ST983043 AAW983043:ACP983043 AKS983043:AML983043 AUO983043:AWH983043 BEK983043:BGD983043 BOG983043:BPZ983043 BYC983043:BZV983043 CHY983043:CJR983043 CRU983043:CTN983043 DBQ983043:DDJ983043 DLM983043:DNF983043 DVI983043:DXB983043 EFE983043:EGX983043 EPA983043:EQT983043 EYW983043:FAP983043 FIS983043:FKL983043 FSO983043:FUH983043 GCK983043:GED983043 GMG983043:GNZ983043 GWC983043:GXV983043 HFY983043:HHR983043 HPU983043:HRN983043 HZQ983043:IBJ983043 IJM983043:ILF983043 ITI983043:IVB983043 JDE983043:JEX983043 JNA983043:JOT983043 JWW983043:JYP983043 KGS983043:KIL983043 KQO983043:KSH983043 LAK983043:LCD983043 LKG983043:LLZ983043 LUC983043:LVV983043 MDY983043:MFR983043 MNU983043:MPN983043 MXQ983043:MZJ983043 NHM983043:NJF983043 NRI983043:NTB983043 OBE983043:OCX983043 OLA983043:OMT983043 OUW983043:OWP983043 PES983043:PGL983043 POO983043:PQH983043 PYK983043:QAD983043 QIG983043:QJZ983043 QSC983043:QTV983043 RBY983043:RDR983043 RLU983043:RNN983043 RVQ983043:RXJ983043 SFM983043:SHF983043 SPI983043:SRB983043 SZE983043:TAX983043 TJA983043:TKT983043 TSW983043:TUP983043 UCS983043:UEL983043 UMO983043:UOH983043 UWK983043:UYD983043 VGG983043:VHZ983043 VQC983043:VRV983043 VZY983043:WBR983043 WJU983043:WLN983043 WTQ983043:WVJ983043 XDM983043:XFD983043 RDX98304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RNT983043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RXP983043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SHL983043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SRH983043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TBD98304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TKZ983043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TUV983043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UER983043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UON983043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UYJ98304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VIF983043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VSB983043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WBX983043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WLT983043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WVP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F3 F65539 F131075 F196611 F262147 F327683 F393219 F458755 F524291 F589827 F655363 F720899 F786435 F851971 F917507 F983043 H3:K3">
      <formula1>lstSourceType</formula1>
    </dataValidation>
  </dataValidations>
  <hyperlinks>
    <hyperlink ref="G20" r:id="rId1"/>
    <hyperlink ref="J20" r:id="rId2"/>
    <hyperlink ref="I20" r:id="rId3"/>
    <hyperlink ref="K20" r:id="rId4"/>
    <hyperlink ref="F20" r:id="rId5"/>
    <hyperlink ref="D20" r:id="rId6"/>
  </hyperlinks>
  <pageMargins left="0.25" right="0.25" top="0.5" bottom="0.5" header="0.3" footer="0.3"/>
  <pageSetup scale="99" orientation="landscape" r:id="rId7"/>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51"/>
  <sheetViews>
    <sheetView showWhiteSpace="0" zoomScaleNormal="100" zoomScalePageLayoutView="85" workbookViewId="0">
      <selection activeCell="F14" sqref="F14"/>
    </sheetView>
  </sheetViews>
  <sheetFormatPr defaultColWidth="9.140625" defaultRowHeight="12.75" x14ac:dyDescent="0.2"/>
  <cols>
    <col min="1" max="1" width="3.140625" style="3" customWidth="1"/>
    <col min="2" max="2" width="36.140625" style="3" customWidth="1"/>
    <col min="3" max="3" width="17.85546875" style="3" customWidth="1"/>
    <col min="4" max="4" width="17" style="3" customWidth="1"/>
    <col min="5" max="5" width="21.140625" style="3" customWidth="1"/>
    <col min="6" max="7" width="22" style="3" customWidth="1"/>
    <col min="8" max="8" width="17.42578125" style="3" customWidth="1"/>
    <col min="9" max="9" width="10.85546875" style="3" customWidth="1"/>
    <col min="10" max="10" width="19.855468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472" t="s">
        <v>18</v>
      </c>
      <c r="B1" s="472"/>
      <c r="C1" s="472"/>
      <c r="D1" s="472"/>
      <c r="E1" s="472"/>
      <c r="F1" s="472"/>
      <c r="G1" s="472"/>
      <c r="H1" s="472"/>
      <c r="I1" s="472"/>
      <c r="J1" s="472"/>
      <c r="K1" s="472"/>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52" t="s">
        <v>158</v>
      </c>
      <c r="C2" s="153"/>
      <c r="D2" s="153"/>
      <c r="E2" s="153"/>
      <c r="F2" s="153"/>
      <c r="G2" s="153"/>
      <c r="H2" s="153"/>
    </row>
    <row r="3" spans="1:39" s="151" customFormat="1" ht="40.5" customHeight="1" x14ac:dyDescent="0.2">
      <c r="B3" s="154" t="s">
        <v>159</v>
      </c>
      <c r="C3" s="155" t="s">
        <v>160</v>
      </c>
      <c r="D3" s="155" t="s">
        <v>161</v>
      </c>
      <c r="E3" s="155" t="s">
        <v>85</v>
      </c>
      <c r="F3" s="155" t="s">
        <v>162</v>
      </c>
      <c r="G3" s="155" t="s">
        <v>163</v>
      </c>
      <c r="H3" s="155" t="s">
        <v>164</v>
      </c>
      <c r="I3" s="156" t="s">
        <v>17</v>
      </c>
      <c r="J3" s="155" t="s">
        <v>165</v>
      </c>
      <c r="K3" s="155" t="s">
        <v>166</v>
      </c>
    </row>
    <row r="4" spans="1:39" s="151" customFormat="1" x14ac:dyDescent="0.2">
      <c r="B4" s="36" t="s">
        <v>236</v>
      </c>
      <c r="C4" s="391" t="s">
        <v>723</v>
      </c>
      <c r="D4" s="220">
        <v>2</v>
      </c>
      <c r="E4" s="220">
        <v>3</v>
      </c>
      <c r="F4" s="220">
        <v>1</v>
      </c>
      <c r="G4" s="220" t="s">
        <v>305</v>
      </c>
      <c r="H4" s="221">
        <v>1</v>
      </c>
      <c r="I4" s="157" t="str">
        <f t="shared" ref="I4:I11" si="0">IF(D4&lt;&gt;"",D4&amp;","&amp;E4&amp;","&amp;F4&amp;","&amp;G4&amp;","&amp;H4,"0,0,0,0,0")</f>
        <v>2,3,1,N/A,1</v>
      </c>
      <c r="J4" s="158" t="str">
        <f>IF(MAX(D4:H4)&gt;=5, "Requirements not met", "Requirements met")</f>
        <v>Requirements met</v>
      </c>
      <c r="K4" s="159" t="str">
        <f>IF(MAX(D4:H4)&gt;=5, "Not OK", "OK")</f>
        <v>OK</v>
      </c>
    </row>
    <row r="5" spans="1:39" s="151" customFormat="1" x14ac:dyDescent="0.2">
      <c r="B5" s="39" t="s">
        <v>456</v>
      </c>
      <c r="C5" s="391">
        <v>8</v>
      </c>
      <c r="D5" s="220">
        <v>2</v>
      </c>
      <c r="E5" s="220">
        <v>4</v>
      </c>
      <c r="F5" s="220">
        <v>1</v>
      </c>
      <c r="G5" s="220" t="s">
        <v>305</v>
      </c>
      <c r="H5" s="221">
        <v>1</v>
      </c>
      <c r="I5" s="157" t="str">
        <f t="shared" si="0"/>
        <v>2,4,1,N/A,1</v>
      </c>
      <c r="J5" s="158" t="str">
        <f>IF(MAX(D5:H5)&gt;=5, "Requirements not met", "Requirements met")</f>
        <v>Requirements met</v>
      </c>
      <c r="K5" s="159" t="str">
        <f>IF(MAX(D5:H5)&gt;=5, "Not OK", "OK")</f>
        <v>OK</v>
      </c>
    </row>
    <row r="6" spans="1:39" s="151" customFormat="1" x14ac:dyDescent="0.2">
      <c r="B6" s="41" t="s">
        <v>458</v>
      </c>
      <c r="C6" s="392" t="s">
        <v>715</v>
      </c>
      <c r="D6" s="220">
        <v>2</v>
      </c>
      <c r="E6" s="220">
        <v>3</v>
      </c>
      <c r="F6" s="220">
        <v>1</v>
      </c>
      <c r="G6" s="220" t="s">
        <v>305</v>
      </c>
      <c r="H6" s="221">
        <v>1</v>
      </c>
      <c r="I6" s="157" t="str">
        <f t="shared" si="0"/>
        <v>2,3,1,N/A,1</v>
      </c>
      <c r="J6" s="158" t="str">
        <f>IF(MAX(D6:H6)&gt;=5, "Requirements not met", "Requirements met")</f>
        <v>Requirements met</v>
      </c>
      <c r="K6" s="159" t="str">
        <f>IF(MAX(D6:H6)&gt;=5, "Not OK", "OK")</f>
        <v>OK</v>
      </c>
    </row>
    <row r="7" spans="1:39" s="151" customFormat="1" x14ac:dyDescent="0.2">
      <c r="B7" s="39" t="s">
        <v>766</v>
      </c>
      <c r="C7" s="392" t="s">
        <v>716</v>
      </c>
      <c r="D7" s="220">
        <v>2</v>
      </c>
      <c r="E7" s="220">
        <v>3</v>
      </c>
      <c r="F7" s="220">
        <v>1</v>
      </c>
      <c r="G7" s="220" t="s">
        <v>305</v>
      </c>
      <c r="H7" s="221">
        <v>1</v>
      </c>
      <c r="I7" s="157" t="str">
        <f t="shared" si="0"/>
        <v>2,3,1,N/A,1</v>
      </c>
      <c r="J7" s="158" t="str">
        <f>IF(MAX(D7:H7)&gt;=5, "Requirements not met", "Requirements met")</f>
        <v>Requirements met</v>
      </c>
      <c r="K7" s="159" t="str">
        <f>IF(MAX(D7:H7)&gt;=5, "Not OK", "OK")</f>
        <v>OK</v>
      </c>
    </row>
    <row r="8" spans="1:39" s="151" customFormat="1" x14ac:dyDescent="0.2">
      <c r="B8" s="39" t="s">
        <v>765</v>
      </c>
      <c r="C8" s="391">
        <v>5</v>
      </c>
      <c r="D8" s="220">
        <v>2</v>
      </c>
      <c r="E8" s="220">
        <v>3</v>
      </c>
      <c r="F8" s="220">
        <v>1</v>
      </c>
      <c r="G8" s="220" t="s">
        <v>305</v>
      </c>
      <c r="H8" s="221"/>
      <c r="I8" s="157" t="str">
        <f t="shared" si="0"/>
        <v>2,3,1,N/A,</v>
      </c>
      <c r="J8" s="158" t="str">
        <f t="shared" ref="J8:J11" si="1">IF(MAX(D8:H8)&gt;=5, "Requirements not met", "Requirements met")</f>
        <v>Requirements met</v>
      </c>
      <c r="K8" s="159" t="str">
        <f t="shared" ref="K8:K11" si="2">IF(MAX(D8:H8)&gt;=5, "Not OK", "OK")</f>
        <v>OK</v>
      </c>
    </row>
    <row r="9" spans="1:39" s="151" customFormat="1" x14ac:dyDescent="0.2">
      <c r="B9" s="39" t="s">
        <v>763</v>
      </c>
      <c r="C9" s="391" t="s">
        <v>771</v>
      </c>
      <c r="D9" s="220">
        <v>2</v>
      </c>
      <c r="E9" s="220">
        <v>2</v>
      </c>
      <c r="F9" s="220">
        <v>5</v>
      </c>
      <c r="G9" s="220" t="s">
        <v>305</v>
      </c>
      <c r="H9" s="221">
        <v>1</v>
      </c>
      <c r="I9" s="157" t="str">
        <f t="shared" si="0"/>
        <v>2,2,5,N/A,1</v>
      </c>
      <c r="J9" s="158" t="str">
        <f t="shared" si="1"/>
        <v>Requirements not met</v>
      </c>
      <c r="K9" s="159" t="str">
        <f t="shared" si="2"/>
        <v>Not OK</v>
      </c>
    </row>
    <row r="10" spans="1:39" s="151" customFormat="1" x14ac:dyDescent="0.2">
      <c r="B10" s="39" t="s">
        <v>681</v>
      </c>
      <c r="C10" s="395">
        <v>1</v>
      </c>
      <c r="D10" s="220">
        <v>2</v>
      </c>
      <c r="E10" s="220">
        <v>1</v>
      </c>
      <c r="F10" s="220">
        <v>3</v>
      </c>
      <c r="G10" s="220">
        <v>1</v>
      </c>
      <c r="H10" s="221">
        <v>1</v>
      </c>
      <c r="I10" s="157" t="str">
        <f t="shared" si="0"/>
        <v>2,1,3,1,1</v>
      </c>
      <c r="J10" s="158" t="str">
        <f t="shared" si="1"/>
        <v>Requirements met</v>
      </c>
      <c r="K10" s="159" t="str">
        <f t="shared" si="2"/>
        <v>OK</v>
      </c>
    </row>
    <row r="11" spans="1:39" s="151" customFormat="1" x14ac:dyDescent="0.2">
      <c r="B11" s="39" t="s">
        <v>523</v>
      </c>
      <c r="C11" s="391">
        <v>1</v>
      </c>
      <c r="D11" s="220">
        <v>2</v>
      </c>
      <c r="E11" s="220">
        <v>2</v>
      </c>
      <c r="F11" s="220">
        <v>3</v>
      </c>
      <c r="G11" s="220" t="s">
        <v>305</v>
      </c>
      <c r="H11" s="221">
        <v>1</v>
      </c>
      <c r="I11" s="157" t="str">
        <f t="shared" si="0"/>
        <v>2,2,3,N/A,1</v>
      </c>
      <c r="J11" s="158" t="str">
        <f t="shared" si="1"/>
        <v>Requirements met</v>
      </c>
      <c r="K11" s="159" t="str">
        <f t="shared" si="2"/>
        <v>OK</v>
      </c>
    </row>
    <row r="12" spans="1:39" s="151" customFormat="1" ht="12.75" customHeight="1" x14ac:dyDescent="0.2">
      <c r="B12" s="160" t="s">
        <v>73</v>
      </c>
      <c r="C12" s="161"/>
      <c r="D12" s="161"/>
      <c r="E12" s="161"/>
      <c r="F12" s="161"/>
      <c r="G12" s="161"/>
      <c r="H12" s="161"/>
      <c r="I12" s="162" t="str">
        <f>MAX(D4:D11)&amp;","&amp;MAX(E4:E11)&amp;","&amp;MAX(F4:F11)&amp;","&amp;MAX(G4:G11)&amp;","&amp;MAX(H4:H11)</f>
        <v>2,4,5,1,1</v>
      </c>
      <c r="J12" s="487"/>
      <c r="K12" s="487"/>
    </row>
    <row r="13" spans="1:39" ht="20.25" x14ac:dyDescent="0.3">
      <c r="B13" s="11"/>
      <c r="C13" s="11"/>
      <c r="D13" s="11"/>
      <c r="E13" s="11"/>
      <c r="F13" s="11"/>
      <c r="G13" s="11"/>
      <c r="H13" s="11"/>
      <c r="I13" s="5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row>
    <row r="14" spans="1:39" ht="20.25" x14ac:dyDescent="0.3">
      <c r="A14" s="152" t="s">
        <v>167</v>
      </c>
      <c r="C14" s="11"/>
      <c r="D14" s="11"/>
      <c r="E14" s="11"/>
      <c r="F14" s="11"/>
      <c r="G14" s="11"/>
      <c r="H14" s="5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row>
    <row r="15" spans="1:39" s="164" customFormat="1" ht="13.5" thickBot="1" x14ac:dyDescent="0.25">
      <c r="A15" s="163" t="s">
        <v>168</v>
      </c>
    </row>
    <row r="16" spans="1:39" ht="17.25" customHeight="1" thickBot="1" x14ac:dyDescent="0.25">
      <c r="B16" s="488" t="s">
        <v>169</v>
      </c>
      <c r="C16" s="490" t="s">
        <v>170</v>
      </c>
      <c r="D16" s="491"/>
      <c r="E16" s="491"/>
      <c r="F16" s="491"/>
      <c r="G16" s="492"/>
    </row>
    <row r="17" spans="1:18" ht="13.5" thickBot="1" x14ac:dyDescent="0.25">
      <c r="B17" s="489"/>
      <c r="C17" s="165">
        <v>1</v>
      </c>
      <c r="D17" s="165">
        <v>2</v>
      </c>
      <c r="E17" s="165">
        <v>3</v>
      </c>
      <c r="F17" s="165">
        <v>4</v>
      </c>
      <c r="G17" s="165">
        <v>5</v>
      </c>
    </row>
    <row r="18" spans="1:18" ht="72.75" thickBot="1" x14ac:dyDescent="0.25">
      <c r="B18" s="493" t="s">
        <v>171</v>
      </c>
      <c r="C18" s="166" t="s">
        <v>172</v>
      </c>
      <c r="D18" s="166" t="s">
        <v>173</v>
      </c>
      <c r="E18" s="166" t="s">
        <v>174</v>
      </c>
      <c r="F18" s="166" t="s">
        <v>175</v>
      </c>
      <c r="G18" s="166" t="s">
        <v>176</v>
      </c>
    </row>
    <row r="19" spans="1:18" ht="24" customHeight="1" thickBot="1" x14ac:dyDescent="0.25">
      <c r="B19" s="494"/>
      <c r="C19" s="496" t="s">
        <v>177</v>
      </c>
      <c r="D19" s="497"/>
      <c r="E19" s="496" t="s">
        <v>178</v>
      </c>
      <c r="F19" s="498"/>
      <c r="G19" s="497"/>
    </row>
    <row r="20" spans="1:18" ht="36.75" thickBot="1" x14ac:dyDescent="0.25">
      <c r="B20" s="495"/>
      <c r="C20" s="167" t="s">
        <v>179</v>
      </c>
      <c r="D20" s="499" t="s">
        <v>180</v>
      </c>
      <c r="E20" s="500"/>
      <c r="F20" s="501" t="s">
        <v>181</v>
      </c>
      <c r="G20" s="502"/>
    </row>
    <row r="21" spans="1:18" ht="60.75" thickBot="1" x14ac:dyDescent="0.25">
      <c r="B21" s="168" t="s">
        <v>85</v>
      </c>
      <c r="C21" s="166" t="s">
        <v>182</v>
      </c>
      <c r="D21" s="166" t="s">
        <v>183</v>
      </c>
      <c r="E21" s="166" t="s">
        <v>184</v>
      </c>
      <c r="F21" s="166" t="s">
        <v>185</v>
      </c>
      <c r="G21" s="166" t="s">
        <v>186</v>
      </c>
    </row>
    <row r="22" spans="1:18" ht="44.25" customHeight="1" thickBot="1" x14ac:dyDescent="0.25">
      <c r="B22" s="168" t="s">
        <v>162</v>
      </c>
      <c r="C22" s="166" t="s">
        <v>187</v>
      </c>
      <c r="D22" s="166" t="s">
        <v>188</v>
      </c>
      <c r="E22" s="166" t="s">
        <v>189</v>
      </c>
      <c r="F22" s="166" t="s">
        <v>190</v>
      </c>
      <c r="G22" s="166" t="s">
        <v>191</v>
      </c>
    </row>
    <row r="23" spans="1:18" ht="48.75" thickBot="1" x14ac:dyDescent="0.25">
      <c r="B23" s="168" t="s">
        <v>163</v>
      </c>
      <c r="C23" s="166" t="s">
        <v>192</v>
      </c>
      <c r="D23" s="166" t="s">
        <v>193</v>
      </c>
      <c r="E23" s="166" t="s">
        <v>194</v>
      </c>
      <c r="F23" s="166" t="s">
        <v>195</v>
      </c>
      <c r="G23" s="166" t="s">
        <v>196</v>
      </c>
    </row>
    <row r="24" spans="1:18" ht="44.25" customHeight="1" thickBot="1" x14ac:dyDescent="0.25">
      <c r="B24" s="168" t="s">
        <v>197</v>
      </c>
      <c r="C24" s="166" t="s">
        <v>198</v>
      </c>
      <c r="D24" s="496" t="s">
        <v>199</v>
      </c>
      <c r="E24" s="497"/>
      <c r="F24" s="166" t="s">
        <v>200</v>
      </c>
      <c r="G24" s="166" t="s">
        <v>201</v>
      </c>
    </row>
    <row r="25" spans="1:18" x14ac:dyDescent="0.2">
      <c r="B25" s="169"/>
      <c r="C25" s="170"/>
      <c r="D25" s="170"/>
      <c r="E25" s="170"/>
      <c r="F25" s="170"/>
      <c r="G25" s="170"/>
    </row>
    <row r="26" spans="1:18" customFormat="1" ht="15" x14ac:dyDescent="0.25">
      <c r="A26" s="171" t="s">
        <v>202</v>
      </c>
      <c r="C26" s="172"/>
      <c r="D26" s="172"/>
      <c r="E26" s="172"/>
      <c r="F26" s="172"/>
      <c r="G26" s="172"/>
      <c r="H26" s="172"/>
      <c r="I26" s="172"/>
      <c r="J26" s="172"/>
      <c r="K26" s="172"/>
      <c r="L26" s="172"/>
      <c r="M26" s="172"/>
      <c r="N26" s="172"/>
      <c r="O26" s="172"/>
      <c r="P26" s="172"/>
      <c r="Q26" s="172"/>
      <c r="R26" s="172"/>
    </row>
    <row r="27" spans="1:18" customFormat="1" ht="15" x14ac:dyDescent="0.25">
      <c r="B27" s="173" t="s">
        <v>203</v>
      </c>
      <c r="C27" s="174"/>
      <c r="D27" s="174"/>
      <c r="E27" s="174"/>
      <c r="F27" s="174"/>
      <c r="G27" s="174"/>
      <c r="H27" s="175"/>
      <c r="I27" s="172"/>
      <c r="J27" s="172"/>
      <c r="K27" s="172"/>
      <c r="L27" s="172"/>
      <c r="M27" s="172"/>
      <c r="N27" s="172"/>
      <c r="O27" s="172"/>
      <c r="P27" s="172"/>
      <c r="Q27" s="172"/>
      <c r="R27" s="172"/>
    </row>
    <row r="28" spans="1:18" customFormat="1" ht="65.25" customHeight="1" x14ac:dyDescent="0.25">
      <c r="B28" s="176"/>
      <c r="C28" s="484" t="s">
        <v>204</v>
      </c>
      <c r="D28" s="485"/>
      <c r="E28" s="485"/>
      <c r="F28" s="485"/>
      <c r="G28" s="485"/>
      <c r="H28" s="486"/>
      <c r="N28" s="177"/>
      <c r="O28" s="177"/>
      <c r="P28" s="177"/>
      <c r="Q28" s="177"/>
      <c r="R28" s="177"/>
    </row>
    <row r="29" spans="1:18" customFormat="1" ht="15" x14ac:dyDescent="0.25">
      <c r="B29" s="176"/>
      <c r="C29" s="178" t="s">
        <v>205</v>
      </c>
      <c r="D29" s="179"/>
      <c r="E29" s="179"/>
      <c r="F29" s="179"/>
      <c r="G29" s="179"/>
      <c r="H29" s="180"/>
      <c r="I29" s="172"/>
      <c r="J29" s="172"/>
      <c r="K29" s="172"/>
      <c r="L29" s="172"/>
      <c r="M29" s="172"/>
      <c r="N29" s="172"/>
      <c r="O29" s="172"/>
      <c r="P29" s="172"/>
      <c r="Q29" s="172"/>
      <c r="R29" s="172"/>
    </row>
    <row r="30" spans="1:18" customFormat="1" ht="15" x14ac:dyDescent="0.25">
      <c r="B30" s="176"/>
      <c r="C30" s="181" t="s">
        <v>206</v>
      </c>
      <c r="D30" s="182"/>
      <c r="E30" s="182"/>
      <c r="F30" s="182"/>
      <c r="G30" s="182"/>
      <c r="H30" s="183"/>
      <c r="I30" s="172"/>
      <c r="J30" s="172"/>
      <c r="K30" s="172"/>
      <c r="L30" s="172"/>
      <c r="M30" s="172"/>
      <c r="N30" s="172"/>
      <c r="O30" s="172"/>
      <c r="P30" s="172"/>
      <c r="Q30" s="172"/>
      <c r="R30" s="172"/>
    </row>
    <row r="31" spans="1:18" customFormat="1" ht="15" x14ac:dyDescent="0.25">
      <c r="B31" s="176"/>
      <c r="C31" s="181" t="s">
        <v>207</v>
      </c>
      <c r="D31" s="182"/>
      <c r="E31" s="182"/>
      <c r="F31" s="182"/>
      <c r="G31" s="182"/>
      <c r="H31" s="183"/>
      <c r="I31" s="172"/>
      <c r="J31" s="172"/>
      <c r="K31" s="172"/>
      <c r="L31" s="172"/>
      <c r="M31" s="172"/>
      <c r="N31" s="172"/>
      <c r="O31" s="172"/>
      <c r="P31" s="172"/>
      <c r="Q31" s="172"/>
      <c r="R31" s="172"/>
    </row>
    <row r="32" spans="1:18" customFormat="1" ht="15" x14ac:dyDescent="0.25">
      <c r="B32" s="176"/>
      <c r="C32" s="181" t="s">
        <v>208</v>
      </c>
      <c r="D32" s="182"/>
      <c r="E32" s="182"/>
      <c r="F32" s="182"/>
      <c r="G32" s="182"/>
      <c r="H32" s="183"/>
      <c r="I32" s="172"/>
      <c r="J32" s="172"/>
      <c r="K32" s="172"/>
      <c r="L32" s="172"/>
      <c r="M32" s="172"/>
      <c r="N32" s="172"/>
      <c r="O32" s="172"/>
      <c r="P32" s="172"/>
      <c r="Q32" s="172"/>
      <c r="R32" s="172"/>
    </row>
    <row r="33" spans="1:18" customFormat="1" ht="15" x14ac:dyDescent="0.25">
      <c r="B33" s="176"/>
      <c r="C33" s="181" t="s">
        <v>209</v>
      </c>
      <c r="D33" s="182"/>
      <c r="E33" s="182"/>
      <c r="F33" s="182"/>
      <c r="G33" s="182"/>
      <c r="H33" s="183"/>
      <c r="I33" s="172"/>
      <c r="J33" s="172"/>
      <c r="K33" s="172"/>
      <c r="L33" s="172"/>
      <c r="M33" s="172"/>
      <c r="N33" s="172"/>
      <c r="O33" s="172"/>
      <c r="P33" s="172"/>
      <c r="Q33" s="172"/>
      <c r="R33" s="172"/>
    </row>
    <row r="34" spans="1:18" customFormat="1" ht="41.25" customHeight="1" x14ac:dyDescent="0.25">
      <c r="B34" s="176"/>
      <c r="C34" s="503" t="s">
        <v>210</v>
      </c>
      <c r="D34" s="504"/>
      <c r="E34" s="504"/>
      <c r="F34" s="504"/>
      <c r="G34" s="504"/>
      <c r="H34" s="505"/>
      <c r="N34" s="184"/>
      <c r="O34" s="184"/>
      <c r="P34" s="184"/>
      <c r="Q34" s="172"/>
      <c r="R34" s="172"/>
    </row>
    <row r="35" spans="1:18" customFormat="1" ht="38.25" customHeight="1" x14ac:dyDescent="0.25">
      <c r="B35" s="185"/>
      <c r="C35" s="484" t="s">
        <v>211</v>
      </c>
      <c r="D35" s="485"/>
      <c r="E35" s="485"/>
      <c r="F35" s="485"/>
      <c r="G35" s="485"/>
      <c r="H35" s="486"/>
      <c r="N35" s="177"/>
      <c r="O35" s="177"/>
      <c r="P35" s="177"/>
      <c r="Q35" s="177"/>
      <c r="R35" s="172"/>
    </row>
    <row r="36" spans="1:18" customFormat="1" ht="43.5" customHeight="1" x14ac:dyDescent="0.25">
      <c r="B36" s="484" t="s">
        <v>212</v>
      </c>
      <c r="C36" s="485"/>
      <c r="D36" s="485"/>
      <c r="E36" s="485"/>
      <c r="F36" s="485"/>
      <c r="G36" s="485"/>
      <c r="H36" s="486"/>
      <c r="I36" s="172"/>
      <c r="J36" s="172"/>
      <c r="K36" s="172"/>
      <c r="L36" s="172"/>
      <c r="M36" s="172"/>
      <c r="N36" s="172"/>
      <c r="O36" s="172"/>
      <c r="P36" s="172"/>
      <c r="Q36" s="172"/>
      <c r="R36" s="172"/>
    </row>
    <row r="37" spans="1:18" customFormat="1" ht="49.5" customHeight="1" x14ac:dyDescent="0.25">
      <c r="B37" s="484" t="s">
        <v>213</v>
      </c>
      <c r="C37" s="485"/>
      <c r="D37" s="485"/>
      <c r="E37" s="485"/>
      <c r="F37" s="485"/>
      <c r="G37" s="485"/>
      <c r="H37" s="486"/>
      <c r="I37" s="186"/>
    </row>
    <row r="38" spans="1:18" customFormat="1" ht="46.5" customHeight="1" x14ac:dyDescent="0.25">
      <c r="B38" s="484" t="s">
        <v>214</v>
      </c>
      <c r="C38" s="485"/>
      <c r="D38" s="485"/>
      <c r="E38" s="485"/>
      <c r="F38" s="485"/>
      <c r="G38" s="485"/>
      <c r="H38" s="486"/>
      <c r="I38" s="186"/>
    </row>
    <row r="39" spans="1:18" customFormat="1" ht="30" customHeight="1" x14ac:dyDescent="0.25">
      <c r="B39" s="484" t="s">
        <v>215</v>
      </c>
      <c r="C39" s="485"/>
      <c r="D39" s="485"/>
      <c r="E39" s="485"/>
      <c r="F39" s="485"/>
      <c r="G39" s="485"/>
      <c r="H39" s="486"/>
      <c r="I39" s="186"/>
    </row>
    <row r="40" spans="1:18" customFormat="1" ht="15" customHeight="1" x14ac:dyDescent="0.25">
      <c r="A40" s="187" t="s">
        <v>216</v>
      </c>
      <c r="B40" s="187"/>
      <c r="I40" s="188"/>
    </row>
    <row r="41" spans="1:18" customFormat="1" ht="30" customHeight="1" x14ac:dyDescent="0.25">
      <c r="B41" s="507" t="s">
        <v>217</v>
      </c>
      <c r="C41" s="508"/>
      <c r="D41" s="508"/>
      <c r="E41" s="508"/>
      <c r="F41" s="508"/>
      <c r="G41" s="508"/>
      <c r="H41" s="509"/>
    </row>
    <row r="42" spans="1:18" customFormat="1" ht="12.75" customHeight="1" x14ac:dyDescent="0.25">
      <c r="B42" s="510" t="s">
        <v>218</v>
      </c>
      <c r="C42" s="511"/>
      <c r="D42" s="511"/>
      <c r="E42" s="511"/>
      <c r="F42" s="511"/>
      <c r="G42" s="189"/>
      <c r="H42" s="190"/>
    </row>
    <row r="43" spans="1:18" customFormat="1" ht="29.25" customHeight="1" x14ac:dyDescent="0.25">
      <c r="B43" s="512" t="s">
        <v>219</v>
      </c>
      <c r="C43" s="513"/>
      <c r="D43" s="513"/>
      <c r="E43" s="513"/>
      <c r="F43" s="513"/>
      <c r="G43" s="513"/>
      <c r="H43" s="514"/>
    </row>
    <row r="44" spans="1:18" customFormat="1" ht="15" customHeight="1" x14ac:dyDescent="0.25">
      <c r="B44" s="191" t="s">
        <v>220</v>
      </c>
      <c r="C44" s="189"/>
      <c r="D44" s="189"/>
      <c r="E44" s="189"/>
      <c r="F44" s="189"/>
      <c r="G44" s="189"/>
      <c r="H44" s="190"/>
    </row>
    <row r="45" spans="1:18" customFormat="1" ht="30.75" customHeight="1" x14ac:dyDescent="0.25">
      <c r="B45" s="512" t="s">
        <v>221</v>
      </c>
      <c r="C45" s="513"/>
      <c r="D45" s="513"/>
      <c r="E45" s="513"/>
      <c r="F45" s="513"/>
      <c r="G45" s="513"/>
      <c r="H45" s="514"/>
    </row>
    <row r="46" spans="1:18" customFormat="1" ht="12.75" customHeight="1" x14ac:dyDescent="0.25">
      <c r="B46" s="515" t="s">
        <v>222</v>
      </c>
      <c r="C46" s="516"/>
      <c r="D46" s="516"/>
      <c r="E46" s="516"/>
      <c r="F46" s="516"/>
      <c r="G46" s="516"/>
      <c r="H46" s="190"/>
    </row>
    <row r="47" spans="1:18" customFormat="1" ht="35.25" customHeight="1" x14ac:dyDescent="0.25">
      <c r="B47" s="512" t="s">
        <v>223</v>
      </c>
      <c r="C47" s="513"/>
      <c r="D47" s="513"/>
      <c r="E47" s="513"/>
      <c r="F47" s="513"/>
      <c r="G47" s="513"/>
      <c r="H47" s="514"/>
    </row>
    <row r="48" spans="1:18" customFormat="1" ht="24.75" customHeight="1" x14ac:dyDescent="0.25">
      <c r="B48" s="517" t="s">
        <v>224</v>
      </c>
      <c r="C48" s="518"/>
      <c r="D48" s="518"/>
      <c r="E48" s="518"/>
      <c r="F48" s="518"/>
      <c r="G48" s="518"/>
      <c r="H48" s="519"/>
    </row>
    <row r="49" spans="2:8" customFormat="1" ht="27.75" customHeight="1" x14ac:dyDescent="0.25">
      <c r="B49" s="503" t="s">
        <v>225</v>
      </c>
      <c r="C49" s="504"/>
      <c r="D49" s="504"/>
      <c r="E49" s="504"/>
      <c r="F49" s="504"/>
      <c r="G49" s="504"/>
      <c r="H49" s="505"/>
    </row>
    <row r="50" spans="2:8" customFormat="1" ht="21" customHeight="1" x14ac:dyDescent="0.25">
      <c r="B50" s="484" t="s">
        <v>226</v>
      </c>
      <c r="C50" s="485"/>
      <c r="D50" s="485"/>
      <c r="E50" s="485"/>
      <c r="F50" s="485"/>
      <c r="G50" s="485"/>
      <c r="H50" s="486"/>
    </row>
    <row r="51" spans="2:8" customFormat="1" ht="26.25" customHeight="1" x14ac:dyDescent="0.25">
      <c r="B51" s="506" t="s">
        <v>227</v>
      </c>
      <c r="C51" s="506"/>
      <c r="D51" s="506"/>
      <c r="E51" s="506"/>
      <c r="F51" s="506"/>
      <c r="G51" s="506"/>
      <c r="H51" s="506"/>
    </row>
  </sheetData>
  <mergeCells count="27">
    <mergeCell ref="B51:H51"/>
    <mergeCell ref="B38:H38"/>
    <mergeCell ref="B39:H39"/>
    <mergeCell ref="B41:H41"/>
    <mergeCell ref="B42:F42"/>
    <mergeCell ref="B43:H43"/>
    <mergeCell ref="B45:H45"/>
    <mergeCell ref="B46:G46"/>
    <mergeCell ref="B47:H47"/>
    <mergeCell ref="B48:H48"/>
    <mergeCell ref="B49:H49"/>
    <mergeCell ref="B50:H50"/>
    <mergeCell ref="B37:H37"/>
    <mergeCell ref="A1:K1"/>
    <mergeCell ref="J12:K12"/>
    <mergeCell ref="B16:B17"/>
    <mergeCell ref="C16:G16"/>
    <mergeCell ref="B18:B20"/>
    <mergeCell ref="C19:D19"/>
    <mergeCell ref="E19:G19"/>
    <mergeCell ref="D20:E20"/>
    <mergeCell ref="F20:G20"/>
    <mergeCell ref="D24:E24"/>
    <mergeCell ref="C28:H28"/>
    <mergeCell ref="C34:H34"/>
    <mergeCell ref="C35:H35"/>
    <mergeCell ref="B36:H36"/>
  </mergeCells>
  <conditionalFormatting sqref="J4:K11">
    <cfRule type="expression" dxfId="1" priority="5">
      <formula>MAX(D4:H4)&gt;=5</formula>
    </cfRule>
  </conditionalFormatting>
  <conditionalFormatting sqref="I12">
    <cfRule type="expression" dxfId="0" priority="1">
      <formula>MAX($D$4:$H$11)&gt;=5</formula>
    </cfRule>
  </conditionalFormatting>
  <pageMargins left="0.7" right="0.7" top="0.75" bottom="0.75" header="0.3" footer="0.3"/>
  <pageSetup paperSize="3" orientation="landscape" r:id="rId1"/>
  <headerFooter>
    <oddFooter>Page &amp;P&amp;R&amp;F</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3"/>
  <sheetViews>
    <sheetView zoomScale="90" zoomScaleNormal="90" workbookViewId="0">
      <selection activeCell="C12" sqref="C12"/>
    </sheetView>
  </sheetViews>
  <sheetFormatPr defaultRowHeight="15" x14ac:dyDescent="0.25"/>
  <cols>
    <col min="1" max="1" width="17.85546875" customWidth="1"/>
    <col min="2" max="2" width="14.28515625" customWidth="1"/>
    <col min="3" max="3" width="11.28515625" customWidth="1"/>
    <col min="4" max="4" width="10.85546875" customWidth="1"/>
    <col min="5" max="5" width="11.28515625" customWidth="1"/>
    <col min="6" max="6" width="11.5703125" customWidth="1"/>
    <col min="7" max="7" width="11.28515625" customWidth="1"/>
    <col min="8" max="8" width="11.5703125" customWidth="1"/>
    <col min="13" max="13" width="8.28515625" customWidth="1"/>
    <col min="16" max="16" width="57.28515625" bestFit="1" customWidth="1"/>
    <col min="20" max="20" width="39.5703125" bestFit="1" customWidth="1"/>
  </cols>
  <sheetData>
    <row r="1" spans="1:25" ht="20.25" x14ac:dyDescent="0.3">
      <c r="B1" s="11"/>
      <c r="C1" s="11"/>
      <c r="D1" s="11"/>
      <c r="E1" s="11"/>
      <c r="F1" s="11"/>
      <c r="G1" s="11"/>
      <c r="H1" s="11"/>
      <c r="I1" s="11"/>
      <c r="J1" s="11"/>
      <c r="K1" s="208" t="s">
        <v>19</v>
      </c>
      <c r="L1" s="192"/>
      <c r="M1" s="11"/>
      <c r="N1" s="11"/>
      <c r="O1" s="11"/>
    </row>
    <row r="2" spans="1:25" ht="20.25" x14ac:dyDescent="0.3">
      <c r="A2" s="210" t="s">
        <v>19</v>
      </c>
      <c r="C2" s="11"/>
      <c r="D2" s="11"/>
      <c r="E2" s="11"/>
      <c r="F2" s="11"/>
      <c r="G2" s="11"/>
      <c r="H2" s="11"/>
      <c r="I2" s="11"/>
      <c r="J2" s="11"/>
      <c r="K2" s="208"/>
      <c r="L2" s="192"/>
      <c r="M2" s="11"/>
      <c r="N2" s="11"/>
      <c r="O2" s="11"/>
    </row>
    <row r="3" spans="1:25" ht="18" x14ac:dyDescent="0.25">
      <c r="A3" s="215" t="s">
        <v>228</v>
      </c>
      <c r="B3" s="189"/>
      <c r="C3" s="189"/>
      <c r="D3" s="189"/>
      <c r="E3" s="217"/>
      <c r="F3" s="217"/>
      <c r="G3" s="217"/>
      <c r="H3" s="217"/>
      <c r="I3" s="211"/>
      <c r="J3" s="211"/>
      <c r="K3" s="212"/>
      <c r="L3" s="210" t="s">
        <v>64</v>
      </c>
      <c r="M3" s="193"/>
      <c r="N3" s="193"/>
      <c r="O3" s="193"/>
      <c r="P3" s="189"/>
      <c r="Q3" s="189"/>
      <c r="R3" s="189"/>
      <c r="S3" s="189"/>
      <c r="T3" s="189"/>
      <c r="U3" s="189"/>
      <c r="V3" s="189"/>
      <c r="W3" s="189"/>
      <c r="X3" s="189"/>
      <c r="Y3" s="189"/>
    </row>
    <row r="4" spans="1:25" ht="39.75" customHeight="1" x14ac:dyDescent="0.25">
      <c r="A4" s="301" t="s">
        <v>323</v>
      </c>
      <c r="B4" s="301" t="s">
        <v>327</v>
      </c>
      <c r="C4" s="299" t="s">
        <v>326</v>
      </c>
      <c r="D4" s="299" t="s">
        <v>463</v>
      </c>
      <c r="E4" s="218"/>
      <c r="F4" s="196"/>
      <c r="G4" s="304" t="s">
        <v>326</v>
      </c>
      <c r="H4" s="300" t="s">
        <v>463</v>
      </c>
      <c r="I4" s="196"/>
      <c r="J4" s="196"/>
      <c r="K4" s="209"/>
      <c r="L4" s="207"/>
      <c r="M4" s="244" t="s">
        <v>552</v>
      </c>
      <c r="N4" s="243"/>
      <c r="O4" s="244"/>
      <c r="P4" s="243"/>
      <c r="Q4" s="243"/>
      <c r="R4" s="244"/>
      <c r="S4" s="244"/>
      <c r="T4" s="244"/>
      <c r="U4" s="244"/>
      <c r="V4" s="244"/>
      <c r="W4" s="244"/>
    </row>
    <row r="5" spans="1:25" ht="28.5" customHeight="1" x14ac:dyDescent="0.25">
      <c r="A5" s="207" t="s">
        <v>308</v>
      </c>
      <c r="B5" s="207" t="s">
        <v>254</v>
      </c>
      <c r="C5" s="207">
        <v>140.11600000000001</v>
      </c>
      <c r="D5" s="352">
        <f>C5/Conversions!$D$12</f>
        <v>0.14011600000000002</v>
      </c>
      <c r="E5" s="207"/>
      <c r="F5" s="196" t="s">
        <v>464</v>
      </c>
      <c r="G5" s="231">
        <v>12.0107</v>
      </c>
      <c r="H5" s="303">
        <f>G5/Conversions!$D$12</f>
        <v>1.2010699999999999E-2</v>
      </c>
      <c r="I5" s="229"/>
      <c r="J5" s="196"/>
      <c r="K5" s="209"/>
      <c r="L5" s="207"/>
      <c r="M5" s="244" t="s">
        <v>553</v>
      </c>
      <c r="N5" s="243"/>
      <c r="O5" s="243"/>
      <c r="P5" s="243"/>
      <c r="Q5" s="243"/>
      <c r="R5" s="244"/>
      <c r="S5" s="244"/>
      <c r="T5" s="244"/>
      <c r="U5" s="244"/>
      <c r="V5" s="244"/>
      <c r="W5" s="244"/>
    </row>
    <row r="6" spans="1:25" ht="17.25" x14ac:dyDescent="0.3">
      <c r="A6" s="207" t="s">
        <v>309</v>
      </c>
      <c r="B6" s="207" t="s">
        <v>253</v>
      </c>
      <c r="C6" s="207">
        <v>138.90547000000001</v>
      </c>
      <c r="D6" s="352">
        <f>C6/Conversions!$D$12</f>
        <v>0.13890547</v>
      </c>
      <c r="E6" s="207"/>
      <c r="F6" s="196" t="s">
        <v>465</v>
      </c>
      <c r="G6" s="231">
        <v>15.9994</v>
      </c>
      <c r="H6" s="303">
        <f>G6/Conversions!$D$12</f>
        <v>1.59994E-2</v>
      </c>
      <c r="I6" s="229"/>
      <c r="J6" s="196"/>
      <c r="K6" s="209"/>
      <c r="L6" s="207"/>
      <c r="M6" s="334" t="s">
        <v>566</v>
      </c>
      <c r="N6" s="243"/>
      <c r="O6" s="243"/>
      <c r="P6" s="243"/>
      <c r="Q6" s="243"/>
      <c r="R6" s="244"/>
      <c r="S6" s="244"/>
      <c r="T6" s="244"/>
      <c r="U6" s="244"/>
      <c r="V6" s="244"/>
      <c r="W6" s="244"/>
    </row>
    <row r="7" spans="1:25" x14ac:dyDescent="0.25">
      <c r="A7" s="207" t="s">
        <v>322</v>
      </c>
      <c r="B7" s="207" t="s">
        <v>250</v>
      </c>
      <c r="C7" s="207">
        <v>140.90764999999999</v>
      </c>
      <c r="D7" s="352">
        <f>C7/Conversions!$D$12</f>
        <v>0.14090765</v>
      </c>
      <c r="E7" s="207"/>
      <c r="F7" s="196" t="s">
        <v>466</v>
      </c>
      <c r="G7" s="231">
        <v>18.9984</v>
      </c>
      <c r="H7" s="303">
        <f>G7/Conversions!$D$12</f>
        <v>1.8998399999999999E-2</v>
      </c>
      <c r="I7" s="229"/>
      <c r="J7" s="196"/>
      <c r="K7" s="209"/>
      <c r="L7" s="207"/>
      <c r="M7" s="247" t="s">
        <v>554</v>
      </c>
      <c r="N7" s="243"/>
      <c r="O7" s="243"/>
      <c r="P7" s="243"/>
      <c r="Q7" s="243"/>
      <c r="R7" s="244"/>
      <c r="S7" s="244"/>
      <c r="T7" s="244" t="s">
        <v>234</v>
      </c>
      <c r="U7" s="244"/>
      <c r="V7" s="247" t="s">
        <v>234</v>
      </c>
      <c r="W7" s="244"/>
    </row>
    <row r="8" spans="1:25" x14ac:dyDescent="0.25">
      <c r="A8" s="227" t="s">
        <v>310</v>
      </c>
      <c r="B8" s="207" t="s">
        <v>251</v>
      </c>
      <c r="C8" s="207">
        <v>144.24199999999999</v>
      </c>
      <c r="D8" s="352">
        <f>C8/Conversions!$D$12</f>
        <v>0.14424199999999998</v>
      </c>
      <c r="E8" s="207"/>
      <c r="F8" s="196" t="s">
        <v>467</v>
      </c>
      <c r="G8" s="231">
        <v>22.989768999999999</v>
      </c>
      <c r="H8" s="303">
        <f>G8/Conversions!$D$12</f>
        <v>2.2989769E-2</v>
      </c>
      <c r="I8" s="229"/>
      <c r="J8" s="196"/>
      <c r="K8" s="209"/>
      <c r="L8" s="207"/>
      <c r="M8" s="315" t="s">
        <v>555</v>
      </c>
      <c r="N8" s="244"/>
      <c r="O8" s="244"/>
      <c r="P8" s="244"/>
      <c r="Q8" s="244"/>
      <c r="R8" s="244"/>
      <c r="S8" s="244"/>
      <c r="T8" s="244"/>
      <c r="U8" s="244"/>
      <c r="V8" s="244"/>
      <c r="W8" s="244"/>
    </row>
    <row r="9" spans="1:25" ht="17.25" x14ac:dyDescent="0.3">
      <c r="A9" s="227" t="s">
        <v>311</v>
      </c>
      <c r="B9" s="207" t="s">
        <v>255</v>
      </c>
      <c r="C9" s="207">
        <v>150.36000000000001</v>
      </c>
      <c r="D9" s="352">
        <f>C9/Conversions!$D$12</f>
        <v>0.15036000000000002</v>
      </c>
      <c r="E9" s="207"/>
      <c r="F9" s="196" t="s">
        <v>468</v>
      </c>
      <c r="G9" s="231">
        <v>1.0079400000000001</v>
      </c>
      <c r="H9" s="303">
        <f>G9/Conversions!$D$12</f>
        <v>1.0079400000000001E-3</v>
      </c>
      <c r="I9" s="229"/>
      <c r="J9" s="196"/>
      <c r="K9" s="209"/>
      <c r="L9" s="207"/>
      <c r="M9" s="338" t="s">
        <v>567</v>
      </c>
      <c r="N9" s="336"/>
      <c r="O9" s="335"/>
      <c r="P9" s="244"/>
      <c r="Q9" s="244"/>
      <c r="R9" s="244"/>
      <c r="S9" s="244"/>
      <c r="T9" s="336" t="s">
        <v>556</v>
      </c>
      <c r="U9" s="244"/>
      <c r="V9" s="244"/>
      <c r="W9" s="244"/>
    </row>
    <row r="10" spans="1:25" ht="18.75" x14ac:dyDescent="0.35">
      <c r="A10" s="227" t="s">
        <v>312</v>
      </c>
      <c r="B10" s="207" t="s">
        <v>256</v>
      </c>
      <c r="C10" s="207">
        <v>151.964</v>
      </c>
      <c r="D10" s="352">
        <f>C10/Conversions!$D$12</f>
        <v>0.15196399999999999</v>
      </c>
      <c r="E10" s="207"/>
      <c r="F10" s="196" t="s">
        <v>469</v>
      </c>
      <c r="G10" s="231">
        <v>35.453000000000003</v>
      </c>
      <c r="H10" s="303">
        <f>G10/Conversions!$D$12</f>
        <v>3.5453000000000005E-2</v>
      </c>
      <c r="I10" s="229"/>
      <c r="J10" s="196"/>
      <c r="K10" s="209"/>
      <c r="L10" s="207"/>
      <c r="M10" s="339" t="s">
        <v>557</v>
      </c>
      <c r="N10" s="244"/>
      <c r="O10" s="335"/>
      <c r="P10" s="336"/>
      <c r="Q10" s="244"/>
      <c r="R10" s="244"/>
      <c r="S10" s="244"/>
      <c r="T10" s="244" t="s">
        <v>558</v>
      </c>
      <c r="U10" s="336"/>
      <c r="V10" s="336"/>
      <c r="W10" s="336"/>
    </row>
    <row r="11" spans="1:25" ht="18.75" x14ac:dyDescent="0.35">
      <c r="A11" s="227" t="s">
        <v>313</v>
      </c>
      <c r="B11" s="207" t="s">
        <v>257</v>
      </c>
      <c r="C11" s="207">
        <v>157.25</v>
      </c>
      <c r="D11" s="352">
        <f>C11/Conversions!$D$12</f>
        <v>0.15725</v>
      </c>
      <c r="E11" s="207"/>
      <c r="F11" s="196" t="s">
        <v>470</v>
      </c>
      <c r="G11" s="231">
        <v>14.0067</v>
      </c>
      <c r="H11" s="303">
        <f>G11/Conversions!$D$12</f>
        <v>1.40067E-2</v>
      </c>
      <c r="I11" s="229"/>
      <c r="J11" s="196"/>
      <c r="K11" s="209"/>
      <c r="L11" s="207"/>
      <c r="M11" s="338" t="s">
        <v>568</v>
      </c>
      <c r="N11" s="336"/>
      <c r="O11" s="335"/>
      <c r="P11" s="244"/>
      <c r="Q11" s="244"/>
      <c r="R11" s="244"/>
      <c r="S11" s="244"/>
      <c r="T11" s="244"/>
      <c r="U11" s="336" t="s">
        <v>559</v>
      </c>
      <c r="V11" s="244" t="s">
        <v>531</v>
      </c>
      <c r="W11" s="244"/>
    </row>
    <row r="12" spans="1:25" ht="18.75" x14ac:dyDescent="0.35">
      <c r="A12" s="227" t="s">
        <v>314</v>
      </c>
      <c r="B12" s="207" t="s">
        <v>258</v>
      </c>
      <c r="C12" s="207">
        <v>158.92535000000001</v>
      </c>
      <c r="D12" s="352">
        <f>C12/Conversions!$D$12</f>
        <v>0.15892535000000002</v>
      </c>
      <c r="E12" s="207"/>
      <c r="F12" s="196" t="s">
        <v>471</v>
      </c>
      <c r="G12" s="231">
        <v>40.078000000000003</v>
      </c>
      <c r="H12" s="303">
        <f>G12/Conversions!$D$12</f>
        <v>4.0078000000000003E-2</v>
      </c>
      <c r="I12" s="229"/>
      <c r="J12" s="196"/>
      <c r="K12" s="209"/>
      <c r="L12" s="207"/>
      <c r="M12" s="247" t="s">
        <v>560</v>
      </c>
      <c r="N12" s="244"/>
      <c r="O12" s="335"/>
      <c r="P12" s="244"/>
      <c r="Q12" s="244"/>
      <c r="R12" s="244"/>
      <c r="S12" s="244"/>
      <c r="T12" s="244" t="s">
        <v>561</v>
      </c>
      <c r="U12" s="244" t="s">
        <v>562</v>
      </c>
      <c r="V12" s="244" t="s">
        <v>528</v>
      </c>
      <c r="W12" s="244"/>
    </row>
    <row r="13" spans="1:25" ht="17.25" x14ac:dyDescent="0.3">
      <c r="A13" s="227" t="s">
        <v>315</v>
      </c>
      <c r="B13" s="207" t="s">
        <v>259</v>
      </c>
      <c r="C13" s="207">
        <v>162.5</v>
      </c>
      <c r="D13" s="352">
        <f>C13/Conversions!$D$12</f>
        <v>0.16250000000000001</v>
      </c>
      <c r="E13" s="207"/>
      <c r="F13" s="196"/>
      <c r="G13" s="196"/>
      <c r="H13" s="231"/>
      <c r="I13" s="229"/>
      <c r="J13" s="196"/>
      <c r="K13" s="209"/>
      <c r="L13" s="207"/>
      <c r="M13" s="338" t="s">
        <v>569</v>
      </c>
      <c r="N13" s="244"/>
      <c r="O13" s="335"/>
      <c r="P13" s="336"/>
      <c r="Q13" s="244"/>
      <c r="R13" s="244"/>
      <c r="S13" s="244"/>
      <c r="T13" s="336"/>
      <c r="U13" s="337"/>
      <c r="V13" s="244"/>
      <c r="W13" s="244"/>
    </row>
    <row r="14" spans="1:25" x14ac:dyDescent="0.25">
      <c r="A14" s="227" t="s">
        <v>319</v>
      </c>
      <c r="B14" s="207" t="s">
        <v>265</v>
      </c>
      <c r="C14" s="207">
        <v>88.905850000000001</v>
      </c>
      <c r="D14" s="352">
        <f>C14/Conversions!$D$12</f>
        <v>8.8905849999999995E-2</v>
      </c>
      <c r="E14" s="207"/>
      <c r="F14" s="196" t="s">
        <v>472</v>
      </c>
      <c r="G14" s="196">
        <f>G9*2+G6</f>
        <v>18.015280000000001</v>
      </c>
      <c r="H14" s="272">
        <f>G14/Conversions!$D$12</f>
        <v>1.8015280000000002E-2</v>
      </c>
      <c r="I14" s="229"/>
      <c r="J14" s="196"/>
      <c r="K14" s="209"/>
      <c r="M14" s="247" t="s">
        <v>563</v>
      </c>
      <c r="N14" s="244"/>
      <c r="O14" s="335"/>
      <c r="P14" s="336"/>
      <c r="Q14" s="244"/>
      <c r="R14" s="244"/>
      <c r="S14" s="336"/>
      <c r="T14" s="244"/>
      <c r="U14" s="244"/>
      <c r="V14" s="244"/>
      <c r="W14" s="244"/>
    </row>
    <row r="15" spans="1:25" ht="17.25" x14ac:dyDescent="0.3">
      <c r="A15" s="227" t="s">
        <v>317</v>
      </c>
      <c r="B15" s="207" t="s">
        <v>261</v>
      </c>
      <c r="C15" s="207">
        <v>167.25899999999999</v>
      </c>
      <c r="D15" s="352">
        <f>C15/Conversions!$D$12</f>
        <v>0.16725899999999999</v>
      </c>
      <c r="E15" s="207"/>
      <c r="F15" s="196" t="s">
        <v>473</v>
      </c>
      <c r="G15">
        <f>G9+G10</f>
        <v>36.460940000000001</v>
      </c>
      <c r="H15" s="272">
        <f>G15/Conversions!$D$12</f>
        <v>3.6460940000000004E-2</v>
      </c>
      <c r="I15" s="229"/>
      <c r="J15" s="196"/>
      <c r="K15" s="209"/>
      <c r="L15" s="207"/>
      <c r="M15" s="334" t="s">
        <v>570</v>
      </c>
      <c r="N15" s="244"/>
      <c r="O15" s="335"/>
      <c r="P15" s="336"/>
      <c r="Q15" s="336"/>
      <c r="R15" s="336"/>
      <c r="S15" s="336"/>
      <c r="T15" s="244"/>
      <c r="U15" s="244"/>
      <c r="V15" s="244"/>
      <c r="W15" s="244"/>
    </row>
    <row r="16" spans="1:25" x14ac:dyDescent="0.25">
      <c r="A16" s="227" t="s">
        <v>320</v>
      </c>
      <c r="B16" s="207" t="s">
        <v>263</v>
      </c>
      <c r="C16" s="207">
        <v>173.04</v>
      </c>
      <c r="D16" s="352">
        <f>C16/Conversions!$D$12</f>
        <v>0.17304</v>
      </c>
      <c r="E16" s="207"/>
      <c r="H16" s="230"/>
      <c r="I16" s="229"/>
      <c r="J16" s="196"/>
      <c r="K16" s="209"/>
      <c r="L16" s="207"/>
      <c r="M16" s="333" t="s">
        <v>564</v>
      </c>
      <c r="N16" s="244"/>
      <c r="O16" s="335"/>
      <c r="P16" s="336"/>
      <c r="Q16" s="336"/>
      <c r="R16" s="336"/>
      <c r="S16" s="336"/>
      <c r="T16" s="244"/>
      <c r="U16" s="244"/>
      <c r="V16" s="244"/>
      <c r="W16" s="244"/>
    </row>
    <row r="17" spans="1:24" ht="17.25" x14ac:dyDescent="0.3">
      <c r="A17" s="232" t="s">
        <v>316</v>
      </c>
      <c r="B17" s="229" t="s">
        <v>260</v>
      </c>
      <c r="C17">
        <v>164.93031999999999</v>
      </c>
      <c r="D17" s="352">
        <f>C17/Conversions!$D$12</f>
        <v>0.16493031999999999</v>
      </c>
      <c r="E17" s="207"/>
      <c r="H17" s="230"/>
      <c r="I17" s="229"/>
      <c r="J17" s="196"/>
      <c r="K17" s="209"/>
      <c r="L17" s="207"/>
      <c r="M17" s="334" t="s">
        <v>571</v>
      </c>
      <c r="N17" s="244"/>
      <c r="O17" s="335"/>
      <c r="P17" s="336"/>
      <c r="Q17" s="336"/>
      <c r="R17" s="336"/>
      <c r="S17" s="336"/>
      <c r="T17" s="244" t="s">
        <v>629</v>
      </c>
      <c r="U17" s="244"/>
      <c r="V17" s="244"/>
      <c r="W17" s="244"/>
    </row>
    <row r="18" spans="1:24" x14ac:dyDescent="0.25">
      <c r="A18" s="227" t="s">
        <v>321</v>
      </c>
      <c r="B18" s="207" t="s">
        <v>264</v>
      </c>
      <c r="C18">
        <v>174.96700000000001</v>
      </c>
      <c r="D18" s="352">
        <f>C18/Conversions!$D$12</f>
        <v>0.17496700000000001</v>
      </c>
      <c r="E18" s="207"/>
      <c r="H18" s="230"/>
      <c r="I18" s="229"/>
      <c r="J18" s="196"/>
      <c r="K18" s="209"/>
      <c r="L18" s="207"/>
      <c r="M18" s="247" t="s">
        <v>654</v>
      </c>
      <c r="N18" s="244"/>
      <c r="O18" s="335"/>
      <c r="P18" s="336"/>
      <c r="Q18" s="336"/>
      <c r="R18" s="336"/>
      <c r="S18" s="336"/>
      <c r="T18" s="244"/>
      <c r="U18" s="244"/>
      <c r="V18" s="244"/>
      <c r="W18" s="244"/>
    </row>
    <row r="19" spans="1:24" x14ac:dyDescent="0.25">
      <c r="A19" s="232" t="s">
        <v>318</v>
      </c>
      <c r="B19" s="229" t="s">
        <v>262</v>
      </c>
      <c r="C19">
        <v>168.93421000000001</v>
      </c>
      <c r="D19" s="352">
        <f>C19/Conversions!$D$12</f>
        <v>0.16893421</v>
      </c>
      <c r="E19" s="207"/>
      <c r="H19" s="230"/>
      <c r="J19" s="196"/>
      <c r="K19" s="209"/>
      <c r="M19" s="334" t="s">
        <v>655</v>
      </c>
      <c r="N19" s="244"/>
      <c r="O19" s="335"/>
      <c r="P19" s="336"/>
      <c r="Q19" s="336"/>
      <c r="R19" s="336"/>
      <c r="S19" s="338"/>
      <c r="T19" s="244" t="s">
        <v>593</v>
      </c>
      <c r="U19" s="244"/>
      <c r="V19" s="244"/>
      <c r="W19" s="244"/>
    </row>
    <row r="20" spans="1:24" x14ac:dyDescent="0.25">
      <c r="A20" s="207"/>
      <c r="B20" s="207"/>
      <c r="C20" s="218">
        <f>AVERAGE(C5:C19)</f>
        <v>152.21378999999999</v>
      </c>
      <c r="D20" s="218"/>
      <c r="E20" s="229"/>
      <c r="J20" s="196"/>
      <c r="K20" s="209"/>
      <c r="M20" s="244"/>
      <c r="N20" s="244"/>
      <c r="O20" s="244"/>
      <c r="P20" s="244"/>
      <c r="Q20" s="244"/>
      <c r="R20" s="244"/>
      <c r="S20" s="244"/>
      <c r="T20" s="244"/>
      <c r="U20" s="244"/>
      <c r="V20" s="244"/>
      <c r="W20" s="244"/>
    </row>
    <row r="21" spans="1:24" ht="17.25" customHeight="1" x14ac:dyDescent="0.25">
      <c r="A21" s="196"/>
      <c r="B21" s="196"/>
      <c r="C21" s="229"/>
      <c r="D21" s="229"/>
      <c r="E21" s="229"/>
      <c r="J21" s="196"/>
      <c r="K21" s="209"/>
      <c r="M21" s="247"/>
      <c r="N21" s="244"/>
      <c r="O21" s="335"/>
      <c r="P21" s="336"/>
      <c r="Q21" s="336"/>
      <c r="R21" s="336"/>
      <c r="S21" s="336"/>
      <c r="T21" s="244"/>
      <c r="U21" s="244"/>
      <c r="V21" s="244"/>
      <c r="W21" s="244"/>
    </row>
    <row r="22" spans="1:24" ht="90" x14ac:dyDescent="0.25">
      <c r="A22" s="298" t="s">
        <v>267</v>
      </c>
      <c r="B22" s="298" t="s">
        <v>460</v>
      </c>
      <c r="C22" s="298"/>
      <c r="D22" s="298" t="s">
        <v>461</v>
      </c>
      <c r="E22" s="298" t="s">
        <v>462</v>
      </c>
      <c r="F22" s="299" t="s">
        <v>326</v>
      </c>
      <c r="G22" s="300" t="s">
        <v>463</v>
      </c>
      <c r="H22" s="282"/>
      <c r="I22" s="294" t="s">
        <v>296</v>
      </c>
      <c r="J22" s="295"/>
      <c r="K22" s="295"/>
      <c r="L22" s="176"/>
    </row>
    <row r="23" spans="1:24" x14ac:dyDescent="0.25">
      <c r="A23" s="283" t="s">
        <v>268</v>
      </c>
      <c r="B23" s="284">
        <v>0.49099999999999999</v>
      </c>
      <c r="C23" s="283" t="s">
        <v>244</v>
      </c>
      <c r="D23" s="283">
        <v>1</v>
      </c>
      <c r="E23" s="283">
        <v>2</v>
      </c>
      <c r="F23" s="292">
        <f>(D23*C5)+(E23*$G$6)</f>
        <v>172.1148</v>
      </c>
      <c r="G23" s="290">
        <f>F23/1000</f>
        <v>0.17211480000000001</v>
      </c>
      <c r="H23" s="285"/>
      <c r="I23" s="296"/>
      <c r="J23" s="295"/>
      <c r="K23" s="295"/>
      <c r="L23" s="176"/>
      <c r="M23" s="295"/>
    </row>
    <row r="24" spans="1:24" x14ac:dyDescent="0.25">
      <c r="A24" s="283" t="s">
        <v>269</v>
      </c>
      <c r="B24" s="284">
        <v>0.33200000000000002</v>
      </c>
      <c r="C24" s="283" t="s">
        <v>244</v>
      </c>
      <c r="D24" s="283">
        <v>2</v>
      </c>
      <c r="E24" s="283">
        <v>3</v>
      </c>
      <c r="F24" s="292">
        <f t="shared" ref="F24:F37" si="0">(D24*C6)+(E24*$G$6)</f>
        <v>325.80914000000001</v>
      </c>
      <c r="G24" s="290">
        <f t="shared" ref="G24:G37" si="1">F24/1000</f>
        <v>0.32580914</v>
      </c>
      <c r="H24" s="285"/>
      <c r="I24" s="296"/>
      <c r="J24" s="295"/>
      <c r="K24" s="295"/>
      <c r="L24" s="176"/>
      <c r="M24" s="295"/>
    </row>
    <row r="25" spans="1:24" ht="24.75" customHeight="1" x14ac:dyDescent="0.25">
      <c r="A25" s="283" t="s">
        <v>247</v>
      </c>
      <c r="B25" s="284">
        <v>4.3400000000000001E-2</v>
      </c>
      <c r="C25" s="283" t="s">
        <v>244</v>
      </c>
      <c r="D25" s="283">
        <v>6</v>
      </c>
      <c r="E25" s="283">
        <v>11</v>
      </c>
      <c r="F25" s="292">
        <f t="shared" si="0"/>
        <v>1021.4393</v>
      </c>
      <c r="G25" s="290">
        <f t="shared" si="1"/>
        <v>1.0214392999999999</v>
      </c>
      <c r="H25" s="285"/>
      <c r="I25" s="296"/>
      <c r="J25" s="295"/>
      <c r="K25" s="295"/>
      <c r="L25" s="176"/>
      <c r="M25" s="295"/>
    </row>
    <row r="26" spans="1:24" x14ac:dyDescent="0.25">
      <c r="A26" s="283" t="s">
        <v>248</v>
      </c>
      <c r="B26" s="284">
        <v>0.12</v>
      </c>
      <c r="C26" s="283" t="s">
        <v>244</v>
      </c>
      <c r="D26" s="283">
        <v>2</v>
      </c>
      <c r="E26" s="283">
        <v>3</v>
      </c>
      <c r="F26" s="292">
        <f t="shared" si="0"/>
        <v>336.48219999999998</v>
      </c>
      <c r="G26" s="290">
        <f t="shared" si="1"/>
        <v>0.33648219999999995</v>
      </c>
      <c r="H26" s="285"/>
      <c r="I26" s="296"/>
      <c r="J26" s="295"/>
      <c r="K26" s="295"/>
      <c r="L26" s="176"/>
      <c r="U26" s="244"/>
      <c r="V26" s="253"/>
      <c r="W26" s="196"/>
      <c r="X26" s="196"/>
    </row>
    <row r="27" spans="1:24" ht="18.75" customHeight="1" x14ac:dyDescent="0.25">
      <c r="A27" s="283" t="s">
        <v>270</v>
      </c>
      <c r="B27" s="284">
        <v>7.8899999999999994E-3</v>
      </c>
      <c r="C27" s="283" t="s">
        <v>244</v>
      </c>
      <c r="D27" s="283">
        <v>2</v>
      </c>
      <c r="E27" s="283">
        <v>3</v>
      </c>
      <c r="F27" s="292">
        <f t="shared" si="0"/>
        <v>348.71820000000002</v>
      </c>
      <c r="G27" s="290">
        <f t="shared" si="1"/>
        <v>0.34871820000000003</v>
      </c>
      <c r="H27" s="285"/>
      <c r="I27" s="296"/>
      <c r="J27" s="295"/>
      <c r="K27" s="295"/>
      <c r="L27" s="176"/>
      <c r="M27" s="305" t="s">
        <v>235</v>
      </c>
      <c r="O27" s="230" t="s">
        <v>565</v>
      </c>
      <c r="U27" s="244"/>
      <c r="V27" s="244"/>
      <c r="W27" s="196"/>
      <c r="X27" s="196"/>
    </row>
    <row r="28" spans="1:24" x14ac:dyDescent="0.25">
      <c r="A28" s="283" t="s">
        <v>271</v>
      </c>
      <c r="B28" s="284">
        <v>1.1800000000000001E-3</v>
      </c>
      <c r="C28" s="283" t="s">
        <v>244</v>
      </c>
      <c r="D28" s="283">
        <v>2</v>
      </c>
      <c r="E28" s="283">
        <v>3</v>
      </c>
      <c r="F28" s="292">
        <f t="shared" si="0"/>
        <v>351.92619999999999</v>
      </c>
      <c r="G28" s="290">
        <f t="shared" si="1"/>
        <v>0.35192619999999997</v>
      </c>
      <c r="H28" s="285"/>
      <c r="I28" s="296"/>
      <c r="J28" s="295"/>
      <c r="K28" s="295"/>
      <c r="L28" s="176"/>
      <c r="T28" s="244"/>
      <c r="U28" s="244"/>
      <c r="V28" s="253"/>
      <c r="W28" s="196"/>
      <c r="X28" s="196"/>
    </row>
    <row r="29" spans="1:24" x14ac:dyDescent="0.25">
      <c r="A29" s="283" t="s">
        <v>272</v>
      </c>
      <c r="B29" s="284">
        <v>1.66E-3</v>
      </c>
      <c r="C29" s="283" t="s">
        <v>244</v>
      </c>
      <c r="D29" s="283">
        <v>2</v>
      </c>
      <c r="E29" s="283">
        <v>3</v>
      </c>
      <c r="F29" s="292">
        <f t="shared" si="0"/>
        <v>362.4982</v>
      </c>
      <c r="G29" s="291">
        <f t="shared" si="1"/>
        <v>0.36249819999999999</v>
      </c>
      <c r="H29" s="285"/>
      <c r="I29" s="296"/>
      <c r="J29" s="295"/>
      <c r="K29" s="295"/>
      <c r="L29" s="176"/>
      <c r="X29" s="196"/>
    </row>
    <row r="30" spans="1:24" x14ac:dyDescent="0.25">
      <c r="A30" s="286" t="s">
        <v>273</v>
      </c>
      <c r="B30" s="284">
        <v>1.5899999999999999E-4</v>
      </c>
      <c r="C30" s="283" t="s">
        <v>244</v>
      </c>
      <c r="D30" s="283">
        <v>4</v>
      </c>
      <c r="E30" s="283">
        <v>7</v>
      </c>
      <c r="F30" s="292">
        <f t="shared" si="0"/>
        <v>747.69720000000007</v>
      </c>
      <c r="G30" s="290">
        <f t="shared" si="1"/>
        <v>0.74769720000000006</v>
      </c>
      <c r="H30" s="285"/>
      <c r="I30" s="296"/>
      <c r="J30" s="295"/>
      <c r="K30" s="295"/>
      <c r="L30" s="176"/>
      <c r="X30" s="196"/>
    </row>
    <row r="31" spans="1:24" x14ac:dyDescent="0.25">
      <c r="A31" s="283" t="s">
        <v>274</v>
      </c>
      <c r="B31" s="284">
        <v>3.1199999999999999E-4</v>
      </c>
      <c r="C31" s="283" t="s">
        <v>244</v>
      </c>
      <c r="D31" s="283">
        <v>2</v>
      </c>
      <c r="E31" s="283">
        <v>3</v>
      </c>
      <c r="F31" s="292">
        <f t="shared" si="0"/>
        <v>372.9982</v>
      </c>
      <c r="G31" s="290">
        <f t="shared" si="1"/>
        <v>0.3729982</v>
      </c>
      <c r="H31" s="285"/>
      <c r="I31" s="296"/>
      <c r="J31" s="295"/>
      <c r="K31" s="295"/>
      <c r="L31" s="176"/>
      <c r="X31" s="244"/>
    </row>
    <row r="32" spans="1:24" x14ac:dyDescent="0.25">
      <c r="A32" s="283" t="s">
        <v>275</v>
      </c>
      <c r="B32" s="284">
        <v>5.1E-5</v>
      </c>
      <c r="C32" s="283" t="s">
        <v>244</v>
      </c>
      <c r="D32" s="283">
        <v>2</v>
      </c>
      <c r="E32" s="283">
        <v>3</v>
      </c>
      <c r="F32" s="292">
        <f t="shared" si="0"/>
        <v>225.8099</v>
      </c>
      <c r="G32" s="290">
        <f t="shared" si="1"/>
        <v>0.22580990000000001</v>
      </c>
      <c r="H32" s="285"/>
      <c r="I32" s="296"/>
      <c r="J32" s="295"/>
      <c r="K32" s="295"/>
      <c r="L32" s="176"/>
      <c r="X32" s="223"/>
    </row>
    <row r="33" spans="1:24" x14ac:dyDescent="0.25">
      <c r="A33" s="283" t="s">
        <v>276</v>
      </c>
      <c r="B33" s="284">
        <v>3.4999999999999997E-5</v>
      </c>
      <c r="C33" s="283" t="s">
        <v>244</v>
      </c>
      <c r="D33" s="283">
        <v>2</v>
      </c>
      <c r="E33" s="283">
        <v>3</v>
      </c>
      <c r="F33" s="292">
        <f t="shared" si="0"/>
        <v>382.51619999999997</v>
      </c>
      <c r="G33" s="290">
        <f t="shared" si="1"/>
        <v>0.38251619999999997</v>
      </c>
      <c r="H33" s="285"/>
      <c r="I33" s="296"/>
      <c r="J33" s="295"/>
      <c r="K33" s="295"/>
      <c r="L33" s="176"/>
      <c r="X33" s="244"/>
    </row>
    <row r="34" spans="1:24" x14ac:dyDescent="0.25">
      <c r="A34" s="283" t="s">
        <v>277</v>
      </c>
      <c r="B34" s="284">
        <v>9.0000000000000002E-6</v>
      </c>
      <c r="C34" s="283" t="s">
        <v>244</v>
      </c>
      <c r="D34" s="283">
        <v>2</v>
      </c>
      <c r="E34" s="283">
        <v>3</v>
      </c>
      <c r="F34" s="292">
        <f t="shared" si="0"/>
        <v>394.07819999999998</v>
      </c>
      <c r="G34" s="290">
        <f t="shared" si="1"/>
        <v>0.39407819999999999</v>
      </c>
      <c r="H34" s="285"/>
      <c r="I34" s="296"/>
      <c r="J34" s="295"/>
      <c r="K34" s="295"/>
      <c r="L34" s="176"/>
      <c r="X34" s="244"/>
    </row>
    <row r="35" spans="1:24" x14ac:dyDescent="0.25">
      <c r="A35" s="283" t="s">
        <v>278</v>
      </c>
      <c r="B35" s="284">
        <v>6.0000000000000002E-6</v>
      </c>
      <c r="C35" s="283" t="s">
        <v>244</v>
      </c>
      <c r="D35" s="283">
        <v>2</v>
      </c>
      <c r="E35" s="283">
        <v>3</v>
      </c>
      <c r="F35" s="292">
        <f t="shared" si="0"/>
        <v>377.85883999999999</v>
      </c>
      <c r="G35" s="290">
        <f t="shared" si="1"/>
        <v>0.37785883999999997</v>
      </c>
      <c r="H35" s="285"/>
      <c r="I35" s="296"/>
      <c r="J35" s="295"/>
      <c r="K35" s="295"/>
      <c r="L35" s="176"/>
      <c r="X35" s="196"/>
    </row>
    <row r="36" spans="1:24" x14ac:dyDescent="0.25">
      <c r="A36" s="283" t="s">
        <v>279</v>
      </c>
      <c r="B36" s="284">
        <v>9.9999999999999995E-7</v>
      </c>
      <c r="C36" s="283" t="s">
        <v>244</v>
      </c>
      <c r="D36" s="283">
        <v>2</v>
      </c>
      <c r="E36" s="283">
        <v>3</v>
      </c>
      <c r="F36" s="292">
        <f t="shared" si="0"/>
        <v>397.93220000000002</v>
      </c>
      <c r="G36" s="290">
        <f t="shared" si="1"/>
        <v>0.39793220000000001</v>
      </c>
      <c r="H36" s="285"/>
      <c r="I36" s="296"/>
      <c r="J36" s="295"/>
      <c r="K36" s="295"/>
      <c r="L36" s="176"/>
      <c r="T36" s="253"/>
      <c r="U36" s="223"/>
      <c r="V36" s="244"/>
      <c r="W36" s="231"/>
      <c r="X36" s="196"/>
    </row>
    <row r="37" spans="1:24" x14ac:dyDescent="0.25">
      <c r="A37" s="283" t="s">
        <v>280</v>
      </c>
      <c r="B37" s="284">
        <v>9.1299999999999997E-4</v>
      </c>
      <c r="C37" s="283" t="s">
        <v>244</v>
      </c>
      <c r="D37" s="283">
        <v>2</v>
      </c>
      <c r="E37" s="283">
        <v>3</v>
      </c>
      <c r="F37" s="292">
        <f t="shared" si="0"/>
        <v>385.86662000000001</v>
      </c>
      <c r="G37" s="290">
        <f t="shared" si="1"/>
        <v>0.38586661999999999</v>
      </c>
      <c r="H37" s="285"/>
      <c r="I37" s="296"/>
      <c r="J37" s="295"/>
      <c r="K37" s="295"/>
      <c r="L37" s="176"/>
      <c r="T37" s="253"/>
      <c r="U37" s="223"/>
      <c r="V37" s="244"/>
      <c r="W37" s="229"/>
      <c r="X37" s="229"/>
    </row>
    <row r="38" spans="1:24" x14ac:dyDescent="0.25">
      <c r="A38" s="283"/>
      <c r="B38" s="284">
        <f>SUM(B23:B37)</f>
        <v>0.99861599999999995</v>
      </c>
      <c r="C38" s="283"/>
      <c r="D38" s="283"/>
      <c r="E38" s="283"/>
      <c r="F38" s="218">
        <f>AVERAGE(F23:F37)</f>
        <v>413.58302666666663</v>
      </c>
      <c r="G38" s="229"/>
      <c r="H38" s="287"/>
      <c r="I38" s="297"/>
      <c r="J38" s="295"/>
      <c r="K38" s="295"/>
      <c r="L38" s="176"/>
      <c r="T38" s="253"/>
      <c r="U38" s="223"/>
      <c r="V38" s="244"/>
      <c r="W38" s="229"/>
      <c r="X38" s="229"/>
    </row>
    <row r="39" spans="1:24" x14ac:dyDescent="0.25">
      <c r="A39" s="283"/>
      <c r="B39" s="284"/>
      <c r="C39" s="283"/>
      <c r="D39" s="283"/>
      <c r="E39" s="283"/>
      <c r="F39" s="218"/>
      <c r="G39" s="229"/>
      <c r="H39" s="287"/>
      <c r="I39" s="297"/>
      <c r="J39" s="295"/>
      <c r="K39" s="295"/>
      <c r="L39" s="176"/>
      <c r="T39" s="253"/>
      <c r="U39" s="223"/>
      <c r="V39" s="244"/>
      <c r="W39" s="229"/>
      <c r="X39" s="229"/>
    </row>
    <row r="40" spans="1:24" ht="60" customHeight="1" x14ac:dyDescent="0.25">
      <c r="A40" s="283"/>
      <c r="B40" s="520" t="s">
        <v>494</v>
      </c>
      <c r="C40" s="520"/>
      <c r="D40" s="520" t="s">
        <v>495</v>
      </c>
      <c r="E40" s="520"/>
      <c r="F40" s="520" t="s">
        <v>496</v>
      </c>
      <c r="G40" s="520"/>
      <c r="H40" s="313"/>
      <c r="J40" s="295"/>
      <c r="K40" s="295"/>
      <c r="L40" s="176"/>
      <c r="T40" s="253"/>
      <c r="U40" s="223"/>
      <c r="V40" s="253"/>
      <c r="W40" s="229"/>
      <c r="X40" s="229"/>
    </row>
    <row r="41" spans="1:24" x14ac:dyDescent="0.25">
      <c r="A41" s="283" t="s">
        <v>254</v>
      </c>
      <c r="B41" s="312">
        <f>B23/G23*D23</f>
        <v>2.8527471199455245</v>
      </c>
      <c r="C41" s="286" t="s">
        <v>497</v>
      </c>
      <c r="D41" s="284">
        <f>B41/SUM($B$41:$B$55)</f>
        <v>0.48122975850850658</v>
      </c>
      <c r="E41" s="283" t="s">
        <v>498</v>
      </c>
      <c r="F41" s="284">
        <f>B41*C5</f>
        <v>399.71551545828714</v>
      </c>
      <c r="G41" s="283" t="s">
        <v>499</v>
      </c>
      <c r="H41" s="283"/>
      <c r="J41" s="295"/>
      <c r="K41" s="295"/>
      <c r="L41" s="176"/>
      <c r="T41" s="253"/>
      <c r="U41" s="223"/>
      <c r="V41" s="253"/>
      <c r="W41" s="229"/>
      <c r="X41" s="229"/>
    </row>
    <row r="42" spans="1:24" x14ac:dyDescent="0.25">
      <c r="A42" s="283" t="s">
        <v>253</v>
      </c>
      <c r="B42" s="312">
        <f t="shared" ref="B42:B55" si="2">B24/G24*D24</f>
        <v>2.0380029854288311</v>
      </c>
      <c r="C42" s="283" t="s">
        <v>252</v>
      </c>
      <c r="D42" s="284">
        <f t="shared" ref="D42:D55" si="3">B42/SUM($B$41:$B$55)</f>
        <v>0.34379061419795948</v>
      </c>
      <c r="E42" s="283" t="s">
        <v>498</v>
      </c>
      <c r="F42" s="284">
        <f t="shared" ref="F42:F55" si="4">B42*C6</f>
        <v>283.08976255239497</v>
      </c>
      <c r="G42" s="283" t="s">
        <v>499</v>
      </c>
      <c r="H42" s="283"/>
      <c r="J42" s="295"/>
      <c r="K42" s="295"/>
      <c r="L42" s="176"/>
      <c r="T42" s="244"/>
      <c r="U42" s="244"/>
      <c r="V42" s="244"/>
      <c r="W42" s="229"/>
      <c r="X42" s="229"/>
    </row>
    <row r="43" spans="1:24" x14ac:dyDescent="0.25">
      <c r="A43" s="283" t="s">
        <v>250</v>
      </c>
      <c r="B43" s="312">
        <f t="shared" si="2"/>
        <v>0.25493438523463902</v>
      </c>
      <c r="C43" s="283" t="s">
        <v>252</v>
      </c>
      <c r="D43" s="284">
        <f t="shared" si="3"/>
        <v>4.3004867758598464E-2</v>
      </c>
      <c r="E43" s="283" t="s">
        <v>498</v>
      </c>
      <c r="F43" s="284">
        <f t="shared" si="4"/>
        <v>35.922205127607683</v>
      </c>
      <c r="G43" s="283" t="s">
        <v>499</v>
      </c>
      <c r="H43" s="283"/>
      <c r="J43" s="295"/>
      <c r="K43" s="295"/>
      <c r="L43" s="176"/>
      <c r="T43" s="336"/>
      <c r="U43" s="337"/>
      <c r="V43" s="336"/>
      <c r="W43" s="229"/>
      <c r="X43" s="229"/>
    </row>
    <row r="44" spans="1:24" x14ac:dyDescent="0.25">
      <c r="A44" s="283" t="s">
        <v>251</v>
      </c>
      <c r="B44" s="312">
        <f t="shared" si="2"/>
        <v>0.71326209826255305</v>
      </c>
      <c r="C44" s="283" t="s">
        <v>252</v>
      </c>
      <c r="D44" s="284">
        <f t="shared" si="3"/>
        <v>0.12032014506309048</v>
      </c>
      <c r="E44" s="283" t="s">
        <v>498</v>
      </c>
      <c r="F44" s="284">
        <f t="shared" si="4"/>
        <v>102.88235157758717</v>
      </c>
      <c r="G44" s="283" t="s">
        <v>499</v>
      </c>
      <c r="H44" s="283"/>
      <c r="J44" s="295"/>
      <c r="K44" s="295"/>
      <c r="L44" s="176"/>
      <c r="M44" s="229"/>
      <c r="N44" s="229"/>
      <c r="O44" s="229"/>
      <c r="P44" s="229"/>
      <c r="Q44" s="229"/>
      <c r="R44" s="229"/>
      <c r="S44" s="229"/>
      <c r="T44" s="229"/>
      <c r="U44" s="229"/>
      <c r="V44" s="229"/>
      <c r="W44" s="229"/>
      <c r="X44" s="229"/>
    </row>
    <row r="45" spans="1:24" x14ac:dyDescent="0.25">
      <c r="A45" s="283" t="s">
        <v>255</v>
      </c>
      <c r="B45" s="312">
        <f t="shared" si="2"/>
        <v>4.5251437980581448E-2</v>
      </c>
      <c r="C45" s="283" t="s">
        <v>252</v>
      </c>
      <c r="D45" s="284">
        <f t="shared" si="3"/>
        <v>7.6334626435355787E-3</v>
      </c>
      <c r="E45" s="283" t="s">
        <v>498</v>
      </c>
      <c r="F45" s="284">
        <f t="shared" si="4"/>
        <v>6.8040062147602267</v>
      </c>
      <c r="G45" s="283" t="s">
        <v>499</v>
      </c>
      <c r="H45" s="283"/>
      <c r="J45" s="295"/>
      <c r="K45" s="295"/>
      <c r="L45" s="176"/>
      <c r="M45" s="229"/>
      <c r="N45" s="229"/>
      <c r="O45" s="229"/>
      <c r="P45" s="229"/>
      <c r="Q45" s="229"/>
      <c r="R45" s="229"/>
      <c r="S45" s="229"/>
      <c r="T45" s="229"/>
      <c r="U45" s="229"/>
      <c r="V45" s="229"/>
      <c r="W45" s="229"/>
      <c r="X45" s="229"/>
    </row>
    <row r="46" spans="1:24" x14ac:dyDescent="0.25">
      <c r="A46" s="283" t="s">
        <v>256</v>
      </c>
      <c r="B46" s="312">
        <f t="shared" si="2"/>
        <v>6.7059514182234809E-3</v>
      </c>
      <c r="C46" s="283" t="s">
        <v>252</v>
      </c>
      <c r="D46" s="284">
        <f t="shared" si="3"/>
        <v>1.1312265847184825E-3</v>
      </c>
      <c r="E46" s="283" t="s">
        <v>498</v>
      </c>
      <c r="F46" s="284">
        <f t="shared" si="4"/>
        <v>1.0190632013189131</v>
      </c>
      <c r="G46" s="283" t="s">
        <v>499</v>
      </c>
      <c r="H46" s="283"/>
      <c r="J46" s="295"/>
      <c r="K46" s="295"/>
      <c r="L46" s="176"/>
      <c r="M46" s="283"/>
      <c r="N46" s="306"/>
      <c r="U46" s="295"/>
    </row>
    <row r="47" spans="1:24" x14ac:dyDescent="0.25">
      <c r="A47" s="283" t="s">
        <v>257</v>
      </c>
      <c r="B47" s="312">
        <f t="shared" si="2"/>
        <v>9.1586661671699335E-3</v>
      </c>
      <c r="C47" s="283" t="s">
        <v>252</v>
      </c>
      <c r="D47" s="284">
        <f t="shared" si="3"/>
        <v>1.5449749040396471E-3</v>
      </c>
      <c r="E47" s="283" t="s">
        <v>498</v>
      </c>
      <c r="F47" s="284">
        <f t="shared" si="4"/>
        <v>1.4402002547874719</v>
      </c>
      <c r="G47" s="283" t="s">
        <v>499</v>
      </c>
      <c r="H47" s="283"/>
      <c r="J47" s="295"/>
      <c r="K47" s="295"/>
      <c r="L47" s="176"/>
      <c r="M47" s="286"/>
      <c r="N47" s="306"/>
    </row>
    <row r="48" spans="1:24" x14ac:dyDescent="0.25">
      <c r="A48" s="283" t="s">
        <v>258</v>
      </c>
      <c r="B48" s="312">
        <f t="shared" si="2"/>
        <v>8.506117182196214E-4</v>
      </c>
      <c r="C48" s="283" t="s">
        <v>252</v>
      </c>
      <c r="D48" s="284">
        <f t="shared" si="3"/>
        <v>1.4348964507977522E-4</v>
      </c>
      <c r="E48" s="283" t="s">
        <v>498</v>
      </c>
      <c r="F48" s="284">
        <f t="shared" si="4"/>
        <v>0.13518376503215471</v>
      </c>
      <c r="G48" s="283" t="s">
        <v>499</v>
      </c>
      <c r="H48" s="283"/>
      <c r="J48" s="295"/>
      <c r="K48" s="295"/>
      <c r="L48" s="176"/>
      <c r="M48" s="283"/>
      <c r="N48" s="306"/>
    </row>
    <row r="49" spans="1:17" x14ac:dyDescent="0.25">
      <c r="A49" s="283" t="s">
        <v>259</v>
      </c>
      <c r="B49" s="312">
        <f t="shared" si="2"/>
        <v>1.6729303251329362E-3</v>
      </c>
      <c r="C49" s="283" t="s">
        <v>252</v>
      </c>
      <c r="D49" s="284">
        <f t="shared" si="3"/>
        <v>2.8220652673225857E-4</v>
      </c>
      <c r="E49" s="283" t="s">
        <v>498</v>
      </c>
      <c r="F49" s="284">
        <f t="shared" si="4"/>
        <v>0.27185117783410212</v>
      </c>
      <c r="G49" s="283" t="s">
        <v>499</v>
      </c>
      <c r="H49" s="283"/>
      <c r="J49" s="295"/>
      <c r="K49" s="295"/>
      <c r="L49" s="176"/>
      <c r="M49" s="283"/>
      <c r="N49" s="306"/>
    </row>
    <row r="50" spans="1:17" x14ac:dyDescent="0.25">
      <c r="A50" s="283" t="s">
        <v>260</v>
      </c>
      <c r="B50" s="312">
        <f t="shared" si="2"/>
        <v>4.5170738749718232E-4</v>
      </c>
      <c r="C50" s="283" t="s">
        <v>252</v>
      </c>
      <c r="D50" s="284">
        <f t="shared" si="3"/>
        <v>7.6198494946137533E-5</v>
      </c>
      <c r="E50" s="283" t="s">
        <v>498</v>
      </c>
      <c r="F50" s="284">
        <f t="shared" si="4"/>
        <v>4.0159429236716365E-2</v>
      </c>
      <c r="G50" s="283" t="s">
        <v>499</v>
      </c>
      <c r="H50" s="283"/>
      <c r="J50" s="295"/>
      <c r="K50" s="295"/>
      <c r="L50" s="176"/>
      <c r="M50" s="283"/>
      <c r="N50" s="306"/>
      <c r="O50" s="286"/>
      <c r="P50" s="306"/>
      <c r="Q50" s="286"/>
    </row>
    <row r="51" spans="1:17" x14ac:dyDescent="0.25">
      <c r="A51" s="283" t="s">
        <v>261</v>
      </c>
      <c r="B51" s="312">
        <f t="shared" si="2"/>
        <v>1.8299878541091854E-4</v>
      </c>
      <c r="C51" s="283" t="s">
        <v>252</v>
      </c>
      <c r="D51" s="284">
        <f t="shared" si="3"/>
        <v>3.0870055286333265E-5</v>
      </c>
      <c r="E51" s="283" t="s">
        <v>498</v>
      </c>
      <c r="F51" s="284">
        <f t="shared" si="4"/>
        <v>3.0608193849044823E-2</v>
      </c>
      <c r="G51" s="283" t="s">
        <v>499</v>
      </c>
      <c r="H51" s="283"/>
      <c r="J51" s="295"/>
      <c r="K51" s="295"/>
      <c r="L51" s="176"/>
      <c r="M51" s="283"/>
      <c r="N51" s="306"/>
      <c r="O51" s="286"/>
      <c r="P51" s="306"/>
      <c r="Q51" s="286"/>
    </row>
    <row r="52" spans="1:17" x14ac:dyDescent="0.25">
      <c r="A52" s="283" t="s">
        <v>262</v>
      </c>
      <c r="B52" s="312">
        <f t="shared" si="2"/>
        <v>4.5676213502802238E-5</v>
      </c>
      <c r="C52" s="283" t="s">
        <v>252</v>
      </c>
      <c r="D52" s="284">
        <f t="shared" si="3"/>
        <v>7.7051180035741294E-6</v>
      </c>
      <c r="E52" s="283" t="s">
        <v>498</v>
      </c>
      <c r="F52" s="284">
        <f t="shared" si="4"/>
        <v>7.9038119845248993E-3</v>
      </c>
      <c r="G52" s="283" t="s">
        <v>499</v>
      </c>
      <c r="H52" s="283"/>
      <c r="J52" s="295"/>
      <c r="K52" s="295"/>
      <c r="L52" s="176"/>
      <c r="M52" s="283"/>
      <c r="N52" s="306"/>
      <c r="O52" s="286"/>
      <c r="P52" s="306"/>
      <c r="Q52" s="286"/>
    </row>
    <row r="53" spans="1:17" x14ac:dyDescent="0.25">
      <c r="A53" s="283" t="s">
        <v>263</v>
      </c>
      <c r="B53" s="312">
        <f t="shared" si="2"/>
        <v>3.1757891386105988E-5</v>
      </c>
      <c r="C53" s="283" t="s">
        <v>252</v>
      </c>
      <c r="D53" s="284">
        <f t="shared" si="3"/>
        <v>5.3572369929399851E-6</v>
      </c>
      <c r="E53" s="283" t="s">
        <v>498</v>
      </c>
      <c r="F53" s="284">
        <f t="shared" si="4"/>
        <v>5.2378391888357042E-3</v>
      </c>
      <c r="G53" s="283" t="s">
        <v>499</v>
      </c>
      <c r="H53" s="283"/>
      <c r="J53" s="295"/>
      <c r="K53" s="295"/>
      <c r="L53" s="176"/>
      <c r="M53" s="283"/>
      <c r="N53" s="306"/>
      <c r="O53" s="286"/>
      <c r="P53" s="306"/>
      <c r="Q53" s="286"/>
    </row>
    <row r="54" spans="1:17" x14ac:dyDescent="0.25">
      <c r="A54" s="283" t="s">
        <v>264</v>
      </c>
      <c r="B54" s="312">
        <f t="shared" si="2"/>
        <v>5.0259818129822113E-6</v>
      </c>
      <c r="C54" s="283" t="s">
        <v>252</v>
      </c>
      <c r="D54" s="284">
        <f t="shared" si="3"/>
        <v>8.4783260220266624E-7</v>
      </c>
      <c r="E54" s="283" t="s">
        <v>498</v>
      </c>
      <c r="F54" s="284">
        <f t="shared" si="4"/>
        <v>8.793809598720586E-4</v>
      </c>
      <c r="G54" s="283" t="s">
        <v>499</v>
      </c>
      <c r="H54" s="283"/>
      <c r="J54" s="295"/>
      <c r="K54" s="295"/>
      <c r="L54" s="176"/>
      <c r="M54" s="286"/>
      <c r="N54" s="306"/>
      <c r="O54" s="286"/>
      <c r="P54" s="306"/>
      <c r="Q54" s="286"/>
    </row>
    <row r="55" spans="1:17" x14ac:dyDescent="0.25">
      <c r="A55" s="283" t="s">
        <v>265</v>
      </c>
      <c r="B55" s="312">
        <f t="shared" si="2"/>
        <v>4.7322051334733233E-3</v>
      </c>
      <c r="C55" s="283" t="s">
        <v>252</v>
      </c>
      <c r="D55" s="284">
        <f t="shared" si="3"/>
        <v>7.9827542990826641E-4</v>
      </c>
      <c r="E55" s="283" t="s">
        <v>498</v>
      </c>
      <c r="F55" s="284">
        <f t="shared" si="4"/>
        <v>0.79943133578126047</v>
      </c>
      <c r="G55" s="283" t="s">
        <v>499</v>
      </c>
      <c r="H55" s="283"/>
      <c r="J55" s="295"/>
      <c r="K55" s="295"/>
      <c r="L55" s="176"/>
      <c r="M55" s="286"/>
      <c r="N55" s="283"/>
      <c r="O55" s="286"/>
      <c r="P55" s="306"/>
      <c r="Q55" s="286"/>
    </row>
    <row r="56" spans="1:17" x14ac:dyDescent="0.25">
      <c r="A56" s="283"/>
      <c r="B56" s="284">
        <f>SUM(B41:B55)</f>
        <v>5.9280355578739572</v>
      </c>
      <c r="C56" s="283" t="s">
        <v>252</v>
      </c>
      <c r="D56" s="311">
        <f>SUM(D41:D55)</f>
        <v>1.0000000000000002</v>
      </c>
      <c r="E56" s="283"/>
      <c r="F56" s="286">
        <f>SUM(F41:F55)</f>
        <v>832.16435932060995</v>
      </c>
      <c r="G56" s="283"/>
      <c r="H56" s="283"/>
      <c r="L56" s="176"/>
      <c r="M56" s="286"/>
      <c r="N56" s="283"/>
      <c r="O56" s="286"/>
      <c r="P56" s="306"/>
      <c r="Q56" s="286"/>
    </row>
    <row r="57" spans="1:17" x14ac:dyDescent="0.25">
      <c r="A57" s="283"/>
      <c r="B57" s="284"/>
      <c r="C57" s="283"/>
      <c r="D57" s="311"/>
      <c r="E57" s="283"/>
      <c r="F57" s="286"/>
      <c r="G57" s="283"/>
      <c r="H57" s="283"/>
      <c r="L57" s="176"/>
      <c r="M57" s="286"/>
      <c r="N57" s="283"/>
      <c r="O57" s="286"/>
      <c r="P57" s="306"/>
      <c r="Q57" s="286"/>
    </row>
    <row r="58" spans="1:17" ht="45" customHeight="1" x14ac:dyDescent="0.25">
      <c r="A58" s="283"/>
      <c r="B58" s="283"/>
      <c r="C58" s="283"/>
      <c r="D58" s="521" t="s">
        <v>474</v>
      </c>
      <c r="E58" s="521"/>
      <c r="F58" s="286"/>
      <c r="G58" s="283"/>
      <c r="H58" s="283"/>
      <c r="L58" s="176"/>
      <c r="M58" s="286"/>
      <c r="N58" s="283"/>
      <c r="O58" s="286"/>
      <c r="P58" s="306"/>
      <c r="Q58" s="286"/>
    </row>
    <row r="59" spans="1:17" x14ac:dyDescent="0.25">
      <c r="A59" s="287" t="s">
        <v>475</v>
      </c>
      <c r="B59" s="285">
        <f>C5+3*$G$10</f>
        <v>246.47500000000002</v>
      </c>
      <c r="C59" s="285" t="s">
        <v>249</v>
      </c>
      <c r="D59" s="307">
        <f>B41*B59/Conversions!$D$12</f>
        <v>0.70313084638857326</v>
      </c>
      <c r="E59" s="285" t="s">
        <v>42</v>
      </c>
      <c r="F59" s="308">
        <f>D59/$D$74</f>
        <v>0.48071922562654784</v>
      </c>
      <c r="G59" s="287" t="s">
        <v>476</v>
      </c>
      <c r="H59" s="285"/>
      <c r="L59" s="176"/>
      <c r="M59" s="283"/>
      <c r="N59" s="306"/>
      <c r="O59" s="286"/>
      <c r="P59" s="306"/>
      <c r="Q59" s="286"/>
    </row>
    <row r="60" spans="1:17" x14ac:dyDescent="0.25">
      <c r="A60" s="287" t="s">
        <v>477</v>
      </c>
      <c r="B60" s="285">
        <f t="shared" ref="B60:B73" si="5">C6+3*$G$10</f>
        <v>245.26447000000002</v>
      </c>
      <c r="C60" s="285" t="s">
        <v>249</v>
      </c>
      <c r="D60" s="307">
        <f>B42*B60/Conversions!$D$12</f>
        <v>0.49984972207961997</v>
      </c>
      <c r="E60" s="285" t="s">
        <v>42</v>
      </c>
      <c r="F60" s="307">
        <f t="shared" ref="F60:F73" si="6">D60/$D$74</f>
        <v>0.34173919770683669</v>
      </c>
      <c r="G60" s="287" t="s">
        <v>476</v>
      </c>
      <c r="H60" s="285"/>
      <c r="L60" s="176"/>
      <c r="M60" s="286"/>
      <c r="N60" s="283"/>
      <c r="O60" s="286"/>
      <c r="P60" s="306"/>
      <c r="Q60" s="286"/>
    </row>
    <row r="61" spans="1:17" x14ac:dyDescent="0.25">
      <c r="A61" s="287" t="s">
        <v>478</v>
      </c>
      <c r="B61" s="285">
        <f t="shared" si="5"/>
        <v>247.26665</v>
      </c>
      <c r="C61" s="285" t="s">
        <v>249</v>
      </c>
      <c r="D61" s="307">
        <f>B43*B61/Conversions!$D$12</f>
        <v>6.3036771406778658E-2</v>
      </c>
      <c r="E61" s="285" t="s">
        <v>42</v>
      </c>
      <c r="F61" s="307">
        <f t="shared" si="6"/>
        <v>4.3097224495706334E-2</v>
      </c>
      <c r="G61" s="287" t="s">
        <v>476</v>
      </c>
      <c r="H61" s="285"/>
      <c r="L61" s="176"/>
      <c r="M61" s="286"/>
      <c r="N61" s="283"/>
      <c r="O61" s="286"/>
      <c r="P61" s="306"/>
      <c r="Q61" s="286"/>
    </row>
    <row r="62" spans="1:17" x14ac:dyDescent="0.25">
      <c r="A62" s="287" t="s">
        <v>479</v>
      </c>
      <c r="B62" s="285">
        <f t="shared" si="5"/>
        <v>250.601</v>
      </c>
      <c r="C62" s="285" t="s">
        <v>249</v>
      </c>
      <c r="D62" s="307">
        <f>B44*B62/Conversions!$D$12</f>
        <v>0.17874419508669404</v>
      </c>
      <c r="E62" s="285" t="s">
        <v>42</v>
      </c>
      <c r="F62" s="307">
        <f t="shared" si="6"/>
        <v>0.12220452493109758</v>
      </c>
      <c r="G62" s="287" t="s">
        <v>476</v>
      </c>
      <c r="H62" s="285"/>
      <c r="M62" s="286"/>
      <c r="N62" s="283"/>
      <c r="O62" s="286"/>
      <c r="P62" s="306"/>
      <c r="Q62" s="286"/>
    </row>
    <row r="63" spans="1:17" x14ac:dyDescent="0.25">
      <c r="A63" s="287" t="s">
        <v>480</v>
      </c>
      <c r="B63" s="285">
        <f t="shared" si="5"/>
        <v>256.71900000000005</v>
      </c>
      <c r="C63" s="285" t="s">
        <v>249</v>
      </c>
      <c r="D63" s="307">
        <f>B45*B63/Conversions!$D$12</f>
        <v>1.1616903906936892E-2</v>
      </c>
      <c r="E63" s="285" t="s">
        <v>42</v>
      </c>
      <c r="F63" s="307">
        <f t="shared" si="6"/>
        <v>7.9422899436196251E-3</v>
      </c>
      <c r="G63" s="287" t="s">
        <v>476</v>
      </c>
      <c r="H63" s="285"/>
      <c r="M63" s="286"/>
      <c r="N63" s="283"/>
      <c r="O63" s="286"/>
      <c r="P63" s="306"/>
      <c r="Q63" s="286"/>
    </row>
    <row r="64" spans="1:17" x14ac:dyDescent="0.25">
      <c r="A64" s="287" t="s">
        <v>481</v>
      </c>
      <c r="B64" s="285">
        <f t="shared" si="5"/>
        <v>258.32299999999998</v>
      </c>
      <c r="C64" s="285" t="s">
        <v>249</v>
      </c>
      <c r="D64" s="307">
        <f>B46*B64/Conversions!$D$12</f>
        <v>1.732301488209744E-3</v>
      </c>
      <c r="E64" s="285" t="s">
        <v>42</v>
      </c>
      <c r="F64" s="307">
        <f t="shared" si="6"/>
        <v>1.1843466038235777E-3</v>
      </c>
      <c r="G64" s="287" t="s">
        <v>476</v>
      </c>
      <c r="H64" s="285"/>
    </row>
    <row r="65" spans="1:17" x14ac:dyDescent="0.25">
      <c r="A65" s="287" t="s">
        <v>482</v>
      </c>
      <c r="B65" s="285">
        <f t="shared" si="5"/>
        <v>263.60900000000004</v>
      </c>
      <c r="C65" s="285" t="s">
        <v>249</v>
      </c>
      <c r="D65" s="307">
        <f>B47*B65/Conversions!$D$12</f>
        <v>2.4143068296614994E-3</v>
      </c>
      <c r="E65" s="285" t="s">
        <v>42</v>
      </c>
      <c r="F65" s="307">
        <f t="shared" si="6"/>
        <v>1.6506226622553463E-3</v>
      </c>
      <c r="G65" s="287" t="s">
        <v>476</v>
      </c>
      <c r="H65" s="285"/>
      <c r="N65" s="288"/>
      <c r="O65" s="288"/>
      <c r="P65" s="288"/>
      <c r="Q65" s="288"/>
    </row>
    <row r="66" spans="1:17" x14ac:dyDescent="0.25">
      <c r="A66" s="287" t="s">
        <v>483</v>
      </c>
      <c r="B66" s="285">
        <f t="shared" si="5"/>
        <v>265.28435000000002</v>
      </c>
      <c r="C66" s="285" t="s">
        <v>249</v>
      </c>
      <c r="D66" s="307">
        <f>B48*B66/Conversions!$D$12</f>
        <v>2.2565397677027542E-4</v>
      </c>
      <c r="E66" s="285" t="s">
        <v>42</v>
      </c>
      <c r="F66" s="307">
        <f t="shared" si="6"/>
        <v>1.5427598651049693E-4</v>
      </c>
      <c r="G66" s="287" t="s">
        <v>476</v>
      </c>
      <c r="H66" s="285"/>
      <c r="M66" s="283"/>
      <c r="N66" s="285"/>
      <c r="O66" s="283"/>
      <c r="P66" s="285"/>
      <c r="Q66" s="289"/>
    </row>
    <row r="67" spans="1:17" x14ac:dyDescent="0.25">
      <c r="A67" s="287" t="s">
        <v>484</v>
      </c>
      <c r="B67" s="285">
        <f t="shared" si="5"/>
        <v>268.85900000000004</v>
      </c>
      <c r="C67" s="285" t="s">
        <v>249</v>
      </c>
      <c r="D67" s="307">
        <f>B49*B67/Conversions!$D$12</f>
        <v>4.4978237428491613E-4</v>
      </c>
      <c r="E67" s="285" t="s">
        <v>42</v>
      </c>
      <c r="F67" s="307">
        <f t="shared" si="6"/>
        <v>3.0750895907534286E-4</v>
      </c>
      <c r="G67" s="287" t="s">
        <v>476</v>
      </c>
      <c r="H67" s="285"/>
      <c r="M67" s="283"/>
      <c r="N67" s="285"/>
      <c r="O67" s="283"/>
      <c r="P67" s="285"/>
      <c r="Q67" s="289"/>
    </row>
    <row r="68" spans="1:17" x14ac:dyDescent="0.25">
      <c r="A68" s="287" t="s">
        <v>485</v>
      </c>
      <c r="B68" s="285">
        <f t="shared" si="5"/>
        <v>195.26485000000002</v>
      </c>
      <c r="C68" s="285" t="s">
        <v>249</v>
      </c>
      <c r="D68" s="307">
        <f>B50*B68/Conversions!$D$12</f>
        <v>8.8202575263529188E-5</v>
      </c>
      <c r="E68" s="285" t="s">
        <v>42</v>
      </c>
      <c r="F68" s="307">
        <f t="shared" si="6"/>
        <v>6.030267893483803E-5</v>
      </c>
      <c r="G68" s="287" t="s">
        <v>476</v>
      </c>
      <c r="H68" s="285"/>
      <c r="M68" s="283"/>
      <c r="N68" s="285"/>
      <c r="O68" s="283"/>
      <c r="P68" s="285"/>
      <c r="Q68" s="289"/>
    </row>
    <row r="69" spans="1:17" x14ac:dyDescent="0.25">
      <c r="A69" s="287" t="s">
        <v>486</v>
      </c>
      <c r="B69" s="285">
        <f t="shared" si="5"/>
        <v>273.61799999999999</v>
      </c>
      <c r="C69" s="285" t="s">
        <v>249</v>
      </c>
      <c r="D69" s="307">
        <f>B51*B69/Conversions!$D$12</f>
        <v>5.0071761666564708E-5</v>
      </c>
      <c r="E69" s="285" t="s">
        <v>42</v>
      </c>
      <c r="F69" s="307">
        <f t="shared" si="6"/>
        <v>3.4233256324536102E-5</v>
      </c>
      <c r="G69" s="287" t="s">
        <v>476</v>
      </c>
      <c r="H69" s="285"/>
      <c r="M69" s="283"/>
      <c r="N69" s="285"/>
      <c r="O69" s="283"/>
      <c r="P69" s="285"/>
      <c r="Q69" s="289"/>
    </row>
    <row r="70" spans="1:17" x14ac:dyDescent="0.25">
      <c r="A70" s="287" t="s">
        <v>487</v>
      </c>
      <c r="B70" s="285">
        <f t="shared" si="5"/>
        <v>279.399</v>
      </c>
      <c r="C70" s="285" t="s">
        <v>249</v>
      </c>
      <c r="D70" s="307">
        <f>B52*B70/Conversions!$D$12</f>
        <v>1.2761888376469443E-5</v>
      </c>
      <c r="E70" s="285" t="s">
        <v>42</v>
      </c>
      <c r="F70" s="307">
        <f t="shared" si="6"/>
        <v>8.7250973689731886E-6</v>
      </c>
      <c r="G70" s="287" t="s">
        <v>476</v>
      </c>
      <c r="H70" s="285"/>
      <c r="M70" s="283"/>
      <c r="N70" s="285"/>
      <c r="O70" s="283"/>
      <c r="P70" s="285"/>
      <c r="Q70" s="289"/>
    </row>
    <row r="71" spans="1:17" x14ac:dyDescent="0.25">
      <c r="A71" s="287" t="s">
        <v>488</v>
      </c>
      <c r="B71" s="285">
        <f t="shared" si="5"/>
        <v>271.28931999999998</v>
      </c>
      <c r="C71" s="285" t="s">
        <v>249</v>
      </c>
      <c r="D71" s="307">
        <f>B53*B71/Conversions!$D$12</f>
        <v>8.6155767587705492E-6</v>
      </c>
      <c r="E71" s="285" t="s">
        <v>42</v>
      </c>
      <c r="F71" s="307">
        <f t="shared" si="6"/>
        <v>5.8903309520194714E-6</v>
      </c>
      <c r="G71" s="287" t="s">
        <v>476</v>
      </c>
      <c r="H71" s="285"/>
      <c r="M71" s="283"/>
      <c r="N71" s="285"/>
      <c r="O71" s="283"/>
      <c r="P71" s="285"/>
      <c r="Q71" s="289"/>
    </row>
    <row r="72" spans="1:17" x14ac:dyDescent="0.25">
      <c r="A72" s="287" t="s">
        <v>489</v>
      </c>
      <c r="B72" s="285">
        <f t="shared" si="5"/>
        <v>281.32600000000002</v>
      </c>
      <c r="C72" s="285" t="s">
        <v>249</v>
      </c>
      <c r="D72" s="307">
        <f>B54*B72/Conversions!$D$12</f>
        <v>1.4139393595190335E-6</v>
      </c>
      <c r="E72" s="285" t="s">
        <v>42</v>
      </c>
      <c r="F72" s="307">
        <f t="shared" si="6"/>
        <v>9.666875482451211E-7</v>
      </c>
      <c r="G72" s="287" t="s">
        <v>476</v>
      </c>
      <c r="H72" s="285"/>
      <c r="M72" s="283"/>
      <c r="N72" s="285"/>
      <c r="O72" s="283"/>
      <c r="P72" s="285"/>
      <c r="Q72" s="289"/>
    </row>
    <row r="73" spans="1:17" x14ac:dyDescent="0.25">
      <c r="A73" s="287" t="s">
        <v>490</v>
      </c>
      <c r="B73" s="285">
        <f t="shared" si="5"/>
        <v>275.29321000000004</v>
      </c>
      <c r="C73" s="285" t="s">
        <v>249</v>
      </c>
      <c r="D73" s="307">
        <f>B55*B73/Conversions!$D$12</f>
        <v>1.3027439415723499E-3</v>
      </c>
      <c r="E73" s="285" t="s">
        <v>42</v>
      </c>
      <c r="F73" s="307">
        <f t="shared" si="6"/>
        <v>8.9066503339870265E-4</v>
      </c>
      <c r="G73" s="287" t="s">
        <v>476</v>
      </c>
      <c r="H73" s="285"/>
      <c r="M73" s="283"/>
      <c r="N73" s="285"/>
      <c r="O73" s="283"/>
      <c r="P73" s="285"/>
      <c r="Q73" s="289"/>
    </row>
    <row r="74" spans="1:17" x14ac:dyDescent="0.25">
      <c r="A74" s="285"/>
      <c r="B74" s="285"/>
      <c r="C74" s="285"/>
      <c r="D74" s="307">
        <f>SUM(D59:D73)</f>
        <v>1.4626642932205263</v>
      </c>
      <c r="E74" s="285" t="s">
        <v>42</v>
      </c>
      <c r="F74" s="308">
        <f>SUM(F59:F73)</f>
        <v>1.0000000000000002</v>
      </c>
      <c r="G74" s="285"/>
      <c r="H74" s="285"/>
      <c r="M74" s="283"/>
      <c r="N74" s="285"/>
      <c r="O74" s="283"/>
      <c r="P74" s="285"/>
      <c r="Q74" s="289"/>
    </row>
    <row r="75" spans="1:17" x14ac:dyDescent="0.25">
      <c r="A75" s="285"/>
      <c r="B75" s="285" t="s">
        <v>491</v>
      </c>
      <c r="C75" s="285"/>
      <c r="D75" s="285"/>
      <c r="E75" s="285"/>
      <c r="F75" s="285"/>
      <c r="G75" s="285"/>
      <c r="H75" s="285"/>
      <c r="M75" s="283"/>
      <c r="N75" s="285"/>
      <c r="O75" s="283"/>
      <c r="P75" s="285"/>
      <c r="Q75" s="289"/>
    </row>
    <row r="76" spans="1:17" x14ac:dyDescent="0.25">
      <c r="A76" s="231"/>
      <c r="B76" s="231"/>
      <c r="C76" s="231"/>
      <c r="D76" s="231"/>
      <c r="E76" s="231"/>
      <c r="F76" s="231"/>
      <c r="G76" s="231"/>
      <c r="H76" s="231"/>
      <c r="M76" s="283"/>
      <c r="N76" s="285"/>
      <c r="O76" s="283"/>
      <c r="P76" s="285"/>
      <c r="Q76" s="289"/>
    </row>
    <row r="77" spans="1:17" x14ac:dyDescent="0.25">
      <c r="A77" s="231"/>
      <c r="B77" s="231"/>
      <c r="C77" s="231"/>
      <c r="D77" s="231"/>
      <c r="E77" s="231"/>
      <c r="F77" s="231"/>
      <c r="G77" s="231"/>
      <c r="H77" s="231"/>
      <c r="M77" s="283"/>
      <c r="N77" s="285"/>
      <c r="O77" s="283"/>
      <c r="P77" s="285"/>
      <c r="Q77" s="289"/>
    </row>
    <row r="78" spans="1:17" x14ac:dyDescent="0.25">
      <c r="A78" s="196"/>
      <c r="B78" s="196">
        <f>SUM(B26:B39)</f>
        <v>1.1308319999999998</v>
      </c>
      <c r="C78" s="196">
        <f>B78*0.72</f>
        <v>0.81419903999999987</v>
      </c>
      <c r="D78" s="196"/>
      <c r="E78" s="196"/>
      <c r="F78" s="196"/>
      <c r="G78" s="196"/>
      <c r="H78" s="196"/>
      <c r="M78" s="283"/>
      <c r="N78" s="285"/>
      <c r="O78" s="283"/>
      <c r="P78" s="285"/>
      <c r="Q78" s="289"/>
    </row>
    <row r="79" spans="1:17" ht="51.75" customHeight="1" x14ac:dyDescent="0.25">
      <c r="A79" s="196"/>
      <c r="B79" s="196" t="s">
        <v>661</v>
      </c>
      <c r="C79" s="196"/>
      <c r="D79" s="522" t="s">
        <v>662</v>
      </c>
      <c r="E79" s="522"/>
      <c r="F79" s="196" t="s">
        <v>500</v>
      </c>
      <c r="G79" s="196"/>
      <c r="H79" s="196"/>
      <c r="I79" t="s">
        <v>591</v>
      </c>
      <c r="M79" s="283" t="s">
        <v>592</v>
      </c>
      <c r="N79" s="285"/>
      <c r="O79" s="283"/>
      <c r="P79" s="285"/>
      <c r="Q79" s="289"/>
    </row>
    <row r="80" spans="1:17" x14ac:dyDescent="0.25">
      <c r="A80" s="196" t="str">
        <f>A59&amp;"∙6H₂O"</f>
        <v>CeCl₃∙6H₂O</v>
      </c>
      <c r="B80" s="262">
        <f>B59+6*$G$14</f>
        <v>354.56668000000002</v>
      </c>
      <c r="C80" s="196" t="s">
        <v>249</v>
      </c>
      <c r="D80" s="284">
        <f>B41*B80/Conversions!$D$12</f>
        <v>1.0114890751986465</v>
      </c>
      <c r="E80" s="283" t="s">
        <v>42</v>
      </c>
      <c r="F80" s="310">
        <f>D80/$D$95</f>
        <v>0.57113281317219189</v>
      </c>
      <c r="G80" s="196" t="s">
        <v>501</v>
      </c>
      <c r="H80" s="196"/>
      <c r="I80" s="343">
        <f>C5/B80</f>
        <v>0.3951753165300248</v>
      </c>
      <c r="K80" s="293">
        <f>B80/1000</f>
        <v>0.35456668000000002</v>
      </c>
      <c r="L80" t="s">
        <v>266</v>
      </c>
      <c r="M80" s="344">
        <f>1/K80</f>
        <v>2.8203439759201285</v>
      </c>
      <c r="N80" s="287" t="s">
        <v>252</v>
      </c>
      <c r="O80" s="283"/>
      <c r="P80" s="285"/>
      <c r="Q80" s="289"/>
    </row>
    <row r="81" spans="1:13" x14ac:dyDescent="0.25">
      <c r="A81" s="196" t="str">
        <f t="shared" ref="A81:A94" si="7">A60&amp;"∙6H₂O"</f>
        <v>LaCl₃∙6H₂O</v>
      </c>
      <c r="B81" s="262">
        <f t="shared" ref="B81:B94" si="8">B60+6*$K$62</f>
        <v>245.26447000000002</v>
      </c>
      <c r="C81" s="196" t="s">
        <v>249</v>
      </c>
      <c r="D81" s="284">
        <f>B42*B81/Conversions!$D$12</f>
        <v>0.49984972207961997</v>
      </c>
      <c r="E81" s="283" t="s">
        <v>42</v>
      </c>
      <c r="F81" s="310">
        <f t="shared" ref="F81:F94" si="9">D81/$D$95</f>
        <v>0.28223792518827362</v>
      </c>
      <c r="G81" s="196" t="s">
        <v>501</v>
      </c>
      <c r="H81" s="196"/>
      <c r="I81" s="343">
        <f>C6/B81</f>
        <v>0.56634974482851108</v>
      </c>
      <c r="K81" s="293">
        <f t="shared" ref="K81:K94" si="10">B81/1000</f>
        <v>0.24526447000000001</v>
      </c>
      <c r="M81" s="344">
        <f t="shared" ref="M81:M94" si="11">1/K81</f>
        <v>4.0772314065710376</v>
      </c>
    </row>
    <row r="82" spans="1:13" x14ac:dyDescent="0.25">
      <c r="A82" s="196" t="str">
        <f t="shared" si="7"/>
        <v>PrCl₃∙6H₂O</v>
      </c>
      <c r="B82" s="262">
        <f t="shared" si="8"/>
        <v>247.26665</v>
      </c>
      <c r="C82" s="196" t="s">
        <v>249</v>
      </c>
      <c r="D82" s="284">
        <f>B43*B82/Conversions!$D$12</f>
        <v>6.3036771406778658E-2</v>
      </c>
      <c r="E82" s="283" t="s">
        <v>42</v>
      </c>
      <c r="F82" s="310">
        <f t="shared" si="9"/>
        <v>3.5593432959001928E-2</v>
      </c>
      <c r="G82" s="196" t="s">
        <v>501</v>
      </c>
      <c r="H82" s="196"/>
      <c r="I82" s="343">
        <f t="shared" ref="I82:I94" si="12">C7/B82</f>
        <v>0.56986111956464813</v>
      </c>
      <c r="K82" s="293">
        <f t="shared" si="10"/>
        <v>0.24726665</v>
      </c>
      <c r="M82" s="344">
        <f t="shared" si="11"/>
        <v>4.0442170426137123</v>
      </c>
    </row>
    <row r="83" spans="1:13" x14ac:dyDescent="0.25">
      <c r="A83" s="196" t="str">
        <f t="shared" si="7"/>
        <v>NdCl₃∙6H₂O</v>
      </c>
      <c r="B83" s="262">
        <f t="shared" si="8"/>
        <v>250.601</v>
      </c>
      <c r="C83" s="196" t="s">
        <v>249</v>
      </c>
      <c r="D83" s="284">
        <f>B44*B83/Conversions!$D$12</f>
        <v>0.17874419508669404</v>
      </c>
      <c r="E83" s="283" t="s">
        <v>42</v>
      </c>
      <c r="F83" s="310">
        <f t="shared" si="9"/>
        <v>0.10092711575556447</v>
      </c>
      <c r="G83" s="196" t="s">
        <v>501</v>
      </c>
      <c r="H83" s="196"/>
      <c r="I83" s="343">
        <f t="shared" si="12"/>
        <v>0.57558429535396904</v>
      </c>
      <c r="K83" s="293">
        <f t="shared" si="10"/>
        <v>0.25060100000000002</v>
      </c>
      <c r="M83" s="344">
        <f t="shared" si="11"/>
        <v>3.9904070614243357</v>
      </c>
    </row>
    <row r="84" spans="1:13" x14ac:dyDescent="0.25">
      <c r="A84" s="196" t="str">
        <f t="shared" si="7"/>
        <v>SmCl₃∙6H₂O</v>
      </c>
      <c r="B84" s="262">
        <f t="shared" si="8"/>
        <v>256.71900000000005</v>
      </c>
      <c r="C84" s="196" t="s">
        <v>249</v>
      </c>
      <c r="D84" s="284">
        <f>B45*B84/Conversions!$D$12</f>
        <v>1.1616903906936892E-2</v>
      </c>
      <c r="E84" s="283" t="s">
        <v>42</v>
      </c>
      <c r="F84" s="310">
        <f t="shared" si="9"/>
        <v>6.5594331875674337E-3</v>
      </c>
      <c r="G84" s="196" t="s">
        <v>501</v>
      </c>
      <c r="H84" s="196"/>
      <c r="I84" s="343">
        <f t="shared" si="12"/>
        <v>0.58569876012293587</v>
      </c>
      <c r="K84" s="293">
        <f t="shared" si="10"/>
        <v>0.25671900000000003</v>
      </c>
      <c r="M84" s="344">
        <f t="shared" si="11"/>
        <v>3.8953096576412336</v>
      </c>
    </row>
    <row r="85" spans="1:13" x14ac:dyDescent="0.25">
      <c r="A85" s="196" t="str">
        <f t="shared" si="7"/>
        <v>EuCl₃∙6H₂O</v>
      </c>
      <c r="B85" s="262">
        <f t="shared" si="8"/>
        <v>258.32299999999998</v>
      </c>
      <c r="C85" s="196" t="s">
        <v>249</v>
      </c>
      <c r="D85" s="284">
        <f>B46*B85/Conversions!$D$12</f>
        <v>1.732301488209744E-3</v>
      </c>
      <c r="E85" s="283" t="s">
        <v>42</v>
      </c>
      <c r="F85" s="310">
        <f t="shared" si="9"/>
        <v>9.7813634025587697E-4</v>
      </c>
      <c r="G85" s="196" t="s">
        <v>501</v>
      </c>
      <c r="H85" s="196"/>
      <c r="I85" s="343">
        <f t="shared" si="12"/>
        <v>0.58827127278639535</v>
      </c>
      <c r="K85" s="293">
        <f t="shared" si="10"/>
        <v>0.25832299999999997</v>
      </c>
      <c r="M85" s="344">
        <f t="shared" si="11"/>
        <v>3.871122586838958</v>
      </c>
    </row>
    <row r="86" spans="1:13" x14ac:dyDescent="0.25">
      <c r="A86" s="196" t="str">
        <f t="shared" si="7"/>
        <v>GdCl₃∙6H₂O</v>
      </c>
      <c r="B86" s="262">
        <f t="shared" si="8"/>
        <v>263.60900000000004</v>
      </c>
      <c r="C86" s="196" t="s">
        <v>249</v>
      </c>
      <c r="D86" s="284">
        <f>B47*B86/Conversions!$D$12</f>
        <v>2.4143068296614994E-3</v>
      </c>
      <c r="E86" s="283" t="s">
        <v>42</v>
      </c>
      <c r="F86" s="310">
        <f t="shared" si="9"/>
        <v>1.3632276267685913E-3</v>
      </c>
      <c r="G86" s="196" t="s">
        <v>501</v>
      </c>
      <c r="H86" s="196"/>
      <c r="I86" s="343">
        <f t="shared" si="12"/>
        <v>0.5965274326749086</v>
      </c>
      <c r="K86" s="293">
        <f t="shared" si="10"/>
        <v>0.26360900000000004</v>
      </c>
      <c r="M86" s="344">
        <f t="shared" si="11"/>
        <v>3.7934971871218353</v>
      </c>
    </row>
    <row r="87" spans="1:13" x14ac:dyDescent="0.25">
      <c r="A87" s="196" t="str">
        <f t="shared" si="7"/>
        <v>TbCl₃∙6H₂O</v>
      </c>
      <c r="B87" s="262">
        <f t="shared" si="8"/>
        <v>265.28435000000002</v>
      </c>
      <c r="C87" s="196" t="s">
        <v>249</v>
      </c>
      <c r="D87" s="284">
        <f>B48*B87/Conversions!$D$12</f>
        <v>2.2565397677027542E-4</v>
      </c>
      <c r="E87" s="283" t="s">
        <v>42</v>
      </c>
      <c r="F87" s="310">
        <f t="shared" si="9"/>
        <v>1.2741451560511357E-4</v>
      </c>
      <c r="G87" s="196" t="s">
        <v>501</v>
      </c>
      <c r="H87" s="196"/>
      <c r="I87" s="343">
        <f t="shared" si="12"/>
        <v>0.59907548259066168</v>
      </c>
      <c r="K87" s="293">
        <f t="shared" si="10"/>
        <v>0.26528435</v>
      </c>
      <c r="M87" s="344">
        <f t="shared" si="11"/>
        <v>3.7695401179903754</v>
      </c>
    </row>
    <row r="88" spans="1:13" x14ac:dyDescent="0.25">
      <c r="A88" s="196" t="str">
        <f t="shared" si="7"/>
        <v>DyCl₃∙6H₂O</v>
      </c>
      <c r="B88" s="262">
        <f t="shared" si="8"/>
        <v>268.85900000000004</v>
      </c>
      <c r="C88" s="196" t="s">
        <v>249</v>
      </c>
      <c r="D88" s="284">
        <f>B49*B88/Conversions!$D$12</f>
        <v>4.4978237428491613E-4</v>
      </c>
      <c r="E88" s="283" t="s">
        <v>42</v>
      </c>
      <c r="F88" s="310">
        <f t="shared" si="9"/>
        <v>2.5396761966031331E-4</v>
      </c>
      <c r="G88" s="196" t="s">
        <v>501</v>
      </c>
      <c r="H88" s="196"/>
      <c r="I88" s="343">
        <f t="shared" si="12"/>
        <v>0.6044060269509296</v>
      </c>
      <c r="K88" s="293">
        <f t="shared" si="10"/>
        <v>0.26885900000000001</v>
      </c>
      <c r="M88" s="344">
        <f t="shared" si="11"/>
        <v>3.719421704313413</v>
      </c>
    </row>
    <row r="89" spans="1:13" x14ac:dyDescent="0.25">
      <c r="A89" s="196" t="str">
        <f t="shared" si="7"/>
        <v>HoCl₃∙6H₂O</v>
      </c>
      <c r="B89" s="262">
        <f t="shared" si="8"/>
        <v>195.26485000000002</v>
      </c>
      <c r="C89" s="196" t="s">
        <v>249</v>
      </c>
      <c r="D89" s="284">
        <f>B50*B89/Conversions!$D$12</f>
        <v>8.8202575263529188E-5</v>
      </c>
      <c r="E89" s="283" t="s">
        <v>42</v>
      </c>
      <c r="F89" s="310">
        <f t="shared" si="9"/>
        <v>4.9803192317621603E-5</v>
      </c>
      <c r="G89" s="196" t="s">
        <v>501</v>
      </c>
      <c r="H89" s="196"/>
      <c r="I89" s="343">
        <f t="shared" si="12"/>
        <v>0.45530903283412244</v>
      </c>
      <c r="K89" s="293">
        <f t="shared" si="10"/>
        <v>0.19526485000000002</v>
      </c>
      <c r="M89" s="344">
        <f t="shared" si="11"/>
        <v>5.1212494209787369</v>
      </c>
    </row>
    <row r="90" spans="1:13" x14ac:dyDescent="0.25">
      <c r="A90" s="196" t="str">
        <f t="shared" si="7"/>
        <v>ErCl₃∙6H₂O</v>
      </c>
      <c r="B90" s="262">
        <f t="shared" si="8"/>
        <v>273.61799999999999</v>
      </c>
      <c r="C90" s="196" t="s">
        <v>249</v>
      </c>
      <c r="D90" s="284">
        <f>B51*B90/Conversions!$D$12</f>
        <v>5.0071761666564708E-5</v>
      </c>
      <c r="E90" s="283" t="s">
        <v>42</v>
      </c>
      <c r="F90" s="310">
        <f t="shared" si="9"/>
        <v>2.8272797801099658E-5</v>
      </c>
      <c r="G90" s="196" t="s">
        <v>501</v>
      </c>
      <c r="H90" s="196"/>
      <c r="I90" s="343">
        <f t="shared" si="12"/>
        <v>0.6112865381663487</v>
      </c>
      <c r="K90" s="293">
        <f t="shared" si="10"/>
        <v>0.27361799999999997</v>
      </c>
      <c r="M90" s="344">
        <f t="shared" si="11"/>
        <v>3.6547303174498755</v>
      </c>
    </row>
    <row r="91" spans="1:13" x14ac:dyDescent="0.25">
      <c r="A91" s="196" t="str">
        <f t="shared" si="7"/>
        <v>TmCl₃∙6H₂O</v>
      </c>
      <c r="B91" s="262">
        <f t="shared" si="8"/>
        <v>279.399</v>
      </c>
      <c r="C91" s="196" t="s">
        <v>249</v>
      </c>
      <c r="D91" s="284">
        <f>B52*B91/Conversions!$D$12</f>
        <v>1.2761888376469443E-5</v>
      </c>
      <c r="E91" s="283" t="s">
        <v>42</v>
      </c>
      <c r="F91" s="310">
        <f t="shared" si="9"/>
        <v>7.2059435821499645E-6</v>
      </c>
      <c r="G91" s="196" t="s">
        <v>501</v>
      </c>
      <c r="H91" s="196"/>
      <c r="I91" s="343">
        <f t="shared" si="12"/>
        <v>0.61932934620381597</v>
      </c>
      <c r="K91" s="293">
        <f t="shared" si="10"/>
        <v>0.27939900000000001</v>
      </c>
      <c r="M91" s="344">
        <f t="shared" si="11"/>
        <v>3.5791108772758671</v>
      </c>
    </row>
    <row r="92" spans="1:13" x14ac:dyDescent="0.25">
      <c r="A92" s="196" t="str">
        <f t="shared" si="7"/>
        <v>YbCl₃∙6H₂O</v>
      </c>
      <c r="B92" s="262">
        <f t="shared" si="8"/>
        <v>271.28931999999998</v>
      </c>
      <c r="C92" s="196" t="s">
        <v>249</v>
      </c>
      <c r="D92" s="284">
        <f>B53*B92/Conversions!$D$12</f>
        <v>8.6155767587705492E-6</v>
      </c>
      <c r="E92" s="283" t="s">
        <v>42</v>
      </c>
      <c r="F92" s="310">
        <f t="shared" si="9"/>
        <v>4.8647471455598409E-6</v>
      </c>
      <c r="G92" s="196" t="s">
        <v>501</v>
      </c>
      <c r="H92" s="196"/>
      <c r="I92" s="343">
        <f t="shared" si="12"/>
        <v>0.60794991855927105</v>
      </c>
      <c r="K92" s="293">
        <f t="shared" si="10"/>
        <v>0.27128932</v>
      </c>
      <c r="M92" s="344">
        <f t="shared" si="11"/>
        <v>3.6861016128463886</v>
      </c>
    </row>
    <row r="93" spans="1:13" x14ac:dyDescent="0.25">
      <c r="A93" s="196" t="str">
        <f t="shared" si="7"/>
        <v>LuCl₃∙6H₂O</v>
      </c>
      <c r="B93" s="262">
        <f t="shared" si="8"/>
        <v>281.32600000000002</v>
      </c>
      <c r="C93" s="196" t="s">
        <v>249</v>
      </c>
      <c r="D93" s="284">
        <f>B54*B93/Conversions!$D$12</f>
        <v>1.4139393595190335E-6</v>
      </c>
      <c r="E93" s="283" t="s">
        <v>42</v>
      </c>
      <c r="F93" s="310">
        <f t="shared" si="9"/>
        <v>7.9837457848805589E-7</v>
      </c>
      <c r="G93" s="196" t="s">
        <v>501</v>
      </c>
      <c r="H93" s="196"/>
      <c r="I93" s="343">
        <f t="shared" si="12"/>
        <v>0.62193682773721592</v>
      </c>
      <c r="K93" s="293">
        <f t="shared" si="10"/>
        <v>0.28132600000000002</v>
      </c>
      <c r="M93" s="344">
        <f t="shared" si="11"/>
        <v>3.554595024988803</v>
      </c>
    </row>
    <row r="94" spans="1:13" x14ac:dyDescent="0.25">
      <c r="A94" s="196" t="str">
        <f t="shared" si="7"/>
        <v>YCl₃∙6H₂O</v>
      </c>
      <c r="B94" s="262">
        <f t="shared" si="8"/>
        <v>275.29321000000004</v>
      </c>
      <c r="C94" s="196" t="s">
        <v>249</v>
      </c>
      <c r="D94" s="284">
        <f>B55*B94/Conversions!$D$12</f>
        <v>1.3027439415723499E-3</v>
      </c>
      <c r="E94" s="283" t="s">
        <v>42</v>
      </c>
      <c r="F94" s="310">
        <f t="shared" si="9"/>
        <v>7.3558857968596808E-4</v>
      </c>
      <c r="G94" s="196" t="s">
        <v>501</v>
      </c>
      <c r="H94" s="196"/>
      <c r="I94" s="343">
        <f t="shared" si="12"/>
        <v>0.61365193133532059</v>
      </c>
      <c r="K94" s="293">
        <f t="shared" si="10"/>
        <v>0.27529321000000007</v>
      </c>
      <c r="M94" s="344">
        <f t="shared" si="11"/>
        <v>3.6324906088312159</v>
      </c>
    </row>
    <row r="95" spans="1:13" x14ac:dyDescent="0.25">
      <c r="A95" s="196"/>
      <c r="B95" s="196"/>
      <c r="C95" s="309" t="s">
        <v>492</v>
      </c>
      <c r="D95" s="307">
        <f>SUM(D80:D94)</f>
        <v>1.7710225220305995</v>
      </c>
      <c r="E95" s="283" t="s">
        <v>42</v>
      </c>
      <c r="F95" s="307">
        <f>SUM(F80:F94)</f>
        <v>1.0000000000000002</v>
      </c>
      <c r="G95" s="196"/>
      <c r="H95" s="196"/>
    </row>
    <row r="96" spans="1:13" x14ac:dyDescent="0.25">
      <c r="A96" s="196"/>
      <c r="B96" s="196"/>
      <c r="C96" s="309" t="s">
        <v>493</v>
      </c>
      <c r="D96" s="262">
        <f>SUM(D81:D94)</f>
        <v>0.75953344683195345</v>
      </c>
      <c r="E96" s="196" t="s">
        <v>42</v>
      </c>
      <c r="F96" s="231"/>
      <c r="G96" s="231"/>
    </row>
    <row r="97" spans="1:8" x14ac:dyDescent="0.25">
      <c r="A97" s="196"/>
      <c r="B97" s="196"/>
      <c r="C97" s="196"/>
      <c r="D97" s="196"/>
      <c r="E97" s="196"/>
      <c r="F97" s="231"/>
      <c r="G97" s="231"/>
    </row>
    <row r="98" spans="1:8" x14ac:dyDescent="0.25">
      <c r="A98" s="196"/>
      <c r="B98" s="196"/>
      <c r="C98" s="196"/>
      <c r="D98" s="196"/>
      <c r="E98" s="196"/>
      <c r="F98" s="262"/>
      <c r="G98" s="196"/>
      <c r="H98" s="196"/>
    </row>
    <row r="99" spans="1:8" x14ac:dyDescent="0.25">
      <c r="A99" s="196"/>
      <c r="B99" s="196"/>
      <c r="C99" s="196"/>
      <c r="D99" s="196"/>
      <c r="E99" s="196"/>
      <c r="F99" s="262"/>
      <c r="G99" s="196"/>
      <c r="H99" s="196"/>
    </row>
    <row r="100" spans="1:8" x14ac:dyDescent="0.25">
      <c r="A100" s="196"/>
      <c r="B100" s="196"/>
      <c r="C100" s="196"/>
      <c r="D100" s="196"/>
      <c r="E100" s="196"/>
      <c r="F100" s="262"/>
      <c r="G100" s="196"/>
      <c r="H100" s="196"/>
    </row>
    <row r="101" spans="1:8" x14ac:dyDescent="0.25">
      <c r="A101" s="196"/>
      <c r="B101" s="196"/>
      <c r="C101" s="196"/>
      <c r="D101" s="196"/>
      <c r="E101" s="196"/>
      <c r="F101" s="262"/>
      <c r="G101" s="196"/>
      <c r="H101" s="196"/>
    </row>
    <row r="102" spans="1:8" x14ac:dyDescent="0.25">
      <c r="F102" s="262"/>
    </row>
    <row r="103" spans="1:8" x14ac:dyDescent="0.25">
      <c r="F103" s="262"/>
    </row>
    <row r="104" spans="1:8" x14ac:dyDescent="0.25">
      <c r="F104" s="262"/>
    </row>
    <row r="105" spans="1:8" x14ac:dyDescent="0.25">
      <c r="F105" s="262"/>
    </row>
    <row r="106" spans="1:8" x14ac:dyDescent="0.25">
      <c r="F106" s="262"/>
    </row>
    <row r="107" spans="1:8" x14ac:dyDescent="0.25">
      <c r="F107" s="262"/>
    </row>
    <row r="108" spans="1:8" x14ac:dyDescent="0.25">
      <c r="F108" s="262"/>
    </row>
    <row r="109" spans="1:8" x14ac:dyDescent="0.25">
      <c r="F109" s="262"/>
    </row>
    <row r="110" spans="1:8" x14ac:dyDescent="0.25">
      <c r="F110" s="262"/>
    </row>
    <row r="111" spans="1:8" x14ac:dyDescent="0.25">
      <c r="F111" s="262"/>
    </row>
    <row r="112" spans="1:8" x14ac:dyDescent="0.25">
      <c r="F112" s="262"/>
    </row>
    <row r="113" spans="6:6" x14ac:dyDescent="0.25">
      <c r="F113" s="262"/>
    </row>
  </sheetData>
  <mergeCells count="5">
    <mergeCell ref="D40:E40"/>
    <mergeCell ref="B40:C40"/>
    <mergeCell ref="F40:G40"/>
    <mergeCell ref="D58:E58"/>
    <mergeCell ref="D79:E7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0"/>
  <sheetViews>
    <sheetView zoomScale="90" zoomScaleNormal="90" workbookViewId="0">
      <selection activeCell="D66" sqref="D66"/>
    </sheetView>
  </sheetViews>
  <sheetFormatPr defaultRowHeight="12.75" x14ac:dyDescent="0.2"/>
  <cols>
    <col min="1" max="1" width="36.7109375" style="196" customWidth="1"/>
    <col min="2" max="2" width="15.140625" style="196" customWidth="1"/>
    <col min="3" max="3" width="6.42578125" style="196" customWidth="1"/>
    <col min="4" max="4" width="13.42578125" style="196" customWidth="1"/>
    <col min="5" max="5" width="5.7109375" style="196" customWidth="1"/>
    <col min="6" max="6" width="11" style="196" customWidth="1"/>
    <col min="7" max="7" width="11.5703125" style="196" customWidth="1"/>
    <col min="8" max="8" width="11.28515625" style="209" bestFit="1" customWidth="1"/>
    <col min="9" max="9" width="16.42578125" style="196" bestFit="1" customWidth="1"/>
    <col min="10" max="10" width="13" style="196" bestFit="1" customWidth="1"/>
    <col min="11" max="11" width="9.140625" style="196"/>
    <col min="12" max="12" width="13" style="196" bestFit="1" customWidth="1"/>
    <col min="13" max="16384" width="9.140625" style="196"/>
  </cols>
  <sheetData>
    <row r="1" spans="1:32" x14ac:dyDescent="0.2">
      <c r="A1" s="197"/>
      <c r="B1" s="197"/>
      <c r="C1" s="197"/>
      <c r="D1" s="197"/>
      <c r="E1" s="197"/>
      <c r="F1" s="197"/>
      <c r="G1" s="197"/>
      <c r="H1" s="328" t="s">
        <v>19</v>
      </c>
      <c r="I1" s="327"/>
      <c r="J1" s="197"/>
      <c r="K1" s="197"/>
      <c r="L1" s="197"/>
    </row>
    <row r="2" spans="1:32" s="330" customFormat="1" x14ac:dyDescent="0.2">
      <c r="A2" s="211" t="s">
        <v>19</v>
      </c>
      <c r="B2" s="215" t="s">
        <v>228</v>
      </c>
      <c r="C2" s="217"/>
      <c r="D2" s="217"/>
      <c r="E2" s="217"/>
      <c r="F2" s="211"/>
      <c r="G2" s="211"/>
      <c r="H2" s="212"/>
      <c r="I2" s="329" t="s">
        <v>22</v>
      </c>
      <c r="J2" s="193"/>
      <c r="K2" s="193"/>
      <c r="L2" s="193"/>
      <c r="N2" s="211" t="s">
        <v>64</v>
      </c>
    </row>
    <row r="3" spans="1:32" x14ac:dyDescent="0.2">
      <c r="I3" s="207"/>
      <c r="N3" s="194"/>
      <c r="O3" s="207"/>
    </row>
    <row r="4" spans="1:32" ht="15.75" x14ac:dyDescent="0.25">
      <c r="A4" s="348" t="s">
        <v>519</v>
      </c>
      <c r="B4" s="218" t="s">
        <v>518</v>
      </c>
      <c r="C4" s="316"/>
      <c r="D4" s="218"/>
      <c r="E4" s="229"/>
      <c r="F4" s="229"/>
      <c r="G4" s="229"/>
      <c r="I4" s="207"/>
      <c r="N4" s="194"/>
      <c r="O4" s="207"/>
    </row>
    <row r="5" spans="1:32" x14ac:dyDescent="0.2">
      <c r="A5" s="229" t="s">
        <v>520</v>
      </c>
      <c r="B5" s="229">
        <v>200</v>
      </c>
      <c r="C5" s="317" t="s">
        <v>454</v>
      </c>
      <c r="D5" s="321">
        <v>0.2</v>
      </c>
      <c r="E5" s="229" t="s">
        <v>42</v>
      </c>
      <c r="F5" s="229"/>
      <c r="G5" s="207" t="s">
        <v>597</v>
      </c>
      <c r="N5" s="194" t="s">
        <v>405</v>
      </c>
      <c r="O5" s="207"/>
      <c r="Z5" s="207"/>
      <c r="AF5" s="229"/>
    </row>
    <row r="6" spans="1:32" x14ac:dyDescent="0.2">
      <c r="A6" s="229" t="s">
        <v>472</v>
      </c>
      <c r="B6" s="229">
        <v>150</v>
      </c>
      <c r="C6" s="317" t="s">
        <v>454</v>
      </c>
      <c r="D6" s="321">
        <v>0.15</v>
      </c>
      <c r="E6" s="229" t="s">
        <v>42</v>
      </c>
      <c r="F6" s="229"/>
      <c r="G6" s="229"/>
      <c r="I6" s="207"/>
      <c r="N6" s="194"/>
      <c r="O6" s="207"/>
      <c r="Z6" s="207"/>
      <c r="AC6" s="262"/>
      <c r="AF6" s="229"/>
    </row>
    <row r="7" spans="1:32" x14ac:dyDescent="0.2">
      <c r="A7" s="229"/>
      <c r="B7" s="229"/>
      <c r="C7" s="317"/>
      <c r="D7" s="319"/>
      <c r="E7" s="229"/>
      <c r="F7" s="229"/>
      <c r="G7" s="229"/>
      <c r="I7" s="207"/>
      <c r="N7" s="194"/>
      <c r="O7" s="207"/>
      <c r="Z7" s="207"/>
      <c r="AC7" s="262"/>
      <c r="AF7" s="229"/>
    </row>
    <row r="8" spans="1:32" x14ac:dyDescent="0.2">
      <c r="N8" s="194"/>
      <c r="O8" s="207"/>
      <c r="Z8" s="207"/>
      <c r="AF8" s="229"/>
    </row>
    <row r="9" spans="1:32" ht="15.75" x14ac:dyDescent="0.25">
      <c r="A9" s="347" t="s">
        <v>594</v>
      </c>
      <c r="N9" s="194"/>
      <c r="O9" s="207"/>
      <c r="Z9" s="207"/>
      <c r="AF9" s="229"/>
    </row>
    <row r="10" spans="1:32" ht="15.75" x14ac:dyDescent="0.3">
      <c r="A10" s="229" t="s">
        <v>521</v>
      </c>
      <c r="B10" s="229">
        <v>1</v>
      </c>
      <c r="C10" s="317" t="s">
        <v>330</v>
      </c>
      <c r="D10" s="321">
        <f>CONVERT(B10,"g","kg")</f>
        <v>1E-3</v>
      </c>
      <c r="E10" s="229" t="s">
        <v>42</v>
      </c>
      <c r="F10" s="229"/>
      <c r="G10" s="229" t="s">
        <v>593</v>
      </c>
      <c r="I10" s="207" t="s">
        <v>551</v>
      </c>
      <c r="N10" s="194" t="s">
        <v>593</v>
      </c>
      <c r="O10" s="207"/>
      <c r="Z10" s="207"/>
      <c r="AF10" s="229"/>
    </row>
    <row r="11" spans="1:32" x14ac:dyDescent="0.2">
      <c r="A11" s="229" t="s">
        <v>522</v>
      </c>
      <c r="B11" s="229"/>
      <c r="C11" s="317"/>
      <c r="D11" s="319"/>
      <c r="E11" s="229"/>
      <c r="F11" s="229"/>
      <c r="G11" s="229"/>
      <c r="I11" s="207"/>
      <c r="N11" s="194"/>
      <c r="O11" s="207"/>
      <c r="Z11" s="207"/>
      <c r="AF11" s="229"/>
    </row>
    <row r="12" spans="1:32" x14ac:dyDescent="0.2">
      <c r="A12" s="229"/>
      <c r="B12" s="229"/>
      <c r="C12" s="317"/>
      <c r="D12" s="319"/>
      <c r="E12" s="218"/>
      <c r="F12" s="229"/>
      <c r="G12" s="229"/>
      <c r="I12" s="207"/>
      <c r="N12" s="194"/>
      <c r="O12" s="245"/>
      <c r="P12" s="245"/>
      <c r="Q12" s="229"/>
      <c r="R12" s="229"/>
      <c r="S12" s="229"/>
      <c r="U12" s="229"/>
      <c r="Z12" s="207"/>
      <c r="AF12" s="229"/>
    </row>
    <row r="13" spans="1:32" x14ac:dyDescent="0.2">
      <c r="I13" s="207"/>
      <c r="N13" s="194"/>
      <c r="O13" s="245"/>
      <c r="P13" s="245"/>
      <c r="Q13" s="229"/>
      <c r="R13" s="229"/>
      <c r="S13" s="229"/>
      <c r="U13" s="229"/>
      <c r="Z13" s="207"/>
      <c r="AF13" s="229"/>
    </row>
    <row r="14" spans="1:32" x14ac:dyDescent="0.2">
      <c r="I14" s="207"/>
      <c r="N14" s="194"/>
      <c r="O14" s="207"/>
      <c r="Z14" s="207"/>
      <c r="AF14" s="229"/>
    </row>
    <row r="15" spans="1:32" x14ac:dyDescent="0.2">
      <c r="I15" s="207"/>
      <c r="N15" s="194"/>
      <c r="O15" s="207"/>
      <c r="Z15" s="207"/>
      <c r="AF15" s="229"/>
    </row>
    <row r="16" spans="1:32" x14ac:dyDescent="0.2">
      <c r="N16" s="194"/>
      <c r="O16" s="207"/>
      <c r="Z16" s="207"/>
      <c r="AA16" s="331"/>
      <c r="AF16" s="229"/>
    </row>
    <row r="17" spans="1:32" x14ac:dyDescent="0.2">
      <c r="N17" s="194"/>
      <c r="O17" s="207"/>
      <c r="Z17" s="207"/>
      <c r="AA17" s="331"/>
      <c r="AF17" s="229"/>
    </row>
    <row r="18" spans="1:32" ht="32.25" customHeight="1" x14ac:dyDescent="0.2">
      <c r="N18" s="194"/>
      <c r="W18" s="196" t="s">
        <v>541</v>
      </c>
      <c r="Z18" s="207"/>
      <c r="AA18" s="331"/>
      <c r="AF18" s="229"/>
    </row>
    <row r="19" spans="1:32" x14ac:dyDescent="0.2">
      <c r="N19" s="194"/>
      <c r="Z19" s="207"/>
      <c r="AA19" s="332"/>
      <c r="AF19" s="229"/>
    </row>
    <row r="20" spans="1:32" x14ac:dyDescent="0.2">
      <c r="N20" s="194"/>
      <c r="Z20" s="207"/>
    </row>
    <row r="21" spans="1:32" x14ac:dyDescent="0.2">
      <c r="N21" s="194"/>
      <c r="Z21" s="207"/>
    </row>
    <row r="22" spans="1:32" x14ac:dyDescent="0.2">
      <c r="N22" s="194"/>
      <c r="Z22" s="207"/>
      <c r="AD22" s="196" t="s">
        <v>593</v>
      </c>
    </row>
    <row r="23" spans="1:32" x14ac:dyDescent="0.2">
      <c r="N23" s="194"/>
      <c r="Z23" s="207"/>
      <c r="AA23" s="231"/>
    </row>
    <row r="24" spans="1:32" x14ac:dyDescent="0.2">
      <c r="N24" s="194"/>
      <c r="AC24" s="231"/>
      <c r="AD24" s="231" t="s">
        <v>598</v>
      </c>
      <c r="AE24" s="231"/>
    </row>
    <row r="25" spans="1:32" x14ac:dyDescent="0.2">
      <c r="N25" s="194"/>
      <c r="Z25" s="229"/>
      <c r="AA25" s="229"/>
      <c r="AB25" s="229"/>
      <c r="AC25" s="229"/>
      <c r="AD25" s="229"/>
      <c r="AE25" s="229"/>
    </row>
    <row r="26" spans="1:32" x14ac:dyDescent="0.2">
      <c r="N26" s="194"/>
    </row>
    <row r="27" spans="1:32" x14ac:dyDescent="0.2">
      <c r="I27" s="249"/>
      <c r="N27" s="249" t="s">
        <v>540</v>
      </c>
    </row>
    <row r="28" spans="1:32" ht="15.75" x14ac:dyDescent="0.25">
      <c r="A28" s="347" t="s">
        <v>595</v>
      </c>
      <c r="I28" s="249"/>
      <c r="N28" s="194"/>
    </row>
    <row r="29" spans="1:32" ht="15.75" x14ac:dyDescent="0.3">
      <c r="A29" s="316" t="s">
        <v>535</v>
      </c>
      <c r="B29" s="229">
        <v>5</v>
      </c>
      <c r="C29" s="317" t="s">
        <v>524</v>
      </c>
      <c r="D29" s="410">
        <f>B29/Conversions!D12</f>
        <v>5.0000000000000001E-3</v>
      </c>
      <c r="E29" s="317" t="s">
        <v>42</v>
      </c>
      <c r="F29" s="229"/>
      <c r="G29" s="229" t="s">
        <v>541</v>
      </c>
      <c r="I29" s="249"/>
      <c r="K29" s="218"/>
      <c r="M29" s="229"/>
      <c r="N29" s="249"/>
    </row>
    <row r="30" spans="1:32" x14ac:dyDescent="0.2">
      <c r="A30" s="218" t="s">
        <v>525</v>
      </c>
      <c r="B30" s="229">
        <v>1</v>
      </c>
      <c r="C30" s="317" t="s">
        <v>404</v>
      </c>
      <c r="D30" s="321">
        <v>1</v>
      </c>
      <c r="E30" s="317" t="s">
        <v>42</v>
      </c>
      <c r="F30" s="229"/>
      <c r="G30" s="229"/>
      <c r="I30" s="249"/>
      <c r="K30" s="229"/>
      <c r="L30" s="229"/>
      <c r="N30" s="249"/>
    </row>
    <row r="31" spans="1:32" x14ac:dyDescent="0.2">
      <c r="A31" s="218"/>
      <c r="B31" s="229"/>
      <c r="C31" s="317"/>
      <c r="D31" s="319">
        <f>D30+D29</f>
        <v>1.0049999999999999</v>
      </c>
      <c r="E31" s="317" t="s">
        <v>42</v>
      </c>
      <c r="F31" s="229"/>
      <c r="G31" s="229"/>
      <c r="I31" s="249"/>
      <c r="K31" s="229"/>
      <c r="L31" s="229"/>
      <c r="N31" s="249"/>
    </row>
    <row r="32" spans="1:32" ht="25.5" x14ac:dyDescent="0.2">
      <c r="A32" s="316" t="s">
        <v>536</v>
      </c>
      <c r="B32" s="229">
        <v>5</v>
      </c>
      <c r="C32" s="317" t="s">
        <v>524</v>
      </c>
      <c r="D32" s="369">
        <f>B32/Conversions!D12</f>
        <v>5.0000000000000001E-3</v>
      </c>
      <c r="E32" s="317" t="s">
        <v>42</v>
      </c>
      <c r="F32" s="229"/>
      <c r="G32" s="229"/>
      <c r="K32" s="229"/>
      <c r="L32" s="229"/>
      <c r="N32" s="249"/>
    </row>
    <row r="33" spans="1:21" x14ac:dyDescent="0.2">
      <c r="A33" s="218" t="s">
        <v>526</v>
      </c>
      <c r="B33" s="229">
        <v>1</v>
      </c>
      <c r="C33" s="317" t="s">
        <v>404</v>
      </c>
      <c r="D33" s="321">
        <v>1</v>
      </c>
      <c r="E33" s="317" t="s">
        <v>42</v>
      </c>
      <c r="F33" s="229"/>
      <c r="G33" s="229"/>
      <c r="J33" s="196" t="s">
        <v>694</v>
      </c>
      <c r="K33" s="196">
        <v>18.038509999999999</v>
      </c>
      <c r="N33" s="194"/>
    </row>
    <row r="34" spans="1:21" x14ac:dyDescent="0.2">
      <c r="A34" s="229"/>
      <c r="B34" s="229"/>
      <c r="C34" s="325"/>
      <c r="D34" s="368">
        <f>D33+D32</f>
        <v>1.0049999999999999</v>
      </c>
      <c r="E34" s="229" t="s">
        <v>42</v>
      </c>
      <c r="F34" s="229"/>
      <c r="G34" s="229"/>
      <c r="N34" s="194"/>
    </row>
    <row r="35" spans="1:21" x14ac:dyDescent="0.2">
      <c r="A35" s="229"/>
      <c r="B35" s="229"/>
      <c r="C35" s="216"/>
      <c r="D35" s="216"/>
      <c r="E35" s="229"/>
      <c r="F35" s="229"/>
      <c r="G35" s="229"/>
      <c r="H35" s="207"/>
      <c r="I35" s="194"/>
      <c r="N35" s="194"/>
    </row>
    <row r="36" spans="1:21" ht="25.5" x14ac:dyDescent="0.2">
      <c r="A36" s="322"/>
      <c r="B36" s="195"/>
      <c r="C36" s="195"/>
      <c r="D36" s="323" t="s">
        <v>527</v>
      </c>
      <c r="F36" s="304" t="s">
        <v>326</v>
      </c>
      <c r="G36" s="304" t="s">
        <v>463</v>
      </c>
      <c r="H36" s="229"/>
      <c r="I36" s="194"/>
      <c r="N36" s="194"/>
    </row>
    <row r="37" spans="1:21" ht="15.75" x14ac:dyDescent="0.3">
      <c r="A37" s="196" t="s">
        <v>533</v>
      </c>
      <c r="D37" s="196" t="s">
        <v>537</v>
      </c>
      <c r="F37" s="196">
        <v>292.24</v>
      </c>
      <c r="G37" s="324">
        <f>F37/Conversions!$D$12</f>
        <v>0.29224</v>
      </c>
      <c r="H37" s="229"/>
      <c r="I37" s="194" t="s">
        <v>544</v>
      </c>
      <c r="N37" s="194"/>
    </row>
    <row r="38" spans="1:21" ht="15.75" x14ac:dyDescent="0.3">
      <c r="A38" s="196" t="s">
        <v>529</v>
      </c>
      <c r="B38" s="196" t="s">
        <v>530</v>
      </c>
      <c r="D38" s="196" t="s">
        <v>538</v>
      </c>
      <c r="F38" s="196">
        <f>K33*4+F37</f>
        <v>364.39404000000002</v>
      </c>
      <c r="G38" s="324">
        <f>F38/Conversions!$D$12</f>
        <v>0.36439404000000003</v>
      </c>
      <c r="H38" s="229"/>
      <c r="I38" s="194"/>
      <c r="N38" s="194"/>
      <c r="Q38" s="229"/>
      <c r="R38" s="229"/>
      <c r="S38" s="229"/>
      <c r="T38" s="229"/>
    </row>
    <row r="39" spans="1:21" ht="15.75" x14ac:dyDescent="0.3">
      <c r="A39" s="318" t="s">
        <v>534</v>
      </c>
      <c r="D39" s="196" t="s">
        <v>539</v>
      </c>
      <c r="F39" s="196">
        <v>278.26</v>
      </c>
      <c r="G39" s="324">
        <f>F39/Conversions!$D$12</f>
        <v>0.27826000000000001</v>
      </c>
      <c r="H39" s="229"/>
      <c r="I39" s="194"/>
      <c r="N39" s="194"/>
    </row>
    <row r="40" spans="1:21" x14ac:dyDescent="0.2">
      <c r="A40" s="196" t="s">
        <v>532</v>
      </c>
      <c r="D40" s="317" t="s">
        <v>473</v>
      </c>
      <c r="F40" s="202">
        <v>36.460940000000001</v>
      </c>
      <c r="G40" s="324">
        <f>F40/Conversions!$D$12</f>
        <v>3.6460940000000004E-2</v>
      </c>
      <c r="H40" s="229"/>
      <c r="I40" s="194"/>
      <c r="N40" s="194"/>
    </row>
    <row r="41" spans="1:21" x14ac:dyDescent="0.2">
      <c r="N41" s="194"/>
    </row>
    <row r="42" spans="1:21" x14ac:dyDescent="0.2">
      <c r="A42" s="196" t="s">
        <v>682</v>
      </c>
      <c r="B42" s="404">
        <v>0.85</v>
      </c>
      <c r="G42" s="196" t="s">
        <v>234</v>
      </c>
      <c r="I42" s="194"/>
      <c r="N42" s="194"/>
    </row>
    <row r="43" spans="1:21" x14ac:dyDescent="0.2">
      <c r="A43" s="196" t="s">
        <v>683</v>
      </c>
      <c r="B43" s="404">
        <v>1</v>
      </c>
      <c r="G43" s="196" t="s">
        <v>234</v>
      </c>
      <c r="I43" s="194"/>
      <c r="N43" s="194"/>
    </row>
    <row r="44" spans="1:21" x14ac:dyDescent="0.2">
      <c r="I44" s="194"/>
      <c r="N44" s="194"/>
      <c r="Q44" s="229"/>
      <c r="R44" s="229"/>
      <c r="S44" s="229"/>
      <c r="T44" s="229"/>
      <c r="U44" s="229"/>
    </row>
    <row r="45" spans="1:21" x14ac:dyDescent="0.2">
      <c r="I45" s="194"/>
      <c r="N45" s="194"/>
      <c r="Q45" s="229"/>
      <c r="R45" s="229"/>
      <c r="S45" s="229"/>
      <c r="T45" s="229"/>
      <c r="U45" s="229"/>
    </row>
    <row r="46" spans="1:21" x14ac:dyDescent="0.2">
      <c r="I46" s="194"/>
      <c r="N46" s="194"/>
      <c r="Q46" s="229"/>
      <c r="R46" s="229"/>
      <c r="S46" s="229"/>
      <c r="T46" s="229"/>
      <c r="U46" s="229"/>
    </row>
    <row r="47" spans="1:21" x14ac:dyDescent="0.2">
      <c r="I47" s="194"/>
      <c r="N47" s="194" t="s">
        <v>541</v>
      </c>
      <c r="O47" s="229"/>
      <c r="P47" s="229"/>
      <c r="Q47" s="229"/>
      <c r="R47" s="229"/>
      <c r="S47" s="229"/>
      <c r="T47" s="229"/>
      <c r="U47" s="229"/>
    </row>
    <row r="48" spans="1:21" ht="15.75" x14ac:dyDescent="0.25">
      <c r="A48" s="347" t="s">
        <v>596</v>
      </c>
      <c r="I48" s="194"/>
      <c r="N48" s="194"/>
      <c r="Q48" s="229"/>
      <c r="R48" s="229"/>
      <c r="S48" s="229"/>
      <c r="T48" s="229"/>
      <c r="U48" s="229"/>
    </row>
    <row r="49" spans="1:23" x14ac:dyDescent="0.2">
      <c r="I49" s="194"/>
      <c r="N49" s="194"/>
      <c r="Q49" s="229"/>
      <c r="R49" s="229"/>
      <c r="S49" s="229"/>
      <c r="T49" s="229"/>
      <c r="U49" s="229"/>
    </row>
    <row r="50" spans="1:23" x14ac:dyDescent="0.2">
      <c r="A50" s="196" t="s">
        <v>542</v>
      </c>
      <c r="B50" s="196" t="s">
        <v>543</v>
      </c>
      <c r="D50" s="231">
        <f>2.5*D34</f>
        <v>2.5124999999999997</v>
      </c>
      <c r="E50" s="196" t="s">
        <v>42</v>
      </c>
      <c r="G50" s="207" t="s">
        <v>541</v>
      </c>
      <c r="I50" s="194"/>
      <c r="N50" s="194"/>
      <c r="Q50" s="229"/>
      <c r="R50" s="229"/>
      <c r="S50" s="229"/>
      <c r="T50" s="229"/>
      <c r="U50" s="229"/>
    </row>
    <row r="51" spans="1:23" ht="15.75" x14ac:dyDescent="0.3">
      <c r="A51" s="196" t="s">
        <v>545</v>
      </c>
      <c r="B51" s="196" t="s">
        <v>546</v>
      </c>
      <c r="D51" s="326">
        <f>2/3</f>
        <v>0.66666666666666663</v>
      </c>
      <c r="E51" s="196" t="s">
        <v>42</v>
      </c>
      <c r="G51" s="196" t="s">
        <v>405</v>
      </c>
      <c r="I51" s="194"/>
      <c r="N51" s="194"/>
      <c r="Q51" s="229"/>
      <c r="R51" s="229"/>
      <c r="S51" s="229"/>
      <c r="T51" s="229"/>
      <c r="U51" s="229"/>
    </row>
    <row r="52" spans="1:23" x14ac:dyDescent="0.2">
      <c r="H52" s="196"/>
      <c r="I52" s="194"/>
      <c r="N52" s="194"/>
      <c r="Q52" s="229"/>
      <c r="R52" s="229"/>
      <c r="S52" s="229"/>
      <c r="T52" s="229"/>
      <c r="U52" s="229"/>
    </row>
    <row r="53" spans="1:23" x14ac:dyDescent="0.2">
      <c r="A53" s="229"/>
      <c r="B53" s="229"/>
      <c r="C53" s="229"/>
      <c r="D53" s="229"/>
      <c r="E53" s="229"/>
      <c r="F53" s="229"/>
      <c r="G53" s="229"/>
      <c r="H53" s="229"/>
      <c r="I53" s="249"/>
      <c r="J53" s="229"/>
      <c r="K53" s="229"/>
      <c r="L53" s="229"/>
      <c r="M53" s="320"/>
      <c r="N53" s="249"/>
      <c r="O53" s="229"/>
      <c r="P53" s="229"/>
      <c r="Q53" s="229"/>
      <c r="R53" s="229"/>
      <c r="S53" s="229"/>
      <c r="T53" s="229"/>
      <c r="U53" s="229"/>
    </row>
    <row r="54" spans="1:23" x14ac:dyDescent="0.2">
      <c r="A54" s="229" t="s">
        <v>628</v>
      </c>
      <c r="B54" s="229">
        <v>8.3000000000000007</v>
      </c>
      <c r="C54" s="229"/>
      <c r="D54" s="229"/>
      <c r="E54" s="229"/>
      <c r="F54" s="229"/>
      <c r="G54" s="229" t="s">
        <v>405</v>
      </c>
      <c r="H54" s="229"/>
      <c r="I54" s="249"/>
      <c r="J54" s="229"/>
      <c r="K54" s="229"/>
      <c r="L54" s="229"/>
      <c r="M54" s="320"/>
      <c r="N54" s="249"/>
      <c r="O54" s="229"/>
      <c r="P54" s="229"/>
      <c r="Q54" s="229"/>
      <c r="R54" s="229"/>
      <c r="S54" s="229"/>
      <c r="T54" s="229"/>
      <c r="U54" s="229"/>
    </row>
    <row r="55" spans="1:23" x14ac:dyDescent="0.2">
      <c r="A55" s="229" t="s">
        <v>630</v>
      </c>
      <c r="B55" s="229"/>
      <c r="C55" s="229"/>
      <c r="D55" s="229"/>
      <c r="E55" s="229"/>
      <c r="F55" s="229"/>
      <c r="G55" s="229"/>
      <c r="H55" s="229"/>
      <c r="I55" s="249"/>
      <c r="J55" s="229"/>
      <c r="K55" s="229"/>
      <c r="L55" s="229"/>
      <c r="M55" s="320"/>
      <c r="N55" s="249"/>
      <c r="O55" s="229"/>
      <c r="P55" s="229"/>
      <c r="Q55" s="229"/>
      <c r="R55" s="229"/>
      <c r="S55" s="229"/>
      <c r="T55" s="229"/>
      <c r="U55" s="229"/>
    </row>
    <row r="56" spans="1:23" x14ac:dyDescent="0.2">
      <c r="A56" s="229"/>
      <c r="B56" s="229"/>
      <c r="C56" s="229"/>
      <c r="D56" s="229"/>
      <c r="E56" s="229"/>
      <c r="F56" s="229"/>
      <c r="G56" s="229"/>
      <c r="H56" s="229"/>
      <c r="I56" s="357"/>
      <c r="J56" s="229"/>
      <c r="K56" s="229"/>
      <c r="L56" s="229"/>
      <c r="M56" s="320"/>
      <c r="N56" s="249"/>
      <c r="O56" s="229"/>
      <c r="P56" s="229"/>
      <c r="Q56" s="229"/>
      <c r="R56" s="229"/>
      <c r="S56" s="229"/>
      <c r="T56" s="229"/>
      <c r="U56" s="229"/>
    </row>
    <row r="57" spans="1:23" x14ac:dyDescent="0.2">
      <c r="A57" s="229" t="s">
        <v>631</v>
      </c>
      <c r="B57" s="229">
        <v>8.3000000000000007</v>
      </c>
      <c r="C57" s="229"/>
      <c r="D57" s="196" t="s">
        <v>637</v>
      </c>
      <c r="F57" s="262">
        <v>5.0000000000000001E-9</v>
      </c>
      <c r="G57" s="196" t="s">
        <v>638</v>
      </c>
      <c r="H57" s="229"/>
      <c r="I57" s="357"/>
      <c r="J57" s="229"/>
      <c r="K57" s="229"/>
      <c r="L57" s="229"/>
      <c r="M57" s="320"/>
      <c r="N57" s="249"/>
      <c r="O57" s="229"/>
      <c r="P57" s="229"/>
      <c r="Q57" s="229"/>
      <c r="R57" s="229"/>
      <c r="S57" s="229"/>
      <c r="T57" s="229"/>
      <c r="U57" s="229"/>
    </row>
    <row r="58" spans="1:23" x14ac:dyDescent="0.2">
      <c r="A58" s="229" t="s">
        <v>632</v>
      </c>
      <c r="B58" s="263">
        <v>1</v>
      </c>
      <c r="C58" s="229"/>
      <c r="F58" s="262">
        <v>0.1</v>
      </c>
      <c r="G58" s="196" t="s">
        <v>639</v>
      </c>
      <c r="H58" s="229"/>
      <c r="I58" s="357"/>
      <c r="J58" s="229"/>
      <c r="K58" s="229"/>
      <c r="L58" s="229"/>
      <c r="M58" s="320"/>
      <c r="N58" s="194"/>
      <c r="O58" s="207"/>
    </row>
    <row r="59" spans="1:23" x14ac:dyDescent="0.2">
      <c r="A59" s="229" t="s">
        <v>633</v>
      </c>
      <c r="B59" s="229"/>
      <c r="C59" s="229"/>
      <c r="H59" s="229"/>
      <c r="I59" s="357"/>
      <c r="J59" s="229"/>
      <c r="K59" s="229"/>
      <c r="L59" s="229"/>
      <c r="M59" s="320"/>
      <c r="N59" s="249"/>
      <c r="O59" s="207"/>
    </row>
    <row r="60" spans="1:23" x14ac:dyDescent="0.2">
      <c r="A60" s="229" t="s">
        <v>634</v>
      </c>
      <c r="B60" s="229">
        <v>6</v>
      </c>
      <c r="C60" s="229" t="s">
        <v>636</v>
      </c>
      <c r="D60" s="229"/>
      <c r="E60" s="229"/>
      <c r="F60" s="229"/>
      <c r="G60" s="229"/>
      <c r="H60" s="229"/>
      <c r="I60" s="357"/>
      <c r="J60" s="229"/>
      <c r="K60" s="229"/>
      <c r="L60" s="229"/>
      <c r="M60" s="229"/>
      <c r="N60" s="249"/>
      <c r="O60" s="207"/>
    </row>
    <row r="61" spans="1:23" x14ac:dyDescent="0.2">
      <c r="A61" s="229"/>
      <c r="B61" s="229"/>
      <c r="C61" s="229"/>
      <c r="D61" s="229"/>
      <c r="E61" s="229"/>
      <c r="F61" s="229"/>
      <c r="G61" s="229"/>
      <c r="H61" s="229"/>
      <c r="I61" s="358"/>
      <c r="J61" s="229"/>
      <c r="K61" s="229"/>
      <c r="L61" s="229"/>
      <c r="M61" s="229"/>
      <c r="N61" s="194"/>
      <c r="O61" s="207"/>
    </row>
    <row r="62" spans="1:23" x14ac:dyDescent="0.2">
      <c r="A62" s="196" t="s">
        <v>648</v>
      </c>
      <c r="B62" s="231">
        <v>1</v>
      </c>
      <c r="C62" s="231" t="s">
        <v>404</v>
      </c>
      <c r="D62" s="302">
        <v>1</v>
      </c>
      <c r="E62" s="231" t="s">
        <v>42</v>
      </c>
      <c r="H62" s="229"/>
      <c r="I62" s="249"/>
      <c r="J62" s="229"/>
      <c r="K62" s="229"/>
      <c r="L62" s="229"/>
      <c r="M62" s="229"/>
      <c r="N62" s="249"/>
      <c r="O62" s="207"/>
      <c r="W62" s="249" t="s">
        <v>405</v>
      </c>
    </row>
    <row r="63" spans="1:23" x14ac:dyDescent="0.2">
      <c r="A63" s="196" t="s">
        <v>520</v>
      </c>
      <c r="B63" s="367">
        <f>D69</f>
        <v>1.668E-2</v>
      </c>
      <c r="C63" s="231" t="s">
        <v>252</v>
      </c>
      <c r="D63" s="356">
        <f>I76</f>
        <v>6.0816847920000007E-4</v>
      </c>
      <c r="E63" s="196" t="s">
        <v>42</v>
      </c>
      <c r="H63" s="229"/>
      <c r="I63" s="249"/>
      <c r="J63" s="229"/>
      <c r="K63" s="229"/>
      <c r="L63" s="229"/>
      <c r="M63" s="229"/>
      <c r="N63" s="249"/>
      <c r="O63" s="207"/>
    </row>
    <row r="64" spans="1:23" x14ac:dyDescent="0.2">
      <c r="H64" s="229"/>
      <c r="I64" s="249"/>
      <c r="J64" s="229"/>
      <c r="K64" s="229"/>
      <c r="L64" s="229"/>
      <c r="M64" s="229"/>
      <c r="N64" s="249"/>
      <c r="O64" s="207"/>
    </row>
    <row r="65" spans="1:15" x14ac:dyDescent="0.2">
      <c r="H65" s="229"/>
      <c r="I65" s="249"/>
      <c r="J65" s="229"/>
      <c r="K65" s="229"/>
      <c r="L65" s="354"/>
      <c r="M65" s="229"/>
      <c r="N65" s="249"/>
      <c r="O65" s="207"/>
    </row>
    <row r="66" spans="1:15" x14ac:dyDescent="0.2">
      <c r="D66" s="196" t="s">
        <v>808</v>
      </c>
      <c r="H66" s="229"/>
      <c r="I66" s="249"/>
      <c r="J66" s="229"/>
      <c r="K66" s="229"/>
      <c r="L66" s="229"/>
      <c r="M66" s="229"/>
      <c r="N66" s="249"/>
      <c r="O66" s="207"/>
    </row>
    <row r="67" spans="1:15" x14ac:dyDescent="0.2">
      <c r="A67" s="229"/>
      <c r="B67" s="229"/>
      <c r="D67" s="355">
        <v>2.78</v>
      </c>
      <c r="E67" s="229" t="s">
        <v>406</v>
      </c>
      <c r="F67" s="229" t="s">
        <v>635</v>
      </c>
      <c r="G67" s="229" t="s">
        <v>473</v>
      </c>
      <c r="H67" s="229"/>
      <c r="I67" s="412"/>
      <c r="J67" s="229"/>
      <c r="K67" s="229"/>
      <c r="L67" s="229"/>
      <c r="M67" s="229"/>
      <c r="N67" s="249"/>
      <c r="O67" s="207"/>
    </row>
    <row r="68" spans="1:15" x14ac:dyDescent="0.2">
      <c r="A68" s="229"/>
      <c r="B68" s="229"/>
      <c r="D68" s="353">
        <f>CONVERT(D67,"ml","l")</f>
        <v>2.7799999999999999E-3</v>
      </c>
      <c r="E68" s="229" t="s">
        <v>404</v>
      </c>
      <c r="F68" s="229">
        <v>6</v>
      </c>
      <c r="G68" s="229" t="s">
        <v>636</v>
      </c>
      <c r="H68" s="229"/>
      <c r="I68" s="412"/>
      <c r="J68" s="229"/>
      <c r="K68" s="229"/>
      <c r="L68" s="229"/>
      <c r="M68" s="229"/>
      <c r="N68" s="249"/>
      <c r="O68" s="207"/>
    </row>
    <row r="69" spans="1:15" x14ac:dyDescent="0.2">
      <c r="A69" s="229"/>
      <c r="B69" s="229"/>
      <c r="D69" s="229">
        <f>D68*F68</f>
        <v>1.668E-2</v>
      </c>
      <c r="E69" s="229" t="s">
        <v>252</v>
      </c>
      <c r="F69" s="229" t="s">
        <v>473</v>
      </c>
      <c r="G69" s="229"/>
      <c r="H69" s="229"/>
      <c r="I69" s="249"/>
      <c r="J69" s="229"/>
      <c r="K69" s="229"/>
      <c r="L69" s="229"/>
      <c r="M69" s="229"/>
      <c r="N69" s="249"/>
      <c r="O69" s="207"/>
    </row>
    <row r="70" spans="1:15" x14ac:dyDescent="0.2">
      <c r="A70" s="229"/>
      <c r="B70" s="229" t="s">
        <v>644</v>
      </c>
      <c r="D70" s="364">
        <f>D69*B60</f>
        <v>0.10008</v>
      </c>
      <c r="E70" s="229" t="s">
        <v>640</v>
      </c>
      <c r="F70" s="229"/>
      <c r="G70" s="229"/>
      <c r="H70" s="229"/>
      <c r="I70" s="249"/>
      <c r="J70" s="351"/>
      <c r="K70" s="229"/>
      <c r="L70" s="354"/>
      <c r="M70" s="229"/>
      <c r="N70" s="249"/>
      <c r="O70" s="207"/>
    </row>
    <row r="71" spans="1:15" x14ac:dyDescent="0.2">
      <c r="A71" s="229"/>
      <c r="B71" s="229"/>
      <c r="D71" s="229"/>
      <c r="E71" s="229"/>
      <c r="F71" s="229"/>
      <c r="G71" s="229"/>
      <c r="H71" s="229"/>
      <c r="I71" s="249"/>
      <c r="J71" s="229"/>
      <c r="K71" s="229"/>
      <c r="L71" s="229"/>
      <c r="M71" s="229"/>
      <c r="N71" s="194"/>
      <c r="O71" s="207"/>
    </row>
    <row r="72" spans="1:15" x14ac:dyDescent="0.2">
      <c r="A72" s="207"/>
      <c r="B72" s="207"/>
      <c r="C72" s="207"/>
      <c r="D72" s="352"/>
      <c r="E72" s="207"/>
      <c r="F72" s="207"/>
      <c r="G72" s="207"/>
      <c r="H72" s="207"/>
      <c r="I72" s="194"/>
      <c r="J72" s="207"/>
      <c r="N72" s="194"/>
      <c r="O72" s="207"/>
    </row>
    <row r="73" spans="1:15" x14ac:dyDescent="0.2">
      <c r="A73" s="207"/>
      <c r="B73" s="207"/>
      <c r="C73" s="207"/>
      <c r="D73" s="207"/>
      <c r="E73" s="207"/>
      <c r="F73" s="207"/>
      <c r="G73" s="207"/>
      <c r="H73" s="207"/>
      <c r="I73" s="249">
        <f>D69</f>
        <v>1.668E-2</v>
      </c>
      <c r="J73" s="207" t="s">
        <v>252</v>
      </c>
      <c r="K73" s="196" t="s">
        <v>473</v>
      </c>
      <c r="N73" s="194"/>
      <c r="O73" s="207"/>
    </row>
    <row r="74" spans="1:15" x14ac:dyDescent="0.2">
      <c r="A74" s="207"/>
      <c r="B74" s="365" t="s">
        <v>640</v>
      </c>
      <c r="C74" s="365"/>
      <c r="D74" s="365" t="s">
        <v>651</v>
      </c>
      <c r="E74" s="207"/>
      <c r="F74" s="207"/>
      <c r="G74" s="207"/>
      <c r="H74" s="361" t="s">
        <v>653</v>
      </c>
      <c r="I74" s="359">
        <v>36.460940000000001</v>
      </c>
      <c r="J74" s="196" t="s">
        <v>249</v>
      </c>
    </row>
    <row r="75" spans="1:15" x14ac:dyDescent="0.2">
      <c r="A75" s="229" t="s">
        <v>642</v>
      </c>
      <c r="B75" s="351">
        <f>G78</f>
        <v>0.100080105</v>
      </c>
      <c r="C75" s="229" t="s">
        <v>646</v>
      </c>
      <c r="D75" s="353">
        <f>F79</f>
        <v>1.00278</v>
      </c>
      <c r="E75" s="229"/>
      <c r="F75" s="366">
        <f>B75/D75</f>
        <v>9.9802653622928256E-2</v>
      </c>
      <c r="G75" s="351" t="s">
        <v>641</v>
      </c>
      <c r="H75" s="362">
        <f>-(LOG(F75))</f>
        <v>1.0008579112329341</v>
      </c>
      <c r="I75" s="194">
        <f>I73*I74</f>
        <v>0.60816847920000006</v>
      </c>
      <c r="J75" s="207" t="s">
        <v>649</v>
      </c>
    </row>
    <row r="76" spans="1:15" x14ac:dyDescent="0.2">
      <c r="A76" s="229" t="s">
        <v>643</v>
      </c>
      <c r="B76" s="351">
        <v>9.9999999999999995E-8</v>
      </c>
      <c r="C76" s="229"/>
      <c r="D76" s="229"/>
      <c r="E76" s="229"/>
      <c r="G76" s="229"/>
      <c r="H76" s="207"/>
      <c r="I76" s="411">
        <f>I75/Conversions!D12</f>
        <v>6.0816847920000007E-4</v>
      </c>
      <c r="J76" s="207" t="s">
        <v>42</v>
      </c>
    </row>
    <row r="77" spans="1:15" x14ac:dyDescent="0.2">
      <c r="A77" s="229" t="s">
        <v>644</v>
      </c>
      <c r="B77" s="364">
        <f>D70</f>
        <v>0.10008</v>
      </c>
      <c r="C77" s="229"/>
      <c r="D77" s="229"/>
      <c r="E77" s="229"/>
      <c r="F77" s="229"/>
      <c r="G77" s="229"/>
      <c r="H77" s="207"/>
      <c r="I77" s="194"/>
      <c r="J77" s="207"/>
    </row>
    <row r="78" spans="1:15" ht="25.5" x14ac:dyDescent="0.2">
      <c r="A78" s="325" t="s">
        <v>652</v>
      </c>
      <c r="B78" s="229">
        <f>D70</f>
        <v>0.10008</v>
      </c>
      <c r="C78" s="229" t="s">
        <v>647</v>
      </c>
      <c r="D78" s="262">
        <f>B76</f>
        <v>9.9999999999999995E-8</v>
      </c>
      <c r="E78" s="229" t="s">
        <v>647</v>
      </c>
      <c r="F78" s="262">
        <f>F57</f>
        <v>5.0000000000000001E-9</v>
      </c>
      <c r="G78" s="360">
        <f>B78+D78+F78</f>
        <v>0.100080105</v>
      </c>
      <c r="H78" s="207"/>
      <c r="I78" s="194"/>
      <c r="J78" s="207"/>
    </row>
    <row r="79" spans="1:15" x14ac:dyDescent="0.2">
      <c r="A79" s="229" t="s">
        <v>645</v>
      </c>
      <c r="B79" s="353">
        <f>D68</f>
        <v>2.7799999999999999E-3</v>
      </c>
      <c r="C79" s="229" t="s">
        <v>647</v>
      </c>
      <c r="D79" s="229">
        <v>1</v>
      </c>
      <c r="E79" s="229" t="s">
        <v>404</v>
      </c>
      <c r="F79" s="363">
        <f>B79+D79</f>
        <v>1.00278</v>
      </c>
      <c r="G79" s="229"/>
      <c r="H79" s="207"/>
      <c r="I79" s="194"/>
      <c r="J79" s="207"/>
    </row>
    <row r="80" spans="1:15" x14ac:dyDescent="0.2">
      <c r="A80" s="207"/>
      <c r="B80" s="207"/>
      <c r="C80" s="207"/>
      <c r="D80" s="207"/>
      <c r="E80" s="207"/>
      <c r="F80" s="207"/>
      <c r="G80" s="207"/>
      <c r="H80" s="207"/>
      <c r="I80" s="194"/>
      <c r="J80" s="207"/>
    </row>
    <row r="81" spans="1:10" x14ac:dyDescent="0.2">
      <c r="A81" s="207"/>
      <c r="B81" s="207"/>
      <c r="C81" s="207"/>
      <c r="D81" s="207"/>
      <c r="E81" s="207"/>
      <c r="F81" s="207"/>
      <c r="G81" s="207"/>
      <c r="H81" s="207"/>
      <c r="I81" s="194"/>
      <c r="J81" s="207"/>
    </row>
    <row r="82" spans="1:10" x14ac:dyDescent="0.2">
      <c r="A82" s="207"/>
      <c r="B82" s="207"/>
      <c r="C82" s="207"/>
      <c r="D82" s="207"/>
      <c r="E82" s="207"/>
      <c r="F82" s="207"/>
      <c r="G82" s="207"/>
      <c r="H82" s="207"/>
      <c r="I82" s="194"/>
      <c r="J82" s="207"/>
    </row>
    <row r="83" spans="1:10" x14ac:dyDescent="0.2">
      <c r="A83" s="207"/>
      <c r="B83" s="207"/>
      <c r="C83" s="207"/>
      <c r="D83" s="207"/>
      <c r="E83" s="207"/>
      <c r="F83" s="207"/>
      <c r="G83" s="207"/>
      <c r="H83" s="207"/>
      <c r="I83" s="194"/>
      <c r="J83" s="207"/>
    </row>
    <row r="84" spans="1:10" x14ac:dyDescent="0.2">
      <c r="A84" s="207"/>
      <c r="B84" s="207"/>
      <c r="C84" s="207"/>
      <c r="D84" s="207"/>
      <c r="E84" s="207"/>
      <c r="F84" s="207"/>
      <c r="G84" s="207"/>
      <c r="H84" s="207"/>
      <c r="I84" s="194"/>
      <c r="J84" s="207"/>
    </row>
    <row r="85" spans="1:10" x14ac:dyDescent="0.2">
      <c r="A85" s="207"/>
      <c r="B85" s="207"/>
      <c r="C85" s="207"/>
      <c r="D85" s="207"/>
      <c r="E85" s="207"/>
      <c r="F85" s="207"/>
      <c r="G85" s="207"/>
      <c r="H85" s="207"/>
      <c r="I85" s="194"/>
      <c r="J85" s="207"/>
    </row>
    <row r="86" spans="1:10" x14ac:dyDescent="0.2">
      <c r="A86" s="207"/>
      <c r="B86" s="207"/>
      <c r="C86" s="207"/>
      <c r="D86" s="207"/>
      <c r="E86" s="207"/>
      <c r="F86" s="207" t="s">
        <v>593</v>
      </c>
      <c r="G86" s="207"/>
      <c r="H86" s="207"/>
      <c r="I86" s="194"/>
      <c r="J86" s="207"/>
    </row>
    <row r="87" spans="1:10" x14ac:dyDescent="0.2">
      <c r="H87" s="207"/>
      <c r="I87" s="194"/>
    </row>
    <row r="88" spans="1:10" x14ac:dyDescent="0.2">
      <c r="H88" s="207"/>
      <c r="I88" s="194"/>
    </row>
    <row r="89" spans="1:10" x14ac:dyDescent="0.2">
      <c r="H89" s="207"/>
      <c r="I89" s="194"/>
    </row>
    <row r="90" spans="1:10" x14ac:dyDescent="0.2">
      <c r="H90" s="207"/>
      <c r="I90" s="194"/>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63"/>
  <sheetViews>
    <sheetView zoomScale="70" zoomScaleNormal="70" workbookViewId="0">
      <selection activeCell="C33" sqref="C33"/>
    </sheetView>
  </sheetViews>
  <sheetFormatPr defaultRowHeight="12.75" x14ac:dyDescent="0.2"/>
  <cols>
    <col min="1" max="1" width="23.42578125" style="196" customWidth="1"/>
    <col min="2" max="2" width="14.28515625" style="196" customWidth="1"/>
    <col min="3" max="3" width="13.7109375" style="196" customWidth="1"/>
    <col min="4" max="4" width="13.5703125" style="196" customWidth="1"/>
    <col min="5" max="5" width="14.28515625" style="196" customWidth="1"/>
    <col min="6" max="6" width="13.5703125" style="196" customWidth="1"/>
    <col min="7" max="7" width="11.42578125" style="196" customWidth="1"/>
    <col min="8" max="8" width="11.7109375" style="196" customWidth="1"/>
    <col min="9" max="9" width="11.28515625" style="196" customWidth="1"/>
    <col min="10" max="10" width="17.5703125" style="194" customWidth="1"/>
    <col min="11" max="257" width="9.140625" style="196"/>
    <col min="258" max="258" width="25.85546875" style="196" customWidth="1"/>
    <col min="259" max="260" width="11" style="196" customWidth="1"/>
    <col min="261" max="261" width="22.85546875" style="196" customWidth="1"/>
    <col min="262" max="263" width="11" style="196" customWidth="1"/>
    <col min="264" max="265" width="9.140625" style="196" customWidth="1"/>
    <col min="266" max="266" width="19" style="196" customWidth="1"/>
    <col min="267" max="513" width="9.140625" style="196"/>
    <col min="514" max="514" width="25.85546875" style="196" customWidth="1"/>
    <col min="515" max="516" width="11" style="196" customWidth="1"/>
    <col min="517" max="517" width="22.85546875" style="196" customWidth="1"/>
    <col min="518" max="519" width="11" style="196" customWidth="1"/>
    <col min="520" max="521" width="9.140625" style="196" customWidth="1"/>
    <col min="522" max="522" width="19" style="196" customWidth="1"/>
    <col min="523" max="769" width="9.140625" style="196"/>
    <col min="770" max="770" width="25.85546875" style="196" customWidth="1"/>
    <col min="771" max="772" width="11" style="196" customWidth="1"/>
    <col min="773" max="773" width="22.85546875" style="196" customWidth="1"/>
    <col min="774" max="775" width="11" style="196" customWidth="1"/>
    <col min="776" max="777" width="9.140625" style="196" customWidth="1"/>
    <col min="778" max="778" width="19" style="196" customWidth="1"/>
    <col min="779" max="1025" width="9.140625" style="196"/>
    <col min="1026" max="1026" width="25.85546875" style="196" customWidth="1"/>
    <col min="1027" max="1028" width="11" style="196" customWidth="1"/>
    <col min="1029" max="1029" width="22.85546875" style="196" customWidth="1"/>
    <col min="1030" max="1031" width="11" style="196" customWidth="1"/>
    <col min="1032" max="1033" width="9.140625" style="196" customWidth="1"/>
    <col min="1034" max="1034" width="19" style="196" customWidth="1"/>
    <col min="1035" max="1281" width="9.140625" style="196"/>
    <col min="1282" max="1282" width="25.85546875" style="196" customWidth="1"/>
    <col min="1283" max="1284" width="11" style="196" customWidth="1"/>
    <col min="1285" max="1285" width="22.85546875" style="196" customWidth="1"/>
    <col min="1286" max="1287" width="11" style="196" customWidth="1"/>
    <col min="1288" max="1289" width="9.140625" style="196" customWidth="1"/>
    <col min="1290" max="1290" width="19" style="196" customWidth="1"/>
    <col min="1291" max="1537" width="9.140625" style="196"/>
    <col min="1538" max="1538" width="25.85546875" style="196" customWidth="1"/>
    <col min="1539" max="1540" width="11" style="196" customWidth="1"/>
    <col min="1541" max="1541" width="22.85546875" style="196" customWidth="1"/>
    <col min="1542" max="1543" width="11" style="196" customWidth="1"/>
    <col min="1544" max="1545" width="9.140625" style="196" customWidth="1"/>
    <col min="1546" max="1546" width="19" style="196" customWidth="1"/>
    <col min="1547" max="1793" width="9.140625" style="196"/>
    <col min="1794" max="1794" width="25.85546875" style="196" customWidth="1"/>
    <col min="1795" max="1796" width="11" style="196" customWidth="1"/>
    <col min="1797" max="1797" width="22.85546875" style="196" customWidth="1"/>
    <col min="1798" max="1799" width="11" style="196" customWidth="1"/>
    <col min="1800" max="1801" width="9.140625" style="196" customWidth="1"/>
    <col min="1802" max="1802" width="19" style="196" customWidth="1"/>
    <col min="1803" max="2049" width="9.140625" style="196"/>
    <col min="2050" max="2050" width="25.85546875" style="196" customWidth="1"/>
    <col min="2051" max="2052" width="11" style="196" customWidth="1"/>
    <col min="2053" max="2053" width="22.85546875" style="196" customWidth="1"/>
    <col min="2054" max="2055" width="11" style="196" customWidth="1"/>
    <col min="2056" max="2057" width="9.140625" style="196" customWidth="1"/>
    <col min="2058" max="2058" width="19" style="196" customWidth="1"/>
    <col min="2059" max="2305" width="9.140625" style="196"/>
    <col min="2306" max="2306" width="25.85546875" style="196" customWidth="1"/>
    <col min="2307" max="2308" width="11" style="196" customWidth="1"/>
    <col min="2309" max="2309" width="22.85546875" style="196" customWidth="1"/>
    <col min="2310" max="2311" width="11" style="196" customWidth="1"/>
    <col min="2312" max="2313" width="9.140625" style="196" customWidth="1"/>
    <col min="2314" max="2314" width="19" style="196" customWidth="1"/>
    <col min="2315" max="2561" width="9.140625" style="196"/>
    <col min="2562" max="2562" width="25.85546875" style="196" customWidth="1"/>
    <col min="2563" max="2564" width="11" style="196" customWidth="1"/>
    <col min="2565" max="2565" width="22.85546875" style="196" customWidth="1"/>
    <col min="2566" max="2567" width="11" style="196" customWidth="1"/>
    <col min="2568" max="2569" width="9.140625" style="196" customWidth="1"/>
    <col min="2570" max="2570" width="19" style="196" customWidth="1"/>
    <col min="2571" max="2817" width="9.140625" style="196"/>
    <col min="2818" max="2818" width="25.85546875" style="196" customWidth="1"/>
    <col min="2819" max="2820" width="11" style="196" customWidth="1"/>
    <col min="2821" max="2821" width="22.85546875" style="196" customWidth="1"/>
    <col min="2822" max="2823" width="11" style="196" customWidth="1"/>
    <col min="2824" max="2825" width="9.140625" style="196" customWidth="1"/>
    <col min="2826" max="2826" width="19" style="196" customWidth="1"/>
    <col min="2827" max="3073" width="9.140625" style="196"/>
    <col min="3074" max="3074" width="25.85546875" style="196" customWidth="1"/>
    <col min="3075" max="3076" width="11" style="196" customWidth="1"/>
    <col min="3077" max="3077" width="22.85546875" style="196" customWidth="1"/>
    <col min="3078" max="3079" width="11" style="196" customWidth="1"/>
    <col min="3080" max="3081" width="9.140625" style="196" customWidth="1"/>
    <col min="3082" max="3082" width="19" style="196" customWidth="1"/>
    <col min="3083" max="3329" width="9.140625" style="196"/>
    <col min="3330" max="3330" width="25.85546875" style="196" customWidth="1"/>
    <col min="3331" max="3332" width="11" style="196" customWidth="1"/>
    <col min="3333" max="3333" width="22.85546875" style="196" customWidth="1"/>
    <col min="3334" max="3335" width="11" style="196" customWidth="1"/>
    <col min="3336" max="3337" width="9.140625" style="196" customWidth="1"/>
    <col min="3338" max="3338" width="19" style="196" customWidth="1"/>
    <col min="3339" max="3585" width="9.140625" style="196"/>
    <col min="3586" max="3586" width="25.85546875" style="196" customWidth="1"/>
    <col min="3587" max="3588" width="11" style="196" customWidth="1"/>
    <col min="3589" max="3589" width="22.85546875" style="196" customWidth="1"/>
    <col min="3590" max="3591" width="11" style="196" customWidth="1"/>
    <col min="3592" max="3593" width="9.140625" style="196" customWidth="1"/>
    <col min="3594" max="3594" width="19" style="196" customWidth="1"/>
    <col min="3595" max="3841" width="9.140625" style="196"/>
    <col min="3842" max="3842" width="25.85546875" style="196" customWidth="1"/>
    <col min="3843" max="3844" width="11" style="196" customWidth="1"/>
    <col min="3845" max="3845" width="22.85546875" style="196" customWidth="1"/>
    <col min="3846" max="3847" width="11" style="196" customWidth="1"/>
    <col min="3848" max="3849" width="9.140625" style="196" customWidth="1"/>
    <col min="3850" max="3850" width="19" style="196" customWidth="1"/>
    <col min="3851" max="4097" width="9.140625" style="196"/>
    <col min="4098" max="4098" width="25.85546875" style="196" customWidth="1"/>
    <col min="4099" max="4100" width="11" style="196" customWidth="1"/>
    <col min="4101" max="4101" width="22.85546875" style="196" customWidth="1"/>
    <col min="4102" max="4103" width="11" style="196" customWidth="1"/>
    <col min="4104" max="4105" width="9.140625" style="196" customWidth="1"/>
    <col min="4106" max="4106" width="19" style="196" customWidth="1"/>
    <col min="4107" max="4353" width="9.140625" style="196"/>
    <col min="4354" max="4354" width="25.85546875" style="196" customWidth="1"/>
    <col min="4355" max="4356" width="11" style="196" customWidth="1"/>
    <col min="4357" max="4357" width="22.85546875" style="196" customWidth="1"/>
    <col min="4358" max="4359" width="11" style="196" customWidth="1"/>
    <col min="4360" max="4361" width="9.140625" style="196" customWidth="1"/>
    <col min="4362" max="4362" width="19" style="196" customWidth="1"/>
    <col min="4363" max="4609" width="9.140625" style="196"/>
    <col min="4610" max="4610" width="25.85546875" style="196" customWidth="1"/>
    <col min="4611" max="4612" width="11" style="196" customWidth="1"/>
    <col min="4613" max="4613" width="22.85546875" style="196" customWidth="1"/>
    <col min="4614" max="4615" width="11" style="196" customWidth="1"/>
    <col min="4616" max="4617" width="9.140625" style="196" customWidth="1"/>
    <col min="4618" max="4618" width="19" style="196" customWidth="1"/>
    <col min="4619" max="4865" width="9.140625" style="196"/>
    <col min="4866" max="4866" width="25.85546875" style="196" customWidth="1"/>
    <col min="4867" max="4868" width="11" style="196" customWidth="1"/>
    <col min="4869" max="4869" width="22.85546875" style="196" customWidth="1"/>
    <col min="4870" max="4871" width="11" style="196" customWidth="1"/>
    <col min="4872" max="4873" width="9.140625" style="196" customWidth="1"/>
    <col min="4874" max="4874" width="19" style="196" customWidth="1"/>
    <col min="4875" max="5121" width="9.140625" style="196"/>
    <col min="5122" max="5122" width="25.85546875" style="196" customWidth="1"/>
    <col min="5123" max="5124" width="11" style="196" customWidth="1"/>
    <col min="5125" max="5125" width="22.85546875" style="196" customWidth="1"/>
    <col min="5126" max="5127" width="11" style="196" customWidth="1"/>
    <col min="5128" max="5129" width="9.140625" style="196" customWidth="1"/>
    <col min="5130" max="5130" width="19" style="196" customWidth="1"/>
    <col min="5131" max="5377" width="9.140625" style="196"/>
    <col min="5378" max="5378" width="25.85546875" style="196" customWidth="1"/>
    <col min="5379" max="5380" width="11" style="196" customWidth="1"/>
    <col min="5381" max="5381" width="22.85546875" style="196" customWidth="1"/>
    <col min="5382" max="5383" width="11" style="196" customWidth="1"/>
    <col min="5384" max="5385" width="9.140625" style="196" customWidth="1"/>
    <col min="5386" max="5386" width="19" style="196" customWidth="1"/>
    <col min="5387" max="5633" width="9.140625" style="196"/>
    <col min="5634" max="5634" width="25.85546875" style="196" customWidth="1"/>
    <col min="5635" max="5636" width="11" style="196" customWidth="1"/>
    <col min="5637" max="5637" width="22.85546875" style="196" customWidth="1"/>
    <col min="5638" max="5639" width="11" style="196" customWidth="1"/>
    <col min="5640" max="5641" width="9.140625" style="196" customWidth="1"/>
    <col min="5642" max="5642" width="19" style="196" customWidth="1"/>
    <col min="5643" max="5889" width="9.140625" style="196"/>
    <col min="5890" max="5890" width="25.85546875" style="196" customWidth="1"/>
    <col min="5891" max="5892" width="11" style="196" customWidth="1"/>
    <col min="5893" max="5893" width="22.85546875" style="196" customWidth="1"/>
    <col min="5894" max="5895" width="11" style="196" customWidth="1"/>
    <col min="5896" max="5897" width="9.140625" style="196" customWidth="1"/>
    <col min="5898" max="5898" width="19" style="196" customWidth="1"/>
    <col min="5899" max="6145" width="9.140625" style="196"/>
    <col min="6146" max="6146" width="25.85546875" style="196" customWidth="1"/>
    <col min="6147" max="6148" width="11" style="196" customWidth="1"/>
    <col min="6149" max="6149" width="22.85546875" style="196" customWidth="1"/>
    <col min="6150" max="6151" width="11" style="196" customWidth="1"/>
    <col min="6152" max="6153" width="9.140625" style="196" customWidth="1"/>
    <col min="6154" max="6154" width="19" style="196" customWidth="1"/>
    <col min="6155" max="6401" width="9.140625" style="196"/>
    <col min="6402" max="6402" width="25.85546875" style="196" customWidth="1"/>
    <col min="6403" max="6404" width="11" style="196" customWidth="1"/>
    <col min="6405" max="6405" width="22.85546875" style="196" customWidth="1"/>
    <col min="6406" max="6407" width="11" style="196" customWidth="1"/>
    <col min="6408" max="6409" width="9.140625" style="196" customWidth="1"/>
    <col min="6410" max="6410" width="19" style="196" customWidth="1"/>
    <col min="6411" max="6657" width="9.140625" style="196"/>
    <col min="6658" max="6658" width="25.85546875" style="196" customWidth="1"/>
    <col min="6659" max="6660" width="11" style="196" customWidth="1"/>
    <col min="6661" max="6661" width="22.85546875" style="196" customWidth="1"/>
    <col min="6662" max="6663" width="11" style="196" customWidth="1"/>
    <col min="6664" max="6665" width="9.140625" style="196" customWidth="1"/>
    <col min="6666" max="6666" width="19" style="196" customWidth="1"/>
    <col min="6667" max="6913" width="9.140625" style="196"/>
    <col min="6914" max="6914" width="25.85546875" style="196" customWidth="1"/>
    <col min="6915" max="6916" width="11" style="196" customWidth="1"/>
    <col min="6917" max="6917" width="22.85546875" style="196" customWidth="1"/>
    <col min="6918" max="6919" width="11" style="196" customWidth="1"/>
    <col min="6920" max="6921" width="9.140625" style="196" customWidth="1"/>
    <col min="6922" max="6922" width="19" style="196" customWidth="1"/>
    <col min="6923" max="7169" width="9.140625" style="196"/>
    <col min="7170" max="7170" width="25.85546875" style="196" customWidth="1"/>
    <col min="7171" max="7172" width="11" style="196" customWidth="1"/>
    <col min="7173" max="7173" width="22.85546875" style="196" customWidth="1"/>
    <col min="7174" max="7175" width="11" style="196" customWidth="1"/>
    <col min="7176" max="7177" width="9.140625" style="196" customWidth="1"/>
    <col min="7178" max="7178" width="19" style="196" customWidth="1"/>
    <col min="7179" max="7425" width="9.140625" style="196"/>
    <col min="7426" max="7426" width="25.85546875" style="196" customWidth="1"/>
    <col min="7427" max="7428" width="11" style="196" customWidth="1"/>
    <col min="7429" max="7429" width="22.85546875" style="196" customWidth="1"/>
    <col min="7430" max="7431" width="11" style="196" customWidth="1"/>
    <col min="7432" max="7433" width="9.140625" style="196" customWidth="1"/>
    <col min="7434" max="7434" width="19" style="196" customWidth="1"/>
    <col min="7435" max="7681" width="9.140625" style="196"/>
    <col min="7682" max="7682" width="25.85546875" style="196" customWidth="1"/>
    <col min="7683" max="7684" width="11" style="196" customWidth="1"/>
    <col min="7685" max="7685" width="22.85546875" style="196" customWidth="1"/>
    <col min="7686" max="7687" width="11" style="196" customWidth="1"/>
    <col min="7688" max="7689" width="9.140625" style="196" customWidth="1"/>
    <col min="7690" max="7690" width="19" style="196" customWidth="1"/>
    <col min="7691" max="7937" width="9.140625" style="196"/>
    <col min="7938" max="7938" width="25.85546875" style="196" customWidth="1"/>
    <col min="7939" max="7940" width="11" style="196" customWidth="1"/>
    <col min="7941" max="7941" width="22.85546875" style="196" customWidth="1"/>
    <col min="7942" max="7943" width="11" style="196" customWidth="1"/>
    <col min="7944" max="7945" width="9.140625" style="196" customWidth="1"/>
    <col min="7946" max="7946" width="19" style="196" customWidth="1"/>
    <col min="7947" max="8193" width="9.140625" style="196"/>
    <col min="8194" max="8194" width="25.85546875" style="196" customWidth="1"/>
    <col min="8195" max="8196" width="11" style="196" customWidth="1"/>
    <col min="8197" max="8197" width="22.85546875" style="196" customWidth="1"/>
    <col min="8198" max="8199" width="11" style="196" customWidth="1"/>
    <col min="8200" max="8201" width="9.140625" style="196" customWidth="1"/>
    <col min="8202" max="8202" width="19" style="196" customWidth="1"/>
    <col min="8203" max="8449" width="9.140625" style="196"/>
    <col min="8450" max="8450" width="25.85546875" style="196" customWidth="1"/>
    <col min="8451" max="8452" width="11" style="196" customWidth="1"/>
    <col min="8453" max="8453" width="22.85546875" style="196" customWidth="1"/>
    <col min="8454" max="8455" width="11" style="196" customWidth="1"/>
    <col min="8456" max="8457" width="9.140625" style="196" customWidth="1"/>
    <col min="8458" max="8458" width="19" style="196" customWidth="1"/>
    <col min="8459" max="8705" width="9.140625" style="196"/>
    <col min="8706" max="8706" width="25.85546875" style="196" customWidth="1"/>
    <col min="8707" max="8708" width="11" style="196" customWidth="1"/>
    <col min="8709" max="8709" width="22.85546875" style="196" customWidth="1"/>
    <col min="8710" max="8711" width="11" style="196" customWidth="1"/>
    <col min="8712" max="8713" width="9.140625" style="196" customWidth="1"/>
    <col min="8714" max="8714" width="19" style="196" customWidth="1"/>
    <col min="8715" max="8961" width="9.140625" style="196"/>
    <col min="8962" max="8962" width="25.85546875" style="196" customWidth="1"/>
    <col min="8963" max="8964" width="11" style="196" customWidth="1"/>
    <col min="8965" max="8965" width="22.85546875" style="196" customWidth="1"/>
    <col min="8966" max="8967" width="11" style="196" customWidth="1"/>
    <col min="8968" max="8969" width="9.140625" style="196" customWidth="1"/>
    <col min="8970" max="8970" width="19" style="196" customWidth="1"/>
    <col min="8971" max="9217" width="9.140625" style="196"/>
    <col min="9218" max="9218" width="25.85546875" style="196" customWidth="1"/>
    <col min="9219" max="9220" width="11" style="196" customWidth="1"/>
    <col min="9221" max="9221" width="22.85546875" style="196" customWidth="1"/>
    <col min="9222" max="9223" width="11" style="196" customWidth="1"/>
    <col min="9224" max="9225" width="9.140625" style="196" customWidth="1"/>
    <col min="9226" max="9226" width="19" style="196" customWidth="1"/>
    <col min="9227" max="9473" width="9.140625" style="196"/>
    <col min="9474" max="9474" width="25.85546875" style="196" customWidth="1"/>
    <col min="9475" max="9476" width="11" style="196" customWidth="1"/>
    <col min="9477" max="9477" width="22.85546875" style="196" customWidth="1"/>
    <col min="9478" max="9479" width="11" style="196" customWidth="1"/>
    <col min="9480" max="9481" width="9.140625" style="196" customWidth="1"/>
    <col min="9482" max="9482" width="19" style="196" customWidth="1"/>
    <col min="9483" max="9729" width="9.140625" style="196"/>
    <col min="9730" max="9730" width="25.85546875" style="196" customWidth="1"/>
    <col min="9731" max="9732" width="11" style="196" customWidth="1"/>
    <col min="9733" max="9733" width="22.85546875" style="196" customWidth="1"/>
    <col min="9734" max="9735" width="11" style="196" customWidth="1"/>
    <col min="9736" max="9737" width="9.140625" style="196" customWidth="1"/>
    <col min="9738" max="9738" width="19" style="196" customWidth="1"/>
    <col min="9739" max="9985" width="9.140625" style="196"/>
    <col min="9986" max="9986" width="25.85546875" style="196" customWidth="1"/>
    <col min="9987" max="9988" width="11" style="196" customWidth="1"/>
    <col min="9989" max="9989" width="22.85546875" style="196" customWidth="1"/>
    <col min="9990" max="9991" width="11" style="196" customWidth="1"/>
    <col min="9992" max="9993" width="9.140625" style="196" customWidth="1"/>
    <col min="9994" max="9994" width="19" style="196" customWidth="1"/>
    <col min="9995" max="10241" width="9.140625" style="196"/>
    <col min="10242" max="10242" width="25.85546875" style="196" customWidth="1"/>
    <col min="10243" max="10244" width="11" style="196" customWidth="1"/>
    <col min="10245" max="10245" width="22.85546875" style="196" customWidth="1"/>
    <col min="10246" max="10247" width="11" style="196" customWidth="1"/>
    <col min="10248" max="10249" width="9.140625" style="196" customWidth="1"/>
    <col min="10250" max="10250" width="19" style="196" customWidth="1"/>
    <col min="10251" max="10497" width="9.140625" style="196"/>
    <col min="10498" max="10498" width="25.85546875" style="196" customWidth="1"/>
    <col min="10499" max="10500" width="11" style="196" customWidth="1"/>
    <col min="10501" max="10501" width="22.85546875" style="196" customWidth="1"/>
    <col min="10502" max="10503" width="11" style="196" customWidth="1"/>
    <col min="10504" max="10505" width="9.140625" style="196" customWidth="1"/>
    <col min="10506" max="10506" width="19" style="196" customWidth="1"/>
    <col min="10507" max="10753" width="9.140625" style="196"/>
    <col min="10754" max="10754" width="25.85546875" style="196" customWidth="1"/>
    <col min="10755" max="10756" width="11" style="196" customWidth="1"/>
    <col min="10757" max="10757" width="22.85546875" style="196" customWidth="1"/>
    <col min="10758" max="10759" width="11" style="196" customWidth="1"/>
    <col min="10760" max="10761" width="9.140625" style="196" customWidth="1"/>
    <col min="10762" max="10762" width="19" style="196" customWidth="1"/>
    <col min="10763" max="11009" width="9.140625" style="196"/>
    <col min="11010" max="11010" width="25.85546875" style="196" customWidth="1"/>
    <col min="11011" max="11012" width="11" style="196" customWidth="1"/>
    <col min="11013" max="11013" width="22.85546875" style="196" customWidth="1"/>
    <col min="11014" max="11015" width="11" style="196" customWidth="1"/>
    <col min="11016" max="11017" width="9.140625" style="196" customWidth="1"/>
    <col min="11018" max="11018" width="19" style="196" customWidth="1"/>
    <col min="11019" max="11265" width="9.140625" style="196"/>
    <col min="11266" max="11266" width="25.85546875" style="196" customWidth="1"/>
    <col min="11267" max="11268" width="11" style="196" customWidth="1"/>
    <col min="11269" max="11269" width="22.85546875" style="196" customWidth="1"/>
    <col min="11270" max="11271" width="11" style="196" customWidth="1"/>
    <col min="11272" max="11273" width="9.140625" style="196" customWidth="1"/>
    <col min="11274" max="11274" width="19" style="196" customWidth="1"/>
    <col min="11275" max="11521" width="9.140625" style="196"/>
    <col min="11522" max="11522" width="25.85546875" style="196" customWidth="1"/>
    <col min="11523" max="11524" width="11" style="196" customWidth="1"/>
    <col min="11525" max="11525" width="22.85546875" style="196" customWidth="1"/>
    <col min="11526" max="11527" width="11" style="196" customWidth="1"/>
    <col min="11528" max="11529" width="9.140625" style="196" customWidth="1"/>
    <col min="11530" max="11530" width="19" style="196" customWidth="1"/>
    <col min="11531" max="11777" width="9.140625" style="196"/>
    <col min="11778" max="11778" width="25.85546875" style="196" customWidth="1"/>
    <col min="11779" max="11780" width="11" style="196" customWidth="1"/>
    <col min="11781" max="11781" width="22.85546875" style="196" customWidth="1"/>
    <col min="11782" max="11783" width="11" style="196" customWidth="1"/>
    <col min="11784" max="11785" width="9.140625" style="196" customWidth="1"/>
    <col min="11786" max="11786" width="19" style="196" customWidth="1"/>
    <col min="11787" max="12033" width="9.140625" style="196"/>
    <col min="12034" max="12034" width="25.85546875" style="196" customWidth="1"/>
    <col min="12035" max="12036" width="11" style="196" customWidth="1"/>
    <col min="12037" max="12037" width="22.85546875" style="196" customWidth="1"/>
    <col min="12038" max="12039" width="11" style="196" customWidth="1"/>
    <col min="12040" max="12041" width="9.140625" style="196" customWidth="1"/>
    <col min="12042" max="12042" width="19" style="196" customWidth="1"/>
    <col min="12043" max="12289" width="9.140625" style="196"/>
    <col min="12290" max="12290" width="25.85546875" style="196" customWidth="1"/>
    <col min="12291" max="12292" width="11" style="196" customWidth="1"/>
    <col min="12293" max="12293" width="22.85546875" style="196" customWidth="1"/>
    <col min="12294" max="12295" width="11" style="196" customWidth="1"/>
    <col min="12296" max="12297" width="9.140625" style="196" customWidth="1"/>
    <col min="12298" max="12298" width="19" style="196" customWidth="1"/>
    <col min="12299" max="12545" width="9.140625" style="196"/>
    <col min="12546" max="12546" width="25.85546875" style="196" customWidth="1"/>
    <col min="12547" max="12548" width="11" style="196" customWidth="1"/>
    <col min="12549" max="12549" width="22.85546875" style="196" customWidth="1"/>
    <col min="12550" max="12551" width="11" style="196" customWidth="1"/>
    <col min="12552" max="12553" width="9.140625" style="196" customWidth="1"/>
    <col min="12554" max="12554" width="19" style="196" customWidth="1"/>
    <col min="12555" max="12801" width="9.140625" style="196"/>
    <col min="12802" max="12802" width="25.85546875" style="196" customWidth="1"/>
    <col min="12803" max="12804" width="11" style="196" customWidth="1"/>
    <col min="12805" max="12805" width="22.85546875" style="196" customWidth="1"/>
    <col min="12806" max="12807" width="11" style="196" customWidth="1"/>
    <col min="12808" max="12809" width="9.140625" style="196" customWidth="1"/>
    <col min="12810" max="12810" width="19" style="196" customWidth="1"/>
    <col min="12811" max="13057" width="9.140625" style="196"/>
    <col min="13058" max="13058" width="25.85546875" style="196" customWidth="1"/>
    <col min="13059" max="13060" width="11" style="196" customWidth="1"/>
    <col min="13061" max="13061" width="22.85546875" style="196" customWidth="1"/>
    <col min="13062" max="13063" width="11" style="196" customWidth="1"/>
    <col min="13064" max="13065" width="9.140625" style="196" customWidth="1"/>
    <col min="13066" max="13066" width="19" style="196" customWidth="1"/>
    <col min="13067" max="13313" width="9.140625" style="196"/>
    <col min="13314" max="13314" width="25.85546875" style="196" customWidth="1"/>
    <col min="13315" max="13316" width="11" style="196" customWidth="1"/>
    <col min="13317" max="13317" width="22.85546875" style="196" customWidth="1"/>
    <col min="13318" max="13319" width="11" style="196" customWidth="1"/>
    <col min="13320" max="13321" width="9.140625" style="196" customWidth="1"/>
    <col min="13322" max="13322" width="19" style="196" customWidth="1"/>
    <col min="13323" max="13569" width="9.140625" style="196"/>
    <col min="13570" max="13570" width="25.85546875" style="196" customWidth="1"/>
    <col min="13571" max="13572" width="11" style="196" customWidth="1"/>
    <col min="13573" max="13573" width="22.85546875" style="196" customWidth="1"/>
    <col min="13574" max="13575" width="11" style="196" customWidth="1"/>
    <col min="13576" max="13577" width="9.140625" style="196" customWidth="1"/>
    <col min="13578" max="13578" width="19" style="196" customWidth="1"/>
    <col min="13579" max="13825" width="9.140625" style="196"/>
    <col min="13826" max="13826" width="25.85546875" style="196" customWidth="1"/>
    <col min="13827" max="13828" width="11" style="196" customWidth="1"/>
    <col min="13829" max="13829" width="22.85546875" style="196" customWidth="1"/>
    <col min="13830" max="13831" width="11" style="196" customWidth="1"/>
    <col min="13832" max="13833" width="9.140625" style="196" customWidth="1"/>
    <col min="13834" max="13834" width="19" style="196" customWidth="1"/>
    <col min="13835" max="14081" width="9.140625" style="196"/>
    <col min="14082" max="14082" width="25.85546875" style="196" customWidth="1"/>
    <col min="14083" max="14084" width="11" style="196" customWidth="1"/>
    <col min="14085" max="14085" width="22.85546875" style="196" customWidth="1"/>
    <col min="14086" max="14087" width="11" style="196" customWidth="1"/>
    <col min="14088" max="14089" width="9.140625" style="196" customWidth="1"/>
    <col min="14090" max="14090" width="19" style="196" customWidth="1"/>
    <col min="14091" max="14337" width="9.140625" style="196"/>
    <col min="14338" max="14338" width="25.85546875" style="196" customWidth="1"/>
    <col min="14339" max="14340" width="11" style="196" customWidth="1"/>
    <col min="14341" max="14341" width="22.85546875" style="196" customWidth="1"/>
    <col min="14342" max="14343" width="11" style="196" customWidth="1"/>
    <col min="14344" max="14345" width="9.140625" style="196" customWidth="1"/>
    <col min="14346" max="14346" width="19" style="196" customWidth="1"/>
    <col min="14347" max="14593" width="9.140625" style="196"/>
    <col min="14594" max="14594" width="25.85546875" style="196" customWidth="1"/>
    <col min="14595" max="14596" width="11" style="196" customWidth="1"/>
    <col min="14597" max="14597" width="22.85546875" style="196" customWidth="1"/>
    <col min="14598" max="14599" width="11" style="196" customWidth="1"/>
    <col min="14600" max="14601" width="9.140625" style="196" customWidth="1"/>
    <col min="14602" max="14602" width="19" style="196" customWidth="1"/>
    <col min="14603" max="14849" width="9.140625" style="196"/>
    <col min="14850" max="14850" width="25.85546875" style="196" customWidth="1"/>
    <col min="14851" max="14852" width="11" style="196" customWidth="1"/>
    <col min="14853" max="14853" width="22.85546875" style="196" customWidth="1"/>
    <col min="14854" max="14855" width="11" style="196" customWidth="1"/>
    <col min="14856" max="14857" width="9.140625" style="196" customWidth="1"/>
    <col min="14858" max="14858" width="19" style="196" customWidth="1"/>
    <col min="14859" max="15105" width="9.140625" style="196"/>
    <col min="15106" max="15106" width="25.85546875" style="196" customWidth="1"/>
    <col min="15107" max="15108" width="11" style="196" customWidth="1"/>
    <col min="15109" max="15109" width="22.85546875" style="196" customWidth="1"/>
    <col min="15110" max="15111" width="11" style="196" customWidth="1"/>
    <col min="15112" max="15113" width="9.140625" style="196" customWidth="1"/>
    <col min="15114" max="15114" width="19" style="196" customWidth="1"/>
    <col min="15115" max="15361" width="9.140625" style="196"/>
    <col min="15362" max="15362" width="25.85546875" style="196" customWidth="1"/>
    <col min="15363" max="15364" width="11" style="196" customWidth="1"/>
    <col min="15365" max="15365" width="22.85546875" style="196" customWidth="1"/>
    <col min="15366" max="15367" width="11" style="196" customWidth="1"/>
    <col min="15368" max="15369" width="9.140625" style="196" customWidth="1"/>
    <col min="15370" max="15370" width="19" style="196" customWidth="1"/>
    <col min="15371" max="15617" width="9.140625" style="196"/>
    <col min="15618" max="15618" width="25.85546875" style="196" customWidth="1"/>
    <col min="15619" max="15620" width="11" style="196" customWidth="1"/>
    <col min="15621" max="15621" width="22.85546875" style="196" customWidth="1"/>
    <col min="15622" max="15623" width="11" style="196" customWidth="1"/>
    <col min="15624" max="15625" width="9.140625" style="196" customWidth="1"/>
    <col min="15626" max="15626" width="19" style="196" customWidth="1"/>
    <col min="15627" max="15873" width="9.140625" style="196"/>
    <col min="15874" max="15874" width="25.85546875" style="196" customWidth="1"/>
    <col min="15875" max="15876" width="11" style="196" customWidth="1"/>
    <col min="15877" max="15877" width="22.85546875" style="196" customWidth="1"/>
    <col min="15878" max="15879" width="11" style="196" customWidth="1"/>
    <col min="15880" max="15881" width="9.140625" style="196" customWidth="1"/>
    <col min="15882" max="15882" width="19" style="196" customWidth="1"/>
    <col min="15883" max="16129" width="9.140625" style="196"/>
    <col min="16130" max="16130" width="25.85546875" style="196" customWidth="1"/>
    <col min="16131" max="16132" width="11" style="196" customWidth="1"/>
    <col min="16133" max="16133" width="22.85546875" style="196" customWidth="1"/>
    <col min="16134" max="16135" width="11" style="196" customWidth="1"/>
    <col min="16136" max="16137" width="9.140625" style="196" customWidth="1"/>
    <col min="16138" max="16138" width="19" style="196" customWidth="1"/>
    <col min="16139" max="16384" width="9.140625" style="196"/>
  </cols>
  <sheetData>
    <row r="1" spans="1:11" s="197" customFormat="1" ht="20.25" x14ac:dyDescent="0.3">
      <c r="I1" s="346" t="s">
        <v>19</v>
      </c>
      <c r="J1" s="327"/>
    </row>
    <row r="2" spans="1:11" s="193" customFormat="1" ht="18" customHeight="1" x14ac:dyDescent="0.25">
      <c r="A2" s="210" t="s">
        <v>19</v>
      </c>
      <c r="B2" s="223"/>
      <c r="C2" s="223"/>
      <c r="D2" s="223"/>
      <c r="E2" s="223"/>
      <c r="F2" s="211"/>
      <c r="G2" s="211"/>
      <c r="H2" s="211"/>
      <c r="I2" s="211"/>
      <c r="J2" s="213" t="s">
        <v>64</v>
      </c>
    </row>
    <row r="3" spans="1:11" ht="15.75" customHeight="1" x14ac:dyDescent="0.2">
      <c r="B3" s="224" t="s">
        <v>228</v>
      </c>
      <c r="C3" s="224"/>
      <c r="D3" s="224"/>
      <c r="E3" s="225"/>
    </row>
    <row r="4" spans="1:11" ht="15.75" customHeight="1" x14ac:dyDescent="0.2">
      <c r="B4" s="233"/>
      <c r="C4" s="233"/>
      <c r="D4" s="233"/>
      <c r="E4" s="234"/>
    </row>
    <row r="5" spans="1:11" x14ac:dyDescent="0.2">
      <c r="B5" s="207"/>
      <c r="C5" s="207"/>
      <c r="D5" s="207"/>
      <c r="E5" s="207"/>
      <c r="J5" s="250" t="s">
        <v>402</v>
      </c>
    </row>
    <row r="6" spans="1:11" x14ac:dyDescent="0.2">
      <c r="A6" s="196" t="s">
        <v>666</v>
      </c>
      <c r="B6" s="229">
        <v>5</v>
      </c>
      <c r="C6" s="229" t="s">
        <v>667</v>
      </c>
      <c r="D6" s="229" t="s">
        <v>402</v>
      </c>
      <c r="E6" s="229"/>
      <c r="J6" s="249"/>
    </row>
    <row r="7" spans="1:11" x14ac:dyDescent="0.2">
      <c r="A7" s="196" t="s">
        <v>671</v>
      </c>
      <c r="B7" s="196">
        <v>1000</v>
      </c>
      <c r="C7" s="196" t="s">
        <v>672</v>
      </c>
      <c r="D7" s="196" t="s">
        <v>678</v>
      </c>
      <c r="E7" s="195"/>
      <c r="J7" s="195"/>
      <c r="K7" s="229"/>
    </row>
    <row r="8" spans="1:11" x14ac:dyDescent="0.2">
      <c r="A8" s="196" t="s">
        <v>673</v>
      </c>
      <c r="B8" s="196">
        <v>9.81</v>
      </c>
      <c r="C8" s="196" t="s">
        <v>674</v>
      </c>
      <c r="D8" s="229"/>
      <c r="E8" s="229"/>
      <c r="F8" s="229"/>
      <c r="G8" s="229"/>
      <c r="H8" s="229"/>
      <c r="I8" s="229"/>
      <c r="J8" s="249"/>
    </row>
    <row r="9" spans="1:11" x14ac:dyDescent="0.2">
      <c r="A9" s="196" t="s">
        <v>675</v>
      </c>
      <c r="B9" s="397">
        <v>0.8</v>
      </c>
      <c r="C9" s="229"/>
      <c r="D9" s="249" t="s">
        <v>402</v>
      </c>
      <c r="E9" s="229"/>
      <c r="F9" s="229"/>
      <c r="G9" s="229"/>
      <c r="H9" s="229"/>
      <c r="I9" s="229"/>
    </row>
    <row r="10" spans="1:11" x14ac:dyDescent="0.2">
      <c r="A10" s="195"/>
      <c r="D10" s="195"/>
      <c r="G10" s="229"/>
      <c r="H10" s="229"/>
      <c r="I10" s="229"/>
      <c r="J10" s="249"/>
    </row>
    <row r="11" spans="1:11" x14ac:dyDescent="0.2">
      <c r="A11" s="196" t="s">
        <v>676</v>
      </c>
      <c r="B11" s="196">
        <f>B7*B8*B6/B9</f>
        <v>61312.5</v>
      </c>
      <c r="C11" s="196" t="s">
        <v>668</v>
      </c>
      <c r="E11" s="262"/>
      <c r="I11" s="229"/>
      <c r="J11" s="249"/>
    </row>
    <row r="12" spans="1:11" x14ac:dyDescent="0.2">
      <c r="B12" s="196">
        <f>B11*CONVERT(1,"J","Wh")</f>
        <v>17.03125</v>
      </c>
      <c r="C12" s="196" t="s">
        <v>669</v>
      </c>
      <c r="I12" s="229"/>
      <c r="J12" s="249"/>
    </row>
    <row r="13" spans="1:11" x14ac:dyDescent="0.2">
      <c r="B13" s="302">
        <f>B12/1000</f>
        <v>1.7031250000000001E-2</v>
      </c>
      <c r="C13" s="196" t="s">
        <v>670</v>
      </c>
      <c r="I13" s="229"/>
      <c r="J13" s="249"/>
    </row>
    <row r="14" spans="1:11" x14ac:dyDescent="0.2">
      <c r="B14" s="302"/>
      <c r="I14" s="229"/>
      <c r="J14" s="249"/>
    </row>
    <row r="15" spans="1:11" x14ac:dyDescent="0.2">
      <c r="A15" s="229" t="s">
        <v>777</v>
      </c>
      <c r="B15" s="229">
        <v>1</v>
      </c>
      <c r="C15" s="229" t="s">
        <v>667</v>
      </c>
      <c r="D15" s="409">
        <f>B7*B8*B15/B9*CONVERT(1,"J","Wh")/1000</f>
        <v>3.40625E-3</v>
      </c>
      <c r="E15" s="196" t="s">
        <v>670</v>
      </c>
      <c r="I15" s="245"/>
      <c r="J15" s="248"/>
    </row>
    <row r="16" spans="1:11" x14ac:dyDescent="0.2">
      <c r="B16" s="231">
        <v>10</v>
      </c>
      <c r="C16" s="229" t="s">
        <v>667</v>
      </c>
      <c r="D16" s="409">
        <f>B7*B8*B16/B9*CONVERT(1,"J","Wh")/1000</f>
        <v>3.4062500000000002E-2</v>
      </c>
      <c r="E16" s="196" t="s">
        <v>670</v>
      </c>
      <c r="I16" s="245"/>
      <c r="J16" s="248"/>
    </row>
    <row r="17" spans="1:17" x14ac:dyDescent="0.2">
      <c r="A17" s="245" t="s">
        <v>410</v>
      </c>
    </row>
    <row r="18" spans="1:17" x14ac:dyDescent="0.2">
      <c r="A18" s="229" t="s">
        <v>408</v>
      </c>
    </row>
    <row r="19" spans="1:17" x14ac:dyDescent="0.2">
      <c r="A19" s="229" t="s">
        <v>409</v>
      </c>
      <c r="E19" s="195"/>
      <c r="F19" s="195"/>
    </row>
    <row r="20" spans="1:17" x14ac:dyDescent="0.2">
      <c r="E20" s="262"/>
      <c r="J20" s="398"/>
    </row>
    <row r="21" spans="1:17" x14ac:dyDescent="0.2">
      <c r="E21" s="272"/>
    </row>
    <row r="24" spans="1:17" x14ac:dyDescent="0.2">
      <c r="B24" s="401"/>
      <c r="C24" s="401"/>
      <c r="D24" s="401"/>
      <c r="E24" s="401"/>
      <c r="F24" s="401"/>
      <c r="G24" s="207"/>
      <c r="I24" s="207"/>
      <c r="J24" s="402" t="s">
        <v>411</v>
      </c>
    </row>
    <row r="25" spans="1:17" x14ac:dyDescent="0.2">
      <c r="A25" s="207" t="s">
        <v>412</v>
      </c>
      <c r="B25" s="401"/>
      <c r="C25" s="401"/>
      <c r="D25" s="401"/>
      <c r="E25" s="401"/>
      <c r="F25" s="401"/>
      <c r="G25" s="207"/>
      <c r="H25" s="207"/>
      <c r="I25" s="207"/>
    </row>
    <row r="26" spans="1:17" x14ac:dyDescent="0.2">
      <c r="A26" s="317" t="s">
        <v>413</v>
      </c>
      <c r="B26" s="245"/>
      <c r="C26" s="245"/>
      <c r="D26" s="245"/>
      <c r="E26" s="245"/>
      <c r="F26" s="245"/>
      <c r="G26" s="207"/>
      <c r="H26" s="207"/>
      <c r="I26" s="207"/>
    </row>
    <row r="27" spans="1:17" x14ac:dyDescent="0.2">
      <c r="A27" s="317" t="s">
        <v>414</v>
      </c>
      <c r="B27" s="245"/>
      <c r="C27" s="245"/>
      <c r="D27" s="245"/>
      <c r="F27" s="245"/>
      <c r="G27" s="207"/>
      <c r="H27" s="207"/>
      <c r="I27" s="207"/>
      <c r="J27" s="207"/>
    </row>
    <row r="28" spans="1:17" x14ac:dyDescent="0.2">
      <c r="A28" s="317" t="s">
        <v>415</v>
      </c>
    </row>
    <row r="29" spans="1:17" x14ac:dyDescent="0.2">
      <c r="A29" s="245" t="s">
        <v>416</v>
      </c>
      <c r="J29" s="196"/>
    </row>
    <row r="30" spans="1:17" x14ac:dyDescent="0.2">
      <c r="A30" s="245" t="s">
        <v>417</v>
      </c>
    </row>
    <row r="31" spans="1:17" x14ac:dyDescent="0.2">
      <c r="B31" s="207"/>
      <c r="C31" s="207"/>
      <c r="D31" s="207"/>
      <c r="E31" s="207"/>
      <c r="F31" s="207"/>
      <c r="G31" s="207"/>
      <c r="H31" s="229"/>
      <c r="I31" s="229"/>
      <c r="J31" s="249"/>
    </row>
    <row r="32" spans="1:17" ht="14.25" x14ac:dyDescent="0.2">
      <c r="B32" s="207"/>
      <c r="C32" s="207"/>
      <c r="D32" s="207"/>
      <c r="E32" s="207"/>
      <c r="F32" s="207"/>
      <c r="G32" s="207"/>
      <c r="H32" s="229"/>
      <c r="I32" s="229"/>
      <c r="J32" s="399"/>
      <c r="K32" s="246"/>
      <c r="L32" s="204"/>
      <c r="M32" s="246"/>
      <c r="N32" s="246"/>
      <c r="Q32" s="400"/>
    </row>
    <row r="33" spans="1:10" x14ac:dyDescent="0.2">
      <c r="A33" s="196" t="s">
        <v>740</v>
      </c>
      <c r="B33" s="207"/>
      <c r="C33" s="207" t="s">
        <v>807</v>
      </c>
      <c r="D33" s="207" t="s">
        <v>751</v>
      </c>
      <c r="E33" s="207"/>
      <c r="F33" s="207"/>
      <c r="G33" s="207"/>
      <c r="H33" s="229"/>
      <c r="I33" s="229"/>
      <c r="J33" s="249" t="s">
        <v>755</v>
      </c>
    </row>
    <row r="34" spans="1:10" x14ac:dyDescent="0.2">
      <c r="A34" s="196" t="s">
        <v>747</v>
      </c>
      <c r="B34" s="207"/>
      <c r="C34" s="207">
        <v>20</v>
      </c>
      <c r="D34" s="207" t="s">
        <v>748</v>
      </c>
      <c r="E34" s="207"/>
      <c r="F34" s="207"/>
      <c r="G34" s="207"/>
      <c r="I34" s="207"/>
    </row>
    <row r="35" spans="1:10" x14ac:dyDescent="0.2">
      <c r="A35" s="196" t="s">
        <v>749</v>
      </c>
      <c r="C35" s="196">
        <v>92</v>
      </c>
      <c r="D35" s="196" t="s">
        <v>748</v>
      </c>
      <c r="E35" s="196" t="s">
        <v>750</v>
      </c>
      <c r="H35" s="207"/>
      <c r="I35" s="207"/>
      <c r="J35" s="194" t="s">
        <v>769</v>
      </c>
    </row>
    <row r="48" spans="1:10" x14ac:dyDescent="0.2">
      <c r="A48" s="245"/>
      <c r="B48" s="245"/>
      <c r="C48" s="245"/>
      <c r="D48" s="245"/>
      <c r="E48" s="245"/>
      <c r="F48" s="245"/>
      <c r="G48" s="207"/>
      <c r="H48" s="207"/>
      <c r="I48" s="207"/>
    </row>
    <row r="49" spans="1:10" x14ac:dyDescent="0.2">
      <c r="A49" s="403"/>
    </row>
    <row r="50" spans="1:10" x14ac:dyDescent="0.2">
      <c r="D50" s="253"/>
      <c r="E50" s="253"/>
      <c r="F50" s="253"/>
      <c r="G50" s="253"/>
      <c r="H50" s="253"/>
      <c r="I50" s="223"/>
      <c r="J50" s="254"/>
    </row>
    <row r="51" spans="1:10" x14ac:dyDescent="0.2">
      <c r="B51" s="252"/>
      <c r="J51" s="254"/>
    </row>
    <row r="52" spans="1:10" x14ac:dyDescent="0.2">
      <c r="J52" s="254"/>
    </row>
    <row r="53" spans="1:10" x14ac:dyDescent="0.2">
      <c r="J53" s="254"/>
    </row>
    <row r="55" spans="1:10" x14ac:dyDescent="0.2">
      <c r="J55" s="254"/>
    </row>
    <row r="63" spans="1:10" x14ac:dyDescent="0.2">
      <c r="B63" s="252"/>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topLeftCell="A4" workbookViewId="0">
      <selection activeCell="D12" sqref="D12"/>
    </sheetView>
  </sheetViews>
  <sheetFormatPr defaultColWidth="9.140625" defaultRowHeight="12.75" x14ac:dyDescent="0.2"/>
  <cols>
    <col min="1" max="2" width="9.140625" style="196"/>
    <col min="3" max="3" width="11.7109375" style="196" customWidth="1"/>
    <col min="4" max="4" width="13.42578125" style="196" bestFit="1" customWidth="1"/>
    <col min="5" max="5" width="16.42578125" style="196" bestFit="1" customWidth="1"/>
    <col min="6" max="6" width="23.42578125" style="196" customWidth="1"/>
    <col min="7" max="7" width="11" style="196" bestFit="1" customWidth="1"/>
    <col min="8" max="259" width="9.140625" style="196"/>
    <col min="260" max="260" width="13.42578125" style="196" bestFit="1" customWidth="1"/>
    <col min="261" max="261" width="16.42578125" style="196" bestFit="1" customWidth="1"/>
    <col min="262" max="262" width="23.42578125" style="196" customWidth="1"/>
    <col min="263" max="263" width="11" style="196" bestFit="1" customWidth="1"/>
    <col min="264" max="515" width="9.140625" style="196"/>
    <col min="516" max="516" width="13.42578125" style="196" bestFit="1" customWidth="1"/>
    <col min="517" max="517" width="16.42578125" style="196" bestFit="1" customWidth="1"/>
    <col min="518" max="518" width="23.42578125" style="196" customWidth="1"/>
    <col min="519" max="519" width="11" style="196" bestFit="1" customWidth="1"/>
    <col min="520" max="771" width="9.140625" style="196"/>
    <col min="772" max="772" width="13.42578125" style="196" bestFit="1" customWidth="1"/>
    <col min="773" max="773" width="16.42578125" style="196" bestFit="1" customWidth="1"/>
    <col min="774" max="774" width="23.42578125" style="196" customWidth="1"/>
    <col min="775" max="775" width="11" style="196" bestFit="1" customWidth="1"/>
    <col min="776" max="1027" width="9.140625" style="196"/>
    <col min="1028" max="1028" width="13.42578125" style="196" bestFit="1" customWidth="1"/>
    <col min="1029" max="1029" width="16.42578125" style="196" bestFit="1" customWidth="1"/>
    <col min="1030" max="1030" width="23.42578125" style="196" customWidth="1"/>
    <col min="1031" max="1031" width="11" style="196" bestFit="1" customWidth="1"/>
    <col min="1032" max="1283" width="9.140625" style="196"/>
    <col min="1284" max="1284" width="13.42578125" style="196" bestFit="1" customWidth="1"/>
    <col min="1285" max="1285" width="16.42578125" style="196" bestFit="1" customWidth="1"/>
    <col min="1286" max="1286" width="23.42578125" style="196" customWidth="1"/>
    <col min="1287" max="1287" width="11" style="196" bestFit="1" customWidth="1"/>
    <col min="1288" max="1539" width="9.140625" style="196"/>
    <col min="1540" max="1540" width="13.42578125" style="196" bestFit="1" customWidth="1"/>
    <col min="1541" max="1541" width="16.42578125" style="196" bestFit="1" customWidth="1"/>
    <col min="1542" max="1542" width="23.42578125" style="196" customWidth="1"/>
    <col min="1543" max="1543" width="11" style="196" bestFit="1" customWidth="1"/>
    <col min="1544" max="1795" width="9.140625" style="196"/>
    <col min="1796" max="1796" width="13.42578125" style="196" bestFit="1" customWidth="1"/>
    <col min="1797" max="1797" width="16.42578125" style="196" bestFit="1" customWidth="1"/>
    <col min="1798" max="1798" width="23.42578125" style="196" customWidth="1"/>
    <col min="1799" max="1799" width="11" style="196" bestFit="1" customWidth="1"/>
    <col min="1800" max="2051" width="9.140625" style="196"/>
    <col min="2052" max="2052" width="13.42578125" style="196" bestFit="1" customWidth="1"/>
    <col min="2053" max="2053" width="16.42578125" style="196" bestFit="1" customWidth="1"/>
    <col min="2054" max="2054" width="23.42578125" style="196" customWidth="1"/>
    <col min="2055" max="2055" width="11" style="196" bestFit="1" customWidth="1"/>
    <col min="2056" max="2307" width="9.140625" style="196"/>
    <col min="2308" max="2308" width="13.42578125" style="196" bestFit="1" customWidth="1"/>
    <col min="2309" max="2309" width="16.42578125" style="196" bestFit="1" customWidth="1"/>
    <col min="2310" max="2310" width="23.42578125" style="196" customWidth="1"/>
    <col min="2311" max="2311" width="11" style="196" bestFit="1" customWidth="1"/>
    <col min="2312" max="2563" width="9.140625" style="196"/>
    <col min="2564" max="2564" width="13.42578125" style="196" bestFit="1" customWidth="1"/>
    <col min="2565" max="2565" width="16.42578125" style="196" bestFit="1" customWidth="1"/>
    <col min="2566" max="2566" width="23.42578125" style="196" customWidth="1"/>
    <col min="2567" max="2567" width="11" style="196" bestFit="1" customWidth="1"/>
    <col min="2568" max="2819" width="9.140625" style="196"/>
    <col min="2820" max="2820" width="13.42578125" style="196" bestFit="1" customWidth="1"/>
    <col min="2821" max="2821" width="16.42578125" style="196" bestFit="1" customWidth="1"/>
    <col min="2822" max="2822" width="23.42578125" style="196" customWidth="1"/>
    <col min="2823" max="2823" width="11" style="196" bestFit="1" customWidth="1"/>
    <col min="2824" max="3075" width="9.140625" style="196"/>
    <col min="3076" max="3076" width="13.42578125" style="196" bestFit="1" customWidth="1"/>
    <col min="3077" max="3077" width="16.42578125" style="196" bestFit="1" customWidth="1"/>
    <col min="3078" max="3078" width="23.42578125" style="196" customWidth="1"/>
    <col min="3079" max="3079" width="11" style="196" bestFit="1" customWidth="1"/>
    <col min="3080" max="3331" width="9.140625" style="196"/>
    <col min="3332" max="3332" width="13.42578125" style="196" bestFit="1" customWidth="1"/>
    <col min="3333" max="3333" width="16.42578125" style="196" bestFit="1" customWidth="1"/>
    <col min="3334" max="3334" width="23.42578125" style="196" customWidth="1"/>
    <col min="3335" max="3335" width="11" style="196" bestFit="1" customWidth="1"/>
    <col min="3336" max="3587" width="9.140625" style="196"/>
    <col min="3588" max="3588" width="13.42578125" style="196" bestFit="1" customWidth="1"/>
    <col min="3589" max="3589" width="16.42578125" style="196" bestFit="1" customWidth="1"/>
    <col min="3590" max="3590" width="23.42578125" style="196" customWidth="1"/>
    <col min="3591" max="3591" width="11" style="196" bestFit="1" customWidth="1"/>
    <col min="3592" max="3843" width="9.140625" style="196"/>
    <col min="3844" max="3844" width="13.42578125" style="196" bestFit="1" customWidth="1"/>
    <col min="3845" max="3845" width="16.42578125" style="196" bestFit="1" customWidth="1"/>
    <col min="3846" max="3846" width="23.42578125" style="196" customWidth="1"/>
    <col min="3847" max="3847" width="11" style="196" bestFit="1" customWidth="1"/>
    <col min="3848" max="4099" width="9.140625" style="196"/>
    <col min="4100" max="4100" width="13.42578125" style="196" bestFit="1" customWidth="1"/>
    <col min="4101" max="4101" width="16.42578125" style="196" bestFit="1" customWidth="1"/>
    <col min="4102" max="4102" width="23.42578125" style="196" customWidth="1"/>
    <col min="4103" max="4103" width="11" style="196" bestFit="1" customWidth="1"/>
    <col min="4104" max="4355" width="9.140625" style="196"/>
    <col min="4356" max="4356" width="13.42578125" style="196" bestFit="1" customWidth="1"/>
    <col min="4357" max="4357" width="16.42578125" style="196" bestFit="1" customWidth="1"/>
    <col min="4358" max="4358" width="23.42578125" style="196" customWidth="1"/>
    <col min="4359" max="4359" width="11" style="196" bestFit="1" customWidth="1"/>
    <col min="4360" max="4611" width="9.140625" style="196"/>
    <col min="4612" max="4612" width="13.42578125" style="196" bestFit="1" customWidth="1"/>
    <col min="4613" max="4613" width="16.42578125" style="196" bestFit="1" customWidth="1"/>
    <col min="4614" max="4614" width="23.42578125" style="196" customWidth="1"/>
    <col min="4615" max="4615" width="11" style="196" bestFit="1" customWidth="1"/>
    <col min="4616" max="4867" width="9.140625" style="196"/>
    <col min="4868" max="4868" width="13.42578125" style="196" bestFit="1" customWidth="1"/>
    <col min="4869" max="4869" width="16.42578125" style="196" bestFit="1" customWidth="1"/>
    <col min="4870" max="4870" width="23.42578125" style="196" customWidth="1"/>
    <col min="4871" max="4871" width="11" style="196" bestFit="1" customWidth="1"/>
    <col min="4872" max="5123" width="9.140625" style="196"/>
    <col min="5124" max="5124" width="13.42578125" style="196" bestFit="1" customWidth="1"/>
    <col min="5125" max="5125" width="16.42578125" style="196" bestFit="1" customWidth="1"/>
    <col min="5126" max="5126" width="23.42578125" style="196" customWidth="1"/>
    <col min="5127" max="5127" width="11" style="196" bestFit="1" customWidth="1"/>
    <col min="5128" max="5379" width="9.140625" style="196"/>
    <col min="5380" max="5380" width="13.42578125" style="196" bestFit="1" customWidth="1"/>
    <col min="5381" max="5381" width="16.42578125" style="196" bestFit="1" customWidth="1"/>
    <col min="5382" max="5382" width="23.42578125" style="196" customWidth="1"/>
    <col min="5383" max="5383" width="11" style="196" bestFit="1" customWidth="1"/>
    <col min="5384" max="5635" width="9.140625" style="196"/>
    <col min="5636" max="5636" width="13.42578125" style="196" bestFit="1" customWidth="1"/>
    <col min="5637" max="5637" width="16.42578125" style="196" bestFit="1" customWidth="1"/>
    <col min="5638" max="5638" width="23.42578125" style="196" customWidth="1"/>
    <col min="5639" max="5639" width="11" style="196" bestFit="1" customWidth="1"/>
    <col min="5640" max="5891" width="9.140625" style="196"/>
    <col min="5892" max="5892" width="13.42578125" style="196" bestFit="1" customWidth="1"/>
    <col min="5893" max="5893" width="16.42578125" style="196" bestFit="1" customWidth="1"/>
    <col min="5894" max="5894" width="23.42578125" style="196" customWidth="1"/>
    <col min="5895" max="5895" width="11" style="196" bestFit="1" customWidth="1"/>
    <col min="5896" max="6147" width="9.140625" style="196"/>
    <col min="6148" max="6148" width="13.42578125" style="196" bestFit="1" customWidth="1"/>
    <col min="6149" max="6149" width="16.42578125" style="196" bestFit="1" customWidth="1"/>
    <col min="6150" max="6150" width="23.42578125" style="196" customWidth="1"/>
    <col min="6151" max="6151" width="11" style="196" bestFit="1" customWidth="1"/>
    <col min="6152" max="6403" width="9.140625" style="196"/>
    <col min="6404" max="6404" width="13.42578125" style="196" bestFit="1" customWidth="1"/>
    <col min="6405" max="6405" width="16.42578125" style="196" bestFit="1" customWidth="1"/>
    <col min="6406" max="6406" width="23.42578125" style="196" customWidth="1"/>
    <col min="6407" max="6407" width="11" style="196" bestFit="1" customWidth="1"/>
    <col min="6408" max="6659" width="9.140625" style="196"/>
    <col min="6660" max="6660" width="13.42578125" style="196" bestFit="1" customWidth="1"/>
    <col min="6661" max="6661" width="16.42578125" style="196" bestFit="1" customWidth="1"/>
    <col min="6662" max="6662" width="23.42578125" style="196" customWidth="1"/>
    <col min="6663" max="6663" width="11" style="196" bestFit="1" customWidth="1"/>
    <col min="6664" max="6915" width="9.140625" style="196"/>
    <col min="6916" max="6916" width="13.42578125" style="196" bestFit="1" customWidth="1"/>
    <col min="6917" max="6917" width="16.42578125" style="196" bestFit="1" customWidth="1"/>
    <col min="6918" max="6918" width="23.42578125" style="196" customWidth="1"/>
    <col min="6919" max="6919" width="11" style="196" bestFit="1" customWidth="1"/>
    <col min="6920" max="7171" width="9.140625" style="196"/>
    <col min="7172" max="7172" width="13.42578125" style="196" bestFit="1" customWidth="1"/>
    <col min="7173" max="7173" width="16.42578125" style="196" bestFit="1" customWidth="1"/>
    <col min="7174" max="7174" width="23.42578125" style="196" customWidth="1"/>
    <col min="7175" max="7175" width="11" style="196" bestFit="1" customWidth="1"/>
    <col min="7176" max="7427" width="9.140625" style="196"/>
    <col min="7428" max="7428" width="13.42578125" style="196" bestFit="1" customWidth="1"/>
    <col min="7429" max="7429" width="16.42578125" style="196" bestFit="1" customWidth="1"/>
    <col min="7430" max="7430" width="23.42578125" style="196" customWidth="1"/>
    <col min="7431" max="7431" width="11" style="196" bestFit="1" customWidth="1"/>
    <col min="7432" max="7683" width="9.140625" style="196"/>
    <col min="7684" max="7684" width="13.42578125" style="196" bestFit="1" customWidth="1"/>
    <col min="7685" max="7685" width="16.42578125" style="196" bestFit="1" customWidth="1"/>
    <col min="7686" max="7686" width="23.42578125" style="196" customWidth="1"/>
    <col min="7687" max="7687" width="11" style="196" bestFit="1" customWidth="1"/>
    <col min="7688" max="7939" width="9.140625" style="196"/>
    <col min="7940" max="7940" width="13.42578125" style="196" bestFit="1" customWidth="1"/>
    <col min="7941" max="7941" width="16.42578125" style="196" bestFit="1" customWidth="1"/>
    <col min="7942" max="7942" width="23.42578125" style="196" customWidth="1"/>
    <col min="7943" max="7943" width="11" style="196" bestFit="1" customWidth="1"/>
    <col min="7944" max="8195" width="9.140625" style="196"/>
    <col min="8196" max="8196" width="13.42578125" style="196" bestFit="1" customWidth="1"/>
    <col min="8197" max="8197" width="16.42578125" style="196" bestFit="1" customWidth="1"/>
    <col min="8198" max="8198" width="23.42578125" style="196" customWidth="1"/>
    <col min="8199" max="8199" width="11" style="196" bestFit="1" customWidth="1"/>
    <col min="8200" max="8451" width="9.140625" style="196"/>
    <col min="8452" max="8452" width="13.42578125" style="196" bestFit="1" customWidth="1"/>
    <col min="8453" max="8453" width="16.42578125" style="196" bestFit="1" customWidth="1"/>
    <col min="8454" max="8454" width="23.42578125" style="196" customWidth="1"/>
    <col min="8455" max="8455" width="11" style="196" bestFit="1" customWidth="1"/>
    <col min="8456" max="8707" width="9.140625" style="196"/>
    <col min="8708" max="8708" width="13.42578125" style="196" bestFit="1" customWidth="1"/>
    <col min="8709" max="8709" width="16.42578125" style="196" bestFit="1" customWidth="1"/>
    <col min="8710" max="8710" width="23.42578125" style="196" customWidth="1"/>
    <col min="8711" max="8711" width="11" style="196" bestFit="1" customWidth="1"/>
    <col min="8712" max="8963" width="9.140625" style="196"/>
    <col min="8964" max="8964" width="13.42578125" style="196" bestFit="1" customWidth="1"/>
    <col min="8965" max="8965" width="16.42578125" style="196" bestFit="1" customWidth="1"/>
    <col min="8966" max="8966" width="23.42578125" style="196" customWidth="1"/>
    <col min="8967" max="8967" width="11" style="196" bestFit="1" customWidth="1"/>
    <col min="8968" max="9219" width="9.140625" style="196"/>
    <col min="9220" max="9220" width="13.42578125" style="196" bestFit="1" customWidth="1"/>
    <col min="9221" max="9221" width="16.42578125" style="196" bestFit="1" customWidth="1"/>
    <col min="9222" max="9222" width="23.42578125" style="196" customWidth="1"/>
    <col min="9223" max="9223" width="11" style="196" bestFit="1" customWidth="1"/>
    <col min="9224" max="9475" width="9.140625" style="196"/>
    <col min="9476" max="9476" width="13.42578125" style="196" bestFit="1" customWidth="1"/>
    <col min="9477" max="9477" width="16.42578125" style="196" bestFit="1" customWidth="1"/>
    <col min="9478" max="9478" width="23.42578125" style="196" customWidth="1"/>
    <col min="9479" max="9479" width="11" style="196" bestFit="1" customWidth="1"/>
    <col min="9480" max="9731" width="9.140625" style="196"/>
    <col min="9732" max="9732" width="13.42578125" style="196" bestFit="1" customWidth="1"/>
    <col min="9733" max="9733" width="16.42578125" style="196" bestFit="1" customWidth="1"/>
    <col min="9734" max="9734" width="23.42578125" style="196" customWidth="1"/>
    <col min="9735" max="9735" width="11" style="196" bestFit="1" customWidth="1"/>
    <col min="9736" max="9987" width="9.140625" style="196"/>
    <col min="9988" max="9988" width="13.42578125" style="196" bestFit="1" customWidth="1"/>
    <col min="9989" max="9989" width="16.42578125" style="196" bestFit="1" customWidth="1"/>
    <col min="9990" max="9990" width="23.42578125" style="196" customWidth="1"/>
    <col min="9991" max="9991" width="11" style="196" bestFit="1" customWidth="1"/>
    <col min="9992" max="10243" width="9.140625" style="196"/>
    <col min="10244" max="10244" width="13.42578125" style="196" bestFit="1" customWidth="1"/>
    <col min="10245" max="10245" width="16.42578125" style="196" bestFit="1" customWidth="1"/>
    <col min="10246" max="10246" width="23.42578125" style="196" customWidth="1"/>
    <col min="10247" max="10247" width="11" style="196" bestFit="1" customWidth="1"/>
    <col min="10248" max="10499" width="9.140625" style="196"/>
    <col min="10500" max="10500" width="13.42578125" style="196" bestFit="1" customWidth="1"/>
    <col min="10501" max="10501" width="16.42578125" style="196" bestFit="1" customWidth="1"/>
    <col min="10502" max="10502" width="23.42578125" style="196" customWidth="1"/>
    <col min="10503" max="10503" width="11" style="196" bestFit="1" customWidth="1"/>
    <col min="10504" max="10755" width="9.140625" style="196"/>
    <col min="10756" max="10756" width="13.42578125" style="196" bestFit="1" customWidth="1"/>
    <col min="10757" max="10757" width="16.42578125" style="196" bestFit="1" customWidth="1"/>
    <col min="10758" max="10758" width="23.42578125" style="196" customWidth="1"/>
    <col min="10759" max="10759" width="11" style="196" bestFit="1" customWidth="1"/>
    <col min="10760" max="11011" width="9.140625" style="196"/>
    <col min="11012" max="11012" width="13.42578125" style="196" bestFit="1" customWidth="1"/>
    <col min="11013" max="11013" width="16.42578125" style="196" bestFit="1" customWidth="1"/>
    <col min="11014" max="11014" width="23.42578125" style="196" customWidth="1"/>
    <col min="11015" max="11015" width="11" style="196" bestFit="1" customWidth="1"/>
    <col min="11016" max="11267" width="9.140625" style="196"/>
    <col min="11268" max="11268" width="13.42578125" style="196" bestFit="1" customWidth="1"/>
    <col min="11269" max="11269" width="16.42578125" style="196" bestFit="1" customWidth="1"/>
    <col min="11270" max="11270" width="23.42578125" style="196" customWidth="1"/>
    <col min="11271" max="11271" width="11" style="196" bestFit="1" customWidth="1"/>
    <col min="11272" max="11523" width="9.140625" style="196"/>
    <col min="11524" max="11524" width="13.42578125" style="196" bestFit="1" customWidth="1"/>
    <col min="11525" max="11525" width="16.42578125" style="196" bestFit="1" customWidth="1"/>
    <col min="11526" max="11526" width="23.42578125" style="196" customWidth="1"/>
    <col min="11527" max="11527" width="11" style="196" bestFit="1" customWidth="1"/>
    <col min="11528" max="11779" width="9.140625" style="196"/>
    <col min="11780" max="11780" width="13.42578125" style="196" bestFit="1" customWidth="1"/>
    <col min="11781" max="11781" width="16.42578125" style="196" bestFit="1" customWidth="1"/>
    <col min="11782" max="11782" width="23.42578125" style="196" customWidth="1"/>
    <col min="11783" max="11783" width="11" style="196" bestFit="1" customWidth="1"/>
    <col min="11784" max="12035" width="9.140625" style="196"/>
    <col min="12036" max="12036" width="13.42578125" style="196" bestFit="1" customWidth="1"/>
    <col min="12037" max="12037" width="16.42578125" style="196" bestFit="1" customWidth="1"/>
    <col min="12038" max="12038" width="23.42578125" style="196" customWidth="1"/>
    <col min="12039" max="12039" width="11" style="196" bestFit="1" customWidth="1"/>
    <col min="12040" max="12291" width="9.140625" style="196"/>
    <col min="12292" max="12292" width="13.42578125" style="196" bestFit="1" customWidth="1"/>
    <col min="12293" max="12293" width="16.42578125" style="196" bestFit="1" customWidth="1"/>
    <col min="12294" max="12294" width="23.42578125" style="196" customWidth="1"/>
    <col min="12295" max="12295" width="11" style="196" bestFit="1" customWidth="1"/>
    <col min="12296" max="12547" width="9.140625" style="196"/>
    <col min="12548" max="12548" width="13.42578125" style="196" bestFit="1" customWidth="1"/>
    <col min="12549" max="12549" width="16.42578125" style="196" bestFit="1" customWidth="1"/>
    <col min="12550" max="12550" width="23.42578125" style="196" customWidth="1"/>
    <col min="12551" max="12551" width="11" style="196" bestFit="1" customWidth="1"/>
    <col min="12552" max="12803" width="9.140625" style="196"/>
    <col min="12804" max="12804" width="13.42578125" style="196" bestFit="1" customWidth="1"/>
    <col min="12805" max="12805" width="16.42578125" style="196" bestFit="1" customWidth="1"/>
    <col min="12806" max="12806" width="23.42578125" style="196" customWidth="1"/>
    <col min="12807" max="12807" width="11" style="196" bestFit="1" customWidth="1"/>
    <col min="12808" max="13059" width="9.140625" style="196"/>
    <col min="13060" max="13060" width="13.42578125" style="196" bestFit="1" customWidth="1"/>
    <col min="13061" max="13061" width="16.42578125" style="196" bestFit="1" customWidth="1"/>
    <col min="13062" max="13062" width="23.42578125" style="196" customWidth="1"/>
    <col min="13063" max="13063" width="11" style="196" bestFit="1" customWidth="1"/>
    <col min="13064" max="13315" width="9.140625" style="196"/>
    <col min="13316" max="13316" width="13.42578125" style="196" bestFit="1" customWidth="1"/>
    <col min="13317" max="13317" width="16.42578125" style="196" bestFit="1" customWidth="1"/>
    <col min="13318" max="13318" width="23.42578125" style="196" customWidth="1"/>
    <col min="13319" max="13319" width="11" style="196" bestFit="1" customWidth="1"/>
    <col min="13320" max="13571" width="9.140625" style="196"/>
    <col min="13572" max="13572" width="13.42578125" style="196" bestFit="1" customWidth="1"/>
    <col min="13573" max="13573" width="16.42578125" style="196" bestFit="1" customWidth="1"/>
    <col min="13574" max="13574" width="23.42578125" style="196" customWidth="1"/>
    <col min="13575" max="13575" width="11" style="196" bestFit="1" customWidth="1"/>
    <col min="13576" max="13827" width="9.140625" style="196"/>
    <col min="13828" max="13828" width="13.42578125" style="196" bestFit="1" customWidth="1"/>
    <col min="13829" max="13829" width="16.42578125" style="196" bestFit="1" customWidth="1"/>
    <col min="13830" max="13830" width="23.42578125" style="196" customWidth="1"/>
    <col min="13831" max="13831" width="11" style="196" bestFit="1" customWidth="1"/>
    <col min="13832" max="14083" width="9.140625" style="196"/>
    <col min="14084" max="14084" width="13.42578125" style="196" bestFit="1" customWidth="1"/>
    <col min="14085" max="14085" width="16.42578125" style="196" bestFit="1" customWidth="1"/>
    <col min="14086" max="14086" width="23.42578125" style="196" customWidth="1"/>
    <col min="14087" max="14087" width="11" style="196" bestFit="1" customWidth="1"/>
    <col min="14088" max="14339" width="9.140625" style="196"/>
    <col min="14340" max="14340" width="13.42578125" style="196" bestFit="1" customWidth="1"/>
    <col min="14341" max="14341" width="16.42578125" style="196" bestFit="1" customWidth="1"/>
    <col min="14342" max="14342" width="23.42578125" style="196" customWidth="1"/>
    <col min="14343" max="14343" width="11" style="196" bestFit="1" customWidth="1"/>
    <col min="14344" max="14595" width="9.140625" style="196"/>
    <col min="14596" max="14596" width="13.42578125" style="196" bestFit="1" customWidth="1"/>
    <col min="14597" max="14597" width="16.42578125" style="196" bestFit="1" customWidth="1"/>
    <col min="14598" max="14598" width="23.42578125" style="196" customWidth="1"/>
    <col min="14599" max="14599" width="11" style="196" bestFit="1" customWidth="1"/>
    <col min="14600" max="14851" width="9.140625" style="196"/>
    <col min="14852" max="14852" width="13.42578125" style="196" bestFit="1" customWidth="1"/>
    <col min="14853" max="14853" width="16.42578125" style="196" bestFit="1" customWidth="1"/>
    <col min="14854" max="14854" width="23.42578125" style="196" customWidth="1"/>
    <col min="14855" max="14855" width="11" style="196" bestFit="1" customWidth="1"/>
    <col min="14856" max="15107" width="9.140625" style="196"/>
    <col min="15108" max="15108" width="13.42578125" style="196" bestFit="1" customWidth="1"/>
    <col min="15109" max="15109" width="16.42578125" style="196" bestFit="1" customWidth="1"/>
    <col min="15110" max="15110" width="23.42578125" style="196" customWidth="1"/>
    <col min="15111" max="15111" width="11" style="196" bestFit="1" customWidth="1"/>
    <col min="15112" max="15363" width="9.140625" style="196"/>
    <col min="15364" max="15364" width="13.42578125" style="196" bestFit="1" customWidth="1"/>
    <col min="15365" max="15365" width="16.42578125" style="196" bestFit="1" customWidth="1"/>
    <col min="15366" max="15366" width="23.42578125" style="196" customWidth="1"/>
    <col min="15367" max="15367" width="11" style="196" bestFit="1" customWidth="1"/>
    <col min="15368" max="15619" width="9.140625" style="196"/>
    <col min="15620" max="15620" width="13.42578125" style="196" bestFit="1" customWidth="1"/>
    <col min="15621" max="15621" width="16.42578125" style="196" bestFit="1" customWidth="1"/>
    <col min="15622" max="15622" width="23.42578125" style="196" customWidth="1"/>
    <col min="15623" max="15623" width="11" style="196" bestFit="1" customWidth="1"/>
    <col min="15624" max="15875" width="9.140625" style="196"/>
    <col min="15876" max="15876" width="13.42578125" style="196" bestFit="1" customWidth="1"/>
    <col min="15877" max="15877" width="16.42578125" style="196" bestFit="1" customWidth="1"/>
    <col min="15878" max="15878" width="23.42578125" style="196" customWidth="1"/>
    <col min="15879" max="15879" width="11" style="196" bestFit="1" customWidth="1"/>
    <col min="15880" max="16131" width="9.140625" style="196"/>
    <col min="16132" max="16132" width="13.42578125" style="196" bestFit="1" customWidth="1"/>
    <col min="16133" max="16133" width="16.42578125" style="196" bestFit="1" customWidth="1"/>
    <col min="16134" max="16134" width="23.42578125" style="196" customWidth="1"/>
    <col min="16135" max="16135" width="11" style="196" bestFit="1" customWidth="1"/>
    <col min="16136" max="16384" width="9.140625" style="196"/>
  </cols>
  <sheetData>
    <row r="1" spans="1:38" ht="20.25" x14ac:dyDescent="0.3">
      <c r="A1" s="197"/>
      <c r="B1" s="198"/>
      <c r="C1" s="197"/>
      <c r="D1" s="198"/>
      <c r="E1" s="197"/>
      <c r="F1" s="197"/>
      <c r="G1" s="197"/>
      <c r="H1" s="51" t="s">
        <v>20</v>
      </c>
      <c r="I1" s="199"/>
      <c r="J1" s="199"/>
      <c r="K1" s="199"/>
      <c r="L1" s="199"/>
      <c r="M1" s="199"/>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row>
    <row r="2" spans="1:38" x14ac:dyDescent="0.2">
      <c r="A2" s="199"/>
      <c r="B2" s="214"/>
      <c r="C2" s="214"/>
      <c r="D2" s="214"/>
      <c r="E2" s="214"/>
      <c r="F2" s="200"/>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row>
    <row r="3" spans="1:38" x14ac:dyDescent="0.2">
      <c r="A3" s="199"/>
      <c r="B3" s="523" t="s">
        <v>229</v>
      </c>
      <c r="C3" s="523"/>
      <c r="D3" s="523"/>
      <c r="E3" s="523"/>
      <c r="F3" s="201" t="s">
        <v>64</v>
      </c>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row>
    <row r="4" spans="1:38" x14ac:dyDescent="0.2">
      <c r="A4" s="199"/>
      <c r="B4" s="199">
        <v>1</v>
      </c>
      <c r="C4" s="199" t="s">
        <v>232</v>
      </c>
      <c r="D4" s="281">
        <f>CONVERT(1,"GJ","kWh")</f>
        <v>277.77777777777777</v>
      </c>
      <c r="E4" s="199" t="s">
        <v>231</v>
      </c>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row>
    <row r="5" spans="1:38" x14ac:dyDescent="0.2">
      <c r="A5" s="199"/>
      <c r="B5" s="202">
        <v>1</v>
      </c>
      <c r="C5" s="196" t="s">
        <v>233</v>
      </c>
      <c r="D5" s="196">
        <v>1000</v>
      </c>
      <c r="E5" s="196" t="s">
        <v>42</v>
      </c>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row>
    <row r="6" spans="1:38" x14ac:dyDescent="0.2">
      <c r="A6" s="199"/>
      <c r="B6" s="203">
        <v>1</v>
      </c>
      <c r="C6" s="196" t="s">
        <v>330</v>
      </c>
      <c r="D6" s="196">
        <f>CONVERT(1, "g", "kg")</f>
        <v>1E-3</v>
      </c>
      <c r="E6" s="196" t="s">
        <v>42</v>
      </c>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row>
    <row r="7" spans="1:38" x14ac:dyDescent="0.2">
      <c r="A7" s="199"/>
      <c r="B7" s="260">
        <v>1</v>
      </c>
      <c r="C7" s="261" t="s">
        <v>426</v>
      </c>
      <c r="D7" s="262">
        <f>CONVERT(1,"lbm","kg")</f>
        <v>0.45359237000000002</v>
      </c>
      <c r="E7" s="196" t="s">
        <v>42</v>
      </c>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row>
    <row r="8" spans="1:38" x14ac:dyDescent="0.2">
      <c r="A8" s="199"/>
      <c r="B8" s="263">
        <v>1</v>
      </c>
      <c r="C8" s="261" t="s">
        <v>404</v>
      </c>
      <c r="D8" s="262">
        <f>CONVERT(1,"l","ml")</f>
        <v>1000</v>
      </c>
      <c r="E8" s="196" t="s">
        <v>406</v>
      </c>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row>
    <row r="9" spans="1:38" x14ac:dyDescent="0.2">
      <c r="A9" s="199"/>
      <c r="B9" s="260">
        <v>1</v>
      </c>
      <c r="C9" s="261" t="s">
        <v>427</v>
      </c>
      <c r="D9" s="202">
        <v>1</v>
      </c>
      <c r="E9" s="196" t="s">
        <v>42</v>
      </c>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row>
    <row r="10" spans="1:38" ht="14.25" x14ac:dyDescent="0.2">
      <c r="A10" s="199"/>
      <c r="B10" s="264">
        <v>1</v>
      </c>
      <c r="C10" s="265" t="s">
        <v>406</v>
      </c>
      <c r="D10" s="266">
        <v>1</v>
      </c>
      <c r="E10" s="199" t="s">
        <v>428</v>
      </c>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row>
    <row r="11" spans="1:38" x14ac:dyDescent="0.2">
      <c r="A11" s="199"/>
      <c r="B11" s="267">
        <v>1</v>
      </c>
      <c r="C11" s="268" t="s">
        <v>245</v>
      </c>
      <c r="D11" s="269">
        <v>1000</v>
      </c>
      <c r="E11" s="197" t="s">
        <v>231</v>
      </c>
      <c r="F11" s="197"/>
      <c r="G11" s="197"/>
      <c r="H11" s="197"/>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row>
    <row r="12" spans="1:38" x14ac:dyDescent="0.2">
      <c r="A12" s="199"/>
      <c r="B12" s="270">
        <v>1</v>
      </c>
      <c r="C12" s="271" t="s">
        <v>42</v>
      </c>
      <c r="D12" s="272">
        <v>1000</v>
      </c>
      <c r="E12" s="231" t="s">
        <v>330</v>
      </c>
      <c r="F12" s="231"/>
      <c r="G12" s="231"/>
      <c r="H12" s="231"/>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row>
    <row r="13" spans="1:38" x14ac:dyDescent="0.2">
      <c r="A13" s="199"/>
      <c r="B13" s="263">
        <v>1</v>
      </c>
      <c r="C13" s="271" t="s">
        <v>429</v>
      </c>
      <c r="D13" s="272">
        <f>1990932.66</f>
        <v>1990932.66</v>
      </c>
      <c r="E13" s="231" t="s">
        <v>430</v>
      </c>
      <c r="F13" s="231"/>
      <c r="G13" s="231"/>
      <c r="H13" s="231"/>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row>
    <row r="14" spans="1:38" x14ac:dyDescent="0.2">
      <c r="A14" s="199"/>
      <c r="B14" s="270">
        <v>1</v>
      </c>
      <c r="C14" s="271" t="s">
        <v>42</v>
      </c>
      <c r="D14" s="272">
        <f>10^6</f>
        <v>1000000</v>
      </c>
      <c r="E14" s="231" t="s">
        <v>431</v>
      </c>
      <c r="F14" s="231"/>
      <c r="G14" s="231"/>
      <c r="H14" s="231"/>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row>
    <row r="15" spans="1:38" x14ac:dyDescent="0.2">
      <c r="A15" s="199"/>
      <c r="B15" s="263">
        <v>1</v>
      </c>
      <c r="C15" s="271" t="s">
        <v>432</v>
      </c>
      <c r="D15" s="272">
        <f>947817.12</f>
        <v>947817.12</v>
      </c>
      <c r="E15" s="231" t="s">
        <v>433</v>
      </c>
      <c r="F15" s="231"/>
      <c r="G15" s="231"/>
      <c r="H15" s="231"/>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row>
    <row r="16" spans="1:38" x14ac:dyDescent="0.2">
      <c r="A16" s="199"/>
      <c r="B16" s="267">
        <v>1</v>
      </c>
      <c r="C16" s="271" t="s">
        <v>434</v>
      </c>
      <c r="D16" s="272">
        <f>35.3146667</f>
        <v>35.314666699999997</v>
      </c>
      <c r="E16" s="231" t="s">
        <v>435</v>
      </c>
      <c r="F16" s="231"/>
      <c r="G16" s="231"/>
      <c r="H16" s="231"/>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row>
    <row r="17" spans="1:38" x14ac:dyDescent="0.2">
      <c r="A17" s="199"/>
      <c r="B17" s="273">
        <v>1</v>
      </c>
      <c r="C17" s="271" t="s">
        <v>436</v>
      </c>
      <c r="D17" s="272">
        <f>907.18474</f>
        <v>907.18474000000003</v>
      </c>
      <c r="E17" s="231" t="s">
        <v>42</v>
      </c>
      <c r="F17" s="231"/>
      <c r="G17" s="231"/>
      <c r="H17" s="231"/>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row>
    <row r="18" spans="1:38" x14ac:dyDescent="0.2">
      <c r="A18" s="199"/>
      <c r="B18" s="270">
        <v>1</v>
      </c>
      <c r="C18" s="271" t="s">
        <v>437</v>
      </c>
      <c r="D18" s="272">
        <v>1000000</v>
      </c>
      <c r="E18" s="231" t="s">
        <v>433</v>
      </c>
      <c r="F18" s="231"/>
      <c r="G18" s="231"/>
      <c r="H18" s="231"/>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row>
    <row r="19" spans="1:38" ht="25.5" x14ac:dyDescent="0.2">
      <c r="A19" s="199"/>
      <c r="B19" s="270">
        <v>1</v>
      </c>
      <c r="C19" s="271" t="s">
        <v>438</v>
      </c>
      <c r="D19" s="272">
        <f>10^-6</f>
        <v>9.9999999999999995E-7</v>
      </c>
      <c r="E19" s="231" t="s">
        <v>439</v>
      </c>
      <c r="F19" s="231"/>
      <c r="G19" s="231"/>
      <c r="H19" s="231"/>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row>
    <row r="20" spans="1:38" x14ac:dyDescent="0.2">
      <c r="A20" s="199"/>
      <c r="B20" s="270">
        <v>1</v>
      </c>
      <c r="C20" s="271" t="s">
        <v>42</v>
      </c>
      <c r="D20" s="274">
        <f xml:space="preserve"> 2.20462262</f>
        <v>2.2046226199999999</v>
      </c>
      <c r="E20" s="231" t="s">
        <v>440</v>
      </c>
      <c r="F20" s="231"/>
      <c r="G20" s="231"/>
      <c r="H20" s="231"/>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row>
    <row r="21" spans="1:38" x14ac:dyDescent="0.2">
      <c r="A21" s="199"/>
      <c r="B21" s="270">
        <v>1</v>
      </c>
      <c r="C21" s="271" t="s">
        <v>441</v>
      </c>
      <c r="D21" s="274">
        <f>1.30795062</f>
        <v>1.30795062</v>
      </c>
      <c r="E21" s="231" t="s">
        <v>442</v>
      </c>
      <c r="F21" s="231"/>
      <c r="G21" s="231"/>
      <c r="H21" s="231"/>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row>
    <row r="22" spans="1:38" x14ac:dyDescent="0.2">
      <c r="A22" s="199"/>
      <c r="B22" s="270">
        <v>1</v>
      </c>
      <c r="C22" s="271" t="s">
        <v>443</v>
      </c>
      <c r="D22" s="274">
        <v>1</v>
      </c>
      <c r="E22" s="231" t="s">
        <v>444</v>
      </c>
      <c r="F22" s="197"/>
      <c r="G22" s="231"/>
      <c r="H22" s="231"/>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row>
    <row r="23" spans="1:38" x14ac:dyDescent="0.2">
      <c r="A23" s="199"/>
      <c r="B23" s="267">
        <v>1</v>
      </c>
      <c r="C23" s="268" t="s">
        <v>445</v>
      </c>
      <c r="D23" s="275">
        <f>60*24*365</f>
        <v>525600</v>
      </c>
      <c r="E23" s="197" t="s">
        <v>446</v>
      </c>
      <c r="F23" s="197"/>
      <c r="G23" s="276"/>
      <c r="H23" s="231"/>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row>
    <row r="24" spans="1:38" x14ac:dyDescent="0.2">
      <c r="A24" s="199"/>
      <c r="B24" s="267">
        <v>1</v>
      </c>
      <c r="C24" s="268" t="s">
        <v>447</v>
      </c>
      <c r="D24" s="275">
        <v>1000</v>
      </c>
      <c r="E24" s="197" t="s">
        <v>448</v>
      </c>
      <c r="F24" s="197"/>
      <c r="G24" s="231"/>
      <c r="H24" s="231"/>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row>
    <row r="25" spans="1:38" x14ac:dyDescent="0.2">
      <c r="A25" s="199"/>
      <c r="B25" s="277">
        <v>1</v>
      </c>
      <c r="C25" s="278" t="s">
        <v>403</v>
      </c>
      <c r="D25" s="279">
        <f>3.78541178</f>
        <v>3.78541178</v>
      </c>
      <c r="E25" s="246" t="s">
        <v>404</v>
      </c>
      <c r="F25" s="231"/>
      <c r="G25" s="231"/>
      <c r="H25" s="231"/>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row>
    <row r="26" spans="1:38" x14ac:dyDescent="0.2">
      <c r="A26" s="199"/>
      <c r="B26" s="277">
        <v>1</v>
      </c>
      <c r="C26" s="278" t="s">
        <v>441</v>
      </c>
      <c r="D26" s="280">
        <v>1000</v>
      </c>
      <c r="E26" s="246" t="s">
        <v>404</v>
      </c>
      <c r="F26" s="231"/>
      <c r="G26" s="231"/>
      <c r="H26" s="231"/>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row>
    <row r="27" spans="1:38" x14ac:dyDescent="0.2">
      <c r="A27" s="199"/>
      <c r="B27" s="277">
        <v>1</v>
      </c>
      <c r="C27" s="278" t="s">
        <v>330</v>
      </c>
      <c r="D27" s="280">
        <v>1000</v>
      </c>
      <c r="E27" s="246" t="s">
        <v>431</v>
      </c>
      <c r="F27" s="231"/>
      <c r="G27" s="231"/>
      <c r="H27" s="231"/>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row>
    <row r="28" spans="1:38" x14ac:dyDescent="0.2">
      <c r="A28" s="199"/>
      <c r="B28" s="277">
        <v>1</v>
      </c>
      <c r="C28" s="268" t="s">
        <v>42</v>
      </c>
      <c r="D28" s="269">
        <f>D12*D27</f>
        <v>1000000</v>
      </c>
      <c r="E28" s="197" t="s">
        <v>431</v>
      </c>
      <c r="F28" s="231"/>
      <c r="G28" s="231"/>
      <c r="H28" s="231"/>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row>
    <row r="29" spans="1:38" x14ac:dyDescent="0.2">
      <c r="B29" s="267">
        <v>1</v>
      </c>
      <c r="C29" s="268" t="s">
        <v>449</v>
      </c>
      <c r="D29" s="197">
        <v>24</v>
      </c>
      <c r="E29" s="197" t="s">
        <v>450</v>
      </c>
      <c r="F29" s="231"/>
      <c r="G29" s="231"/>
      <c r="H29" s="231"/>
    </row>
    <row r="30" spans="1:38" x14ac:dyDescent="0.2">
      <c r="B30" s="270">
        <v>1</v>
      </c>
      <c r="C30" s="271" t="s">
        <v>451</v>
      </c>
      <c r="D30" s="231">
        <v>60</v>
      </c>
      <c r="E30" s="231" t="s">
        <v>446</v>
      </c>
      <c r="F30" s="231"/>
      <c r="G30" s="231"/>
      <c r="H30" s="231"/>
    </row>
    <row r="31" spans="1:38" x14ac:dyDescent="0.2">
      <c r="B31" s="260">
        <v>1</v>
      </c>
      <c r="C31" s="261" t="s">
        <v>449</v>
      </c>
      <c r="D31" s="196">
        <f>CONVERT(B31,"day","mn")</f>
        <v>1440</v>
      </c>
      <c r="E31" s="196" t="s">
        <v>446</v>
      </c>
    </row>
    <row r="32" spans="1:38" x14ac:dyDescent="0.2">
      <c r="B32" s="260"/>
      <c r="C32" s="261"/>
    </row>
    <row r="37" spans="10:10" x14ac:dyDescent="0.2">
      <c r="J37" s="205"/>
    </row>
  </sheetData>
  <mergeCells count="1">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84ECA3-15A0-4FC0-BEB3-E1133A4F70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095DCB-EC78-4ECE-8827-51C5B7826EB2}">
  <ds:schemaRefs>
    <ds:schemaRef ds:uri="http://purl.org/dc/elements/1.1/"/>
    <ds:schemaRef ds:uri="c75d1172-787a-498f-aaff-e17d79596d1f"/>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430A28B4-0751-47D8-9681-6E75E0CFB5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vt:lpstr>
      <vt:lpstr>Data Summary</vt:lpstr>
      <vt:lpstr>PS</vt:lpstr>
      <vt:lpstr>Reference Source Info</vt:lpstr>
      <vt:lpstr>DQI</vt:lpstr>
      <vt:lpstr>RE input</vt:lpstr>
      <vt:lpstr>materials and output</vt:lpstr>
      <vt:lpstr>Energy</vt:lpstr>
      <vt:lpstr>Conversions</vt:lpstr>
      <vt:lpstr>Assumptions</vt:lpstr>
      <vt:lpstr>Chart</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DS_Stage1_O_Rare_Earth_Ion_Exchange_2014.01</dc:title>
  <dc:creator>Matthew B. Jamieson;Schneider_Rachel@bah.com</dc:creator>
  <cp:lastModifiedBy>Matthew B. Jamieson</cp:lastModifiedBy>
  <dcterms:created xsi:type="dcterms:W3CDTF">2014-04-25T14:49:18Z</dcterms:created>
  <dcterms:modified xsi:type="dcterms:W3CDTF">2014-12-18T19:33:33Z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